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theme/themeOverride3.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ookViews>
    <workbookView xWindow="1050" yWindow="600" windowWidth="20730" windowHeight="11580" tabRatio="865"/>
  </bookViews>
  <sheets>
    <sheet name="Disclaimer" sheetId="44" r:id="rId1"/>
    <sheet name="Navigation" sheetId="2" r:id="rId2"/>
    <sheet name="Interactive" sheetId="53" r:id="rId3"/>
    <sheet name="Assumptions" sheetId="5" r:id="rId4"/>
    <sheet name="ProductionCurve" sheetId="62" r:id="rId5"/>
    <sheet name="LevelisedCost" sheetId="63" r:id="rId6"/>
    <sheet name="ScaleImpact" sheetId="64" r:id="rId7"/>
    <sheet name="LocationImpact" sheetId="65" r:id="rId8"/>
    <sheet name="Price Impact" sheetId="66" r:id="rId9"/>
    <sheet name="Charts" sheetId="26" r:id="rId10"/>
    <sheet name="Sensitivities" sheetId="42" state="hidden" r:id="rId11"/>
    <sheet name="Summary Tables" sheetId="33" state="hidden" r:id="rId12"/>
    <sheet name="Wheat Standalone (Starch)" sheetId="40" r:id="rId13"/>
    <sheet name="Wheat Integrated (Starch)" sheetId="52" r:id="rId14"/>
    <sheet name="Imported Starch" sheetId="35" r:id="rId15"/>
    <sheet name="Sorgum (Starch)" sheetId="30" r:id="rId16"/>
    <sheet name="C-Syrup (Sucrosic)" sheetId="19" r:id="rId17"/>
    <sheet name="B-Syrup (Sucrosic)" sheetId="29" r:id="rId18"/>
    <sheet name="Cane trash (Cellulosic)" sheetId="48" r:id="rId19"/>
    <sheet name="Forest Residues (Cellulosic)" sheetId="31" r:id="rId20"/>
    <sheet name="Loan Repayments" sheetId="6" state="hidden" r:id="rId21"/>
    <sheet name="Allocators" sheetId="25" state="hidden" r:id="rId22"/>
    <sheet name="Costs per L" sheetId="13" state="hidden" r:id="rId23"/>
    <sheet name="Depreciation" sheetId="9" state="hidden" r:id="rId24"/>
    <sheet name="WACC" sheetId="56" state="hidden" r:id="rId25"/>
    <sheet name="Cost Basis" sheetId="46" state="hidden" r:id="rId26"/>
    <sheet name="WACC parameters " sheetId="55" state="hidden" r:id="rId27"/>
    <sheet name="Feedstock Locations" sheetId="32" state="hidden" r:id="rId28"/>
  </sheets>
  <externalReferences>
    <externalReference r:id="rId29"/>
  </externalReferences>
  <definedNames>
    <definedName name="CCopy">Interactive!$I$6:$Q$30</definedName>
    <definedName name="Chart1Descrip">Interactive!$B$37:IF(Assumptions!$C$30=Assumptions!$AH$105, OFFSET(Interactive!$B$37,4,0), OFFSET(Interactive!$B$37,5,0))</definedName>
    <definedName name="Chart1Values">Interactive!$C$37:IF(Assumptions!$C$30=Assumptions!$AH$105, OFFSET(Interactive!$C$37,4,0), OFFSET(Interactive!$C$37,5,0))</definedName>
    <definedName name="Locations">OFFSET('Feedstock Locations'!$E$5,'Feedstock Locations'!$E$3,0,'Feedstock Locations'!$C$3,1)</definedName>
    <definedName name="Locations2">OFFSET('[1]Feedstock Locations'!$E$5,'[1]Feedstock Locations'!$E$3,0,'[1]Feedstock Locations'!$C$3,1)</definedName>
    <definedName name="_xlnm.Print_Area" localSheetId="3">Assumptions!$A$1:$O$43</definedName>
    <definedName name="_xlnm.Print_Area" localSheetId="17">'B-Syrup (Sucrosic)'!$G$3:$L$222</definedName>
    <definedName name="_xlnm.Print_Area" localSheetId="18">'Cane trash (Cellulosic)'!$H$3:$M$291</definedName>
    <definedName name="_xlnm.Print_Area" localSheetId="9">Charts!$C$1:$I$307</definedName>
    <definedName name="_xlnm.Print_Area" localSheetId="16">'C-Syrup (Sucrosic)'!$G$3:$M$222</definedName>
    <definedName name="_xlnm.Print_Area" localSheetId="19">'Forest Residues (Cellulosic)'!$H$3:$N$291</definedName>
    <definedName name="_xlnm.Print_Area" localSheetId="14">'Imported Starch'!$H$3:$N$272</definedName>
    <definedName name="_xlnm.Print_Area" localSheetId="2">Interactive!$B$1:$Q$32</definedName>
    <definedName name="_xlnm.Print_Area" localSheetId="5">LevelisedCost!$F$3:$U$40</definedName>
    <definedName name="_xlnm.Print_Area" localSheetId="7">LocationImpact!$E$3:$T$41</definedName>
    <definedName name="_xlnm.Print_Area" localSheetId="8">'Price Impact'!$F$3:$U$41</definedName>
    <definedName name="_xlnm.Print_Area" localSheetId="4">ProductionCurve!$F$4:$U$41</definedName>
    <definedName name="_xlnm.Print_Area" localSheetId="6">ScaleImpact!$E$3:$T$42</definedName>
    <definedName name="_xlnm.Print_Area" localSheetId="15">'Sorgum (Starch)'!$H$3:$N$270</definedName>
    <definedName name="_xlnm.Print_Area" localSheetId="13">'Wheat Integrated (Starch)'!$A$2:$N$270</definedName>
    <definedName name="_xlnm.Print_Area" localSheetId="12">'Wheat Standalone (Starch)'!$G$3:$N$270</definedName>
  </definedNames>
  <calcPr calcId="145621"/>
</workbook>
</file>

<file path=xl/calcChain.xml><?xml version="1.0" encoding="utf-8"?>
<calcChain xmlns="http://schemas.openxmlformats.org/spreadsheetml/2006/main">
  <c r="B39" i="32" l="1"/>
  <c r="C39" i="32"/>
  <c r="C40" i="32"/>
  <c r="B40" i="32" s="1"/>
  <c r="F38" i="32"/>
  <c r="F39" i="32"/>
  <c r="F40" i="32"/>
  <c r="F41" i="32"/>
  <c r="F42" i="32"/>
  <c r="F37" i="32"/>
  <c r="E38" i="32"/>
  <c r="E39" i="32"/>
  <c r="E40" i="32"/>
  <c r="E41" i="32"/>
  <c r="E42" i="32"/>
  <c r="E37" i="32"/>
  <c r="D140" i="42"/>
  <c r="U7" i="5"/>
  <c r="U5" i="5"/>
  <c r="C41" i="32" l="1"/>
  <c r="AH95" i="53"/>
  <c r="E7" i="42" s="1"/>
  <c r="AI95" i="53"/>
  <c r="G7" i="42" s="1"/>
  <c r="AH96" i="53"/>
  <c r="E8" i="42" s="1"/>
  <c r="AI96" i="53"/>
  <c r="G8" i="42" s="1"/>
  <c r="AH97" i="53"/>
  <c r="E9" i="42" s="1"/>
  <c r="AI97" i="53"/>
  <c r="G9" i="42" s="1"/>
  <c r="AH98" i="53"/>
  <c r="E10" i="42" s="1"/>
  <c r="AI98" i="53"/>
  <c r="G10" i="42" s="1"/>
  <c r="AH99" i="53"/>
  <c r="E11" i="42" s="1"/>
  <c r="AI99" i="53"/>
  <c r="G11" i="42" s="1"/>
  <c r="AH100" i="53"/>
  <c r="E12" i="42" s="1"/>
  <c r="AI100" i="53"/>
  <c r="G12" i="42" s="1"/>
  <c r="AH101" i="53"/>
  <c r="E13" i="42" s="1"/>
  <c r="AI101" i="53"/>
  <c r="G13" i="42" s="1"/>
  <c r="AH102" i="53"/>
  <c r="E14" i="42" s="1"/>
  <c r="AI102" i="53"/>
  <c r="G14" i="42" s="1"/>
  <c r="AG102" i="53"/>
  <c r="C14" i="42" s="1"/>
  <c r="AG101" i="53"/>
  <c r="C13" i="42" s="1"/>
  <c r="AG100" i="53"/>
  <c r="C12" i="42" s="1"/>
  <c r="AG99" i="53"/>
  <c r="C11" i="42" s="1"/>
  <c r="AG98" i="53"/>
  <c r="C10" i="42" s="1"/>
  <c r="AG97" i="53"/>
  <c r="C9" i="42" s="1"/>
  <c r="AG96" i="53"/>
  <c r="C8" i="42" s="1"/>
  <c r="AG95" i="53"/>
  <c r="C7" i="42" s="1"/>
  <c r="L20" i="32"/>
  <c r="K20" i="32"/>
  <c r="J20" i="32"/>
  <c r="C42" i="32" l="1"/>
  <c r="B42" i="32" s="1"/>
  <c r="B41" i="32"/>
  <c r="AJ107" i="42"/>
  <c r="AG107" i="42"/>
  <c r="AF106" i="42"/>
  <c r="AC106" i="42"/>
  <c r="AB105" i="42"/>
  <c r="Y105" i="42"/>
  <c r="X104" i="42"/>
  <c r="U104" i="42"/>
  <c r="T103" i="42"/>
  <c r="Q103" i="42"/>
  <c r="P102" i="42"/>
  <c r="M102" i="42"/>
  <c r="C102" i="42"/>
  <c r="M101" i="42" s="1"/>
  <c r="M100" i="42" s="1"/>
  <c r="D50" i="42"/>
  <c r="E50" i="42"/>
  <c r="F50" i="42"/>
  <c r="G50" i="42"/>
  <c r="H50" i="42"/>
  <c r="I50" i="42"/>
  <c r="J50" i="42"/>
  <c r="E51" i="42"/>
  <c r="F51" i="42"/>
  <c r="G51" i="42"/>
  <c r="H51" i="42"/>
  <c r="I51" i="42"/>
  <c r="J51" i="42"/>
  <c r="D52" i="42"/>
  <c r="E52" i="42"/>
  <c r="F52" i="42"/>
  <c r="G52" i="42"/>
  <c r="H52" i="42"/>
  <c r="I52" i="42"/>
  <c r="J52" i="42"/>
  <c r="E53" i="42"/>
  <c r="F53" i="42"/>
  <c r="G53" i="42"/>
  <c r="H53" i="42"/>
  <c r="I53" i="42"/>
  <c r="J53" i="42"/>
  <c r="D54" i="42"/>
  <c r="E54" i="42"/>
  <c r="F54" i="42"/>
  <c r="G54" i="42"/>
  <c r="H54" i="42"/>
  <c r="I54" i="42"/>
  <c r="J54" i="42"/>
  <c r="E55" i="42"/>
  <c r="F55" i="42"/>
  <c r="G55" i="42"/>
  <c r="H55" i="42"/>
  <c r="I55" i="42"/>
  <c r="J55" i="42"/>
  <c r="D56" i="42"/>
  <c r="E56" i="42"/>
  <c r="F56" i="42"/>
  <c r="G56" i="42"/>
  <c r="H56" i="42"/>
  <c r="I56" i="42"/>
  <c r="J56" i="42"/>
  <c r="E57" i="42"/>
  <c r="F57" i="42"/>
  <c r="G57" i="42"/>
  <c r="H57" i="42"/>
  <c r="I57" i="42"/>
  <c r="J57" i="42"/>
  <c r="D58" i="42"/>
  <c r="E58" i="42"/>
  <c r="F58" i="42"/>
  <c r="G58" i="42"/>
  <c r="H58" i="42"/>
  <c r="I58" i="42"/>
  <c r="J58" i="42"/>
  <c r="E59" i="42"/>
  <c r="F59" i="42"/>
  <c r="G59" i="42"/>
  <c r="H59" i="42"/>
  <c r="I59" i="42"/>
  <c r="J59" i="42"/>
  <c r="D60" i="42"/>
  <c r="E60" i="42"/>
  <c r="F60" i="42"/>
  <c r="G60" i="42"/>
  <c r="H60" i="42"/>
  <c r="I60" i="42"/>
  <c r="J60" i="42"/>
  <c r="E61" i="42"/>
  <c r="F61" i="42"/>
  <c r="G61" i="42"/>
  <c r="H61" i="42"/>
  <c r="I61" i="42"/>
  <c r="J61" i="42"/>
  <c r="D62" i="42"/>
  <c r="E62" i="42"/>
  <c r="F62" i="42"/>
  <c r="G62" i="42"/>
  <c r="H62" i="42"/>
  <c r="I62" i="42"/>
  <c r="J62" i="42"/>
  <c r="E63" i="42"/>
  <c r="F63" i="42"/>
  <c r="G63" i="42"/>
  <c r="H63" i="42"/>
  <c r="I63" i="42"/>
  <c r="J63" i="42"/>
  <c r="D64" i="42"/>
  <c r="E64" i="42"/>
  <c r="F64" i="42"/>
  <c r="G64" i="42"/>
  <c r="H64" i="42"/>
  <c r="I64" i="42"/>
  <c r="J64" i="42"/>
  <c r="E65" i="42"/>
  <c r="F65" i="42"/>
  <c r="G65" i="42"/>
  <c r="H65" i="42"/>
  <c r="I65" i="42"/>
  <c r="J65" i="42"/>
  <c r="D31" i="42"/>
  <c r="E31" i="42"/>
  <c r="F31" i="42"/>
  <c r="G31" i="42"/>
  <c r="H31" i="42"/>
  <c r="I31" i="42"/>
  <c r="J31" i="42"/>
  <c r="E32" i="42"/>
  <c r="F32" i="42"/>
  <c r="G32" i="42"/>
  <c r="H32" i="42"/>
  <c r="I32" i="42"/>
  <c r="J32" i="42"/>
  <c r="D33" i="42"/>
  <c r="E33" i="42"/>
  <c r="F33" i="42"/>
  <c r="G33" i="42"/>
  <c r="H33" i="42"/>
  <c r="I33" i="42"/>
  <c r="J33" i="42"/>
  <c r="E34" i="42"/>
  <c r="F34" i="42"/>
  <c r="G34" i="42"/>
  <c r="H34" i="42"/>
  <c r="I34" i="42"/>
  <c r="J34" i="42"/>
  <c r="D35" i="42"/>
  <c r="E35" i="42"/>
  <c r="F35" i="42"/>
  <c r="G35" i="42"/>
  <c r="H35" i="42"/>
  <c r="I35" i="42"/>
  <c r="J35" i="42"/>
  <c r="E36" i="42"/>
  <c r="F36" i="42"/>
  <c r="G36" i="42"/>
  <c r="H36" i="42"/>
  <c r="I36" i="42"/>
  <c r="J36" i="42"/>
  <c r="D37" i="42"/>
  <c r="E37" i="42"/>
  <c r="F37" i="42"/>
  <c r="G37" i="42"/>
  <c r="H37" i="42"/>
  <c r="I37" i="42"/>
  <c r="J37" i="42"/>
  <c r="E38" i="42"/>
  <c r="F38" i="42"/>
  <c r="G38" i="42"/>
  <c r="H38" i="42"/>
  <c r="I38" i="42"/>
  <c r="J38" i="42"/>
  <c r="D39" i="42"/>
  <c r="E39" i="42"/>
  <c r="F39" i="42"/>
  <c r="G39" i="42"/>
  <c r="H39" i="42"/>
  <c r="I39" i="42"/>
  <c r="J39" i="42"/>
  <c r="E40" i="42"/>
  <c r="F40" i="42"/>
  <c r="G40" i="42"/>
  <c r="H40" i="42"/>
  <c r="I40" i="42"/>
  <c r="J40" i="42"/>
  <c r="D41" i="42"/>
  <c r="E41" i="42"/>
  <c r="F41" i="42"/>
  <c r="G41" i="42"/>
  <c r="H41" i="42"/>
  <c r="I41" i="42"/>
  <c r="J41" i="42"/>
  <c r="E42" i="42"/>
  <c r="F42" i="42"/>
  <c r="G42" i="42"/>
  <c r="H42" i="42"/>
  <c r="I42" i="42"/>
  <c r="J42" i="42"/>
  <c r="D43" i="42"/>
  <c r="E43" i="42"/>
  <c r="F43" i="42"/>
  <c r="G43" i="42"/>
  <c r="H43" i="42"/>
  <c r="I43" i="42"/>
  <c r="J43" i="42"/>
  <c r="E44" i="42"/>
  <c r="F44" i="42"/>
  <c r="G44" i="42"/>
  <c r="H44" i="42"/>
  <c r="I44" i="42"/>
  <c r="J44" i="42"/>
  <c r="D45" i="42"/>
  <c r="E45" i="42"/>
  <c r="F45" i="42"/>
  <c r="G45" i="42"/>
  <c r="H45" i="42"/>
  <c r="I45" i="42"/>
  <c r="J45" i="42"/>
  <c r="E46" i="42"/>
  <c r="F46" i="42"/>
  <c r="G46" i="42"/>
  <c r="H46" i="42"/>
  <c r="I46" i="42"/>
  <c r="J46" i="42"/>
  <c r="N101" i="42"/>
  <c r="N100" i="42" s="1"/>
  <c r="M105" i="42" l="1"/>
  <c r="M107" i="42"/>
  <c r="M104" i="42"/>
  <c r="M106" i="42"/>
  <c r="M103" i="42"/>
  <c r="K11" i="56"/>
  <c r="C11" i="55" l="1"/>
  <c r="E11" i="55"/>
  <c r="P173" i="31"/>
  <c r="P173" i="48"/>
  <c r="O137" i="29"/>
  <c r="O137" i="19"/>
  <c r="P157" i="30"/>
  <c r="R159" i="35"/>
  <c r="P157" i="52"/>
  <c r="P157" i="40"/>
  <c r="D7" i="42"/>
  <c r="L19" i="32" l="1"/>
  <c r="J19" i="32"/>
  <c r="L17" i="32"/>
  <c r="E14" i="53" l="1"/>
  <c r="G241" i="9" l="1"/>
  <c r="G230" i="9"/>
  <c r="G215" i="9"/>
  <c r="G201" i="9"/>
  <c r="G168" i="9"/>
  <c r="G182" i="9"/>
  <c r="G149" i="9"/>
  <c r="G138" i="9"/>
  <c r="G122" i="9"/>
  <c r="G108" i="9"/>
  <c r="G80" i="9"/>
  <c r="G90" i="9" s="1"/>
  <c r="D241" i="9"/>
  <c r="D230" i="9"/>
  <c r="D215" i="9"/>
  <c r="D201" i="9"/>
  <c r="D149" i="9"/>
  <c r="D138" i="9"/>
  <c r="D122" i="9"/>
  <c r="C123" i="9"/>
  <c r="D123" i="9"/>
  <c r="D108" i="9"/>
  <c r="D90" i="9"/>
  <c r="D182" i="9"/>
  <c r="D168" i="9"/>
  <c r="D80" i="9"/>
  <c r="E65" i="9"/>
  <c r="G51" i="9"/>
  <c r="AQ34" i="9"/>
  <c r="G22" i="9"/>
  <c r="G32" i="9" s="1"/>
  <c r="D65" i="9"/>
  <c r="D51" i="9"/>
  <c r="D32" i="9"/>
  <c r="D22" i="9"/>
  <c r="F47" i="33"/>
  <c r="G47" i="33"/>
  <c r="H47" i="33"/>
  <c r="I47" i="33"/>
  <c r="J47" i="33"/>
  <c r="K47" i="33"/>
  <c r="L47" i="33"/>
  <c r="F61" i="33"/>
  <c r="G61" i="33"/>
  <c r="H61" i="33"/>
  <c r="I61" i="33"/>
  <c r="J61" i="33"/>
  <c r="K61" i="33"/>
  <c r="L61" i="33"/>
  <c r="E61" i="33"/>
  <c r="F8" i="42"/>
  <c r="F9" i="42"/>
  <c r="F10" i="42"/>
  <c r="F11" i="42"/>
  <c r="F12" i="42"/>
  <c r="F13" i="42"/>
  <c r="F14" i="42"/>
  <c r="F7" i="42"/>
  <c r="D8" i="42"/>
  <c r="D9" i="42"/>
  <c r="D10" i="42"/>
  <c r="D11" i="42"/>
  <c r="D12" i="42"/>
  <c r="D13" i="42"/>
  <c r="D14" i="42"/>
  <c r="G65" i="9" l="1"/>
  <c r="E54" i="33"/>
  <c r="E53" i="33"/>
  <c r="I54" i="33"/>
  <c r="I53" i="33"/>
  <c r="C75" i="42" l="1"/>
  <c r="C97" i="42" s="1"/>
  <c r="C74" i="42"/>
  <c r="C96" i="42" s="1"/>
  <c r="C73" i="42"/>
  <c r="D73" i="42" s="1"/>
  <c r="D95" i="42" s="1"/>
  <c r="C72" i="42"/>
  <c r="C94" i="42" s="1"/>
  <c r="C71" i="42"/>
  <c r="C93" i="42" s="1"/>
  <c r="C70" i="42"/>
  <c r="D70" i="42" s="1"/>
  <c r="D92" i="42" s="1"/>
  <c r="F157" i="9"/>
  <c r="F158" i="9"/>
  <c r="D75" i="42" l="1"/>
  <c r="D97" i="42" s="1"/>
  <c r="C92" i="42"/>
  <c r="D74" i="42"/>
  <c r="D96" i="42" s="1"/>
  <c r="D71" i="42"/>
  <c r="D93" i="42" s="1"/>
  <c r="D72" i="42"/>
  <c r="D94" i="42" s="1"/>
  <c r="C95" i="42"/>
  <c r="E94" i="42" l="1"/>
  <c r="E97" i="42"/>
  <c r="E95" i="42"/>
  <c r="E92" i="42"/>
  <c r="E96" i="42"/>
  <c r="E93" i="42"/>
  <c r="D181" i="9"/>
  <c r="D179" i="9"/>
  <c r="E179" i="9"/>
  <c r="D180" i="9"/>
  <c r="B11" i="5"/>
  <c r="B46" i="5" s="1"/>
  <c r="B23" i="5"/>
  <c r="L53" i="5"/>
  <c r="I47" i="56"/>
  <c r="J47" i="56" s="1"/>
  <c r="K47" i="56" s="1"/>
  <c r="L47" i="56" s="1"/>
  <c r="M47" i="56" s="1"/>
  <c r="N47" i="56" s="1"/>
  <c r="O47" i="56" s="1"/>
  <c r="P47" i="56" s="1"/>
  <c r="Q47" i="56" s="1"/>
  <c r="R47" i="56" s="1"/>
  <c r="S47" i="56" s="1"/>
  <c r="T47" i="56" s="1"/>
  <c r="U47" i="56" s="1"/>
  <c r="V47" i="56" s="1"/>
  <c r="W47" i="56" s="1"/>
  <c r="I46" i="56"/>
  <c r="E156" i="9"/>
  <c r="E157" i="9"/>
  <c r="E158" i="9"/>
  <c r="E159" i="9"/>
  <c r="E160" i="9"/>
  <c r="E161" i="9"/>
  <c r="E162" i="9"/>
  <c r="E163" i="9"/>
  <c r="E164" i="9"/>
  <c r="E165" i="9"/>
  <c r="E166" i="9"/>
  <c r="E180" i="9" s="1"/>
  <c r="E167" i="9"/>
  <c r="E181" i="9" s="1"/>
  <c r="K6" i="56"/>
  <c r="H48" i="56" s="1"/>
  <c r="I48" i="56" s="1"/>
  <c r="K4" i="56"/>
  <c r="G364" i="56" s="1"/>
  <c r="K3" i="56"/>
  <c r="E359" i="56"/>
  <c r="E357" i="56"/>
  <c r="E355" i="56"/>
  <c r="E354" i="56"/>
  <c r="E353" i="56"/>
  <c r="E352" i="56"/>
  <c r="E350" i="56"/>
  <c r="E349" i="56"/>
  <c r="E348" i="56"/>
  <c r="E347" i="56"/>
  <c r="E346" i="56"/>
  <c r="E345" i="56"/>
  <c r="E344" i="56"/>
  <c r="E342" i="56"/>
  <c r="E341" i="56"/>
  <c r="E340" i="56"/>
  <c r="E339" i="56"/>
  <c r="E338" i="56"/>
  <c r="F337" i="56"/>
  <c r="E337" i="56"/>
  <c r="E336" i="56"/>
  <c r="E332" i="56"/>
  <c r="J325" i="56"/>
  <c r="K325" i="56" s="1"/>
  <c r="L325" i="56" s="1"/>
  <c r="M325" i="56" s="1"/>
  <c r="N325" i="56" s="1"/>
  <c r="O325" i="56" s="1"/>
  <c r="P325" i="56" s="1"/>
  <c r="Q325" i="56" s="1"/>
  <c r="R325" i="56" s="1"/>
  <c r="S325" i="56" s="1"/>
  <c r="T325" i="56" s="1"/>
  <c r="U325" i="56" s="1"/>
  <c r="V325" i="56" s="1"/>
  <c r="W325" i="56" s="1"/>
  <c r="E320" i="56"/>
  <c r="E318" i="56"/>
  <c r="E316" i="56"/>
  <c r="E315" i="56"/>
  <c r="E314" i="56"/>
  <c r="E313" i="56"/>
  <c r="E311" i="56"/>
  <c r="E310" i="56"/>
  <c r="E309" i="56"/>
  <c r="F308" i="56"/>
  <c r="E308" i="56"/>
  <c r="E307" i="56"/>
  <c r="E306" i="56"/>
  <c r="E305" i="56"/>
  <c r="E303" i="56"/>
  <c r="E302" i="56"/>
  <c r="E301" i="56"/>
  <c r="E300" i="56"/>
  <c r="E299" i="56"/>
  <c r="F298" i="56"/>
  <c r="E298" i="56"/>
  <c r="E297" i="56"/>
  <c r="E293" i="56"/>
  <c r="J286" i="56"/>
  <c r="K286" i="56" s="1"/>
  <c r="L286" i="56" s="1"/>
  <c r="M286" i="56" s="1"/>
  <c r="N286" i="56" s="1"/>
  <c r="O286" i="56" s="1"/>
  <c r="P286" i="56" s="1"/>
  <c r="Q286" i="56" s="1"/>
  <c r="R286" i="56" s="1"/>
  <c r="S286" i="56" s="1"/>
  <c r="T286" i="56" s="1"/>
  <c r="U286" i="56" s="1"/>
  <c r="V286" i="56" s="1"/>
  <c r="W286" i="56" s="1"/>
  <c r="E281" i="56"/>
  <c r="E279" i="56"/>
  <c r="E277" i="56"/>
  <c r="E276" i="56"/>
  <c r="E275" i="56"/>
  <c r="E274" i="56"/>
  <c r="E272" i="56"/>
  <c r="E271" i="56"/>
  <c r="E270" i="56"/>
  <c r="E269" i="56"/>
  <c r="E268" i="56"/>
  <c r="E267" i="56"/>
  <c r="E266" i="56"/>
  <c r="E264" i="56"/>
  <c r="E263" i="56"/>
  <c r="E262" i="56"/>
  <c r="E261" i="56"/>
  <c r="E260" i="56"/>
  <c r="F259" i="56"/>
  <c r="E259" i="56"/>
  <c r="E258" i="56"/>
  <c r="E254" i="56"/>
  <c r="N247" i="56"/>
  <c r="O247" i="56" s="1"/>
  <c r="P247" i="56" s="1"/>
  <c r="Q247" i="56" s="1"/>
  <c r="R247" i="56" s="1"/>
  <c r="S247" i="56" s="1"/>
  <c r="T247" i="56" s="1"/>
  <c r="U247" i="56" s="1"/>
  <c r="V247" i="56" s="1"/>
  <c r="W247" i="56" s="1"/>
  <c r="J247" i="56"/>
  <c r="K247" i="56" s="1"/>
  <c r="L247" i="56" s="1"/>
  <c r="M247" i="56" s="1"/>
  <c r="E242" i="56"/>
  <c r="E238" i="56"/>
  <c r="E237" i="56"/>
  <c r="E236" i="56"/>
  <c r="E235" i="56"/>
  <c r="E233" i="56"/>
  <c r="E232" i="56"/>
  <c r="E231" i="56"/>
  <c r="E230" i="56"/>
  <c r="E229" i="56"/>
  <c r="E228" i="56"/>
  <c r="E227" i="56"/>
  <c r="E225" i="56"/>
  <c r="E224" i="56"/>
  <c r="E223" i="56"/>
  <c r="E222" i="56"/>
  <c r="E221" i="56"/>
  <c r="F220" i="56"/>
  <c r="E220" i="56"/>
  <c r="E219" i="56"/>
  <c r="E215" i="56"/>
  <c r="P208" i="56"/>
  <c r="Q208" i="56" s="1"/>
  <c r="R208" i="56" s="1"/>
  <c r="S208" i="56" s="1"/>
  <c r="T208" i="56" s="1"/>
  <c r="U208" i="56" s="1"/>
  <c r="V208" i="56" s="1"/>
  <c r="W208" i="56" s="1"/>
  <c r="J208" i="56"/>
  <c r="K208" i="56" s="1"/>
  <c r="L208" i="56" s="1"/>
  <c r="M208" i="56" s="1"/>
  <c r="N208" i="56" s="1"/>
  <c r="O208" i="56" s="1"/>
  <c r="E203" i="56"/>
  <c r="E199" i="56"/>
  <c r="E198" i="56"/>
  <c r="E197" i="56"/>
  <c r="E196" i="56"/>
  <c r="E194" i="56"/>
  <c r="E193" i="56"/>
  <c r="E192" i="56"/>
  <c r="E191" i="56"/>
  <c r="E190" i="56"/>
  <c r="E189" i="56"/>
  <c r="E188" i="56"/>
  <c r="E186" i="56"/>
  <c r="E185" i="56"/>
  <c r="F184" i="56"/>
  <c r="E184" i="56"/>
  <c r="E183" i="56"/>
  <c r="E182" i="56"/>
  <c r="F181" i="56"/>
  <c r="E181" i="56"/>
  <c r="E180" i="56"/>
  <c r="E176" i="56"/>
  <c r="M169" i="56"/>
  <c r="N169" i="56" s="1"/>
  <c r="O169" i="56" s="1"/>
  <c r="P169" i="56" s="1"/>
  <c r="Q169" i="56" s="1"/>
  <c r="R169" i="56" s="1"/>
  <c r="S169" i="56" s="1"/>
  <c r="T169" i="56" s="1"/>
  <c r="U169" i="56" s="1"/>
  <c r="V169" i="56" s="1"/>
  <c r="W169" i="56" s="1"/>
  <c r="K169" i="56"/>
  <c r="L169" i="56" s="1"/>
  <c r="J169" i="56"/>
  <c r="E164" i="56"/>
  <c r="E160" i="56"/>
  <c r="E159" i="56"/>
  <c r="E158" i="56"/>
  <c r="E157" i="56"/>
  <c r="F155" i="56"/>
  <c r="E155" i="56"/>
  <c r="E154" i="56"/>
  <c r="E153" i="56"/>
  <c r="E152" i="56"/>
  <c r="E151" i="56"/>
  <c r="E150" i="56"/>
  <c r="E149" i="56"/>
  <c r="E147" i="56"/>
  <c r="E146" i="56"/>
  <c r="F145" i="56"/>
  <c r="E145" i="56"/>
  <c r="F144" i="56"/>
  <c r="E144" i="56"/>
  <c r="E143" i="56"/>
  <c r="F142" i="56"/>
  <c r="E142" i="56"/>
  <c r="E141" i="56"/>
  <c r="E139" i="56"/>
  <c r="E178" i="56" s="1"/>
  <c r="E217" i="56" s="1"/>
  <c r="E256" i="56" s="1"/>
  <c r="E295" i="56" s="1"/>
  <c r="E334" i="56" s="1"/>
  <c r="P130" i="56"/>
  <c r="Q130" i="56" s="1"/>
  <c r="R130" i="56" s="1"/>
  <c r="S130" i="56" s="1"/>
  <c r="T130" i="56" s="1"/>
  <c r="U130" i="56" s="1"/>
  <c r="V130" i="56" s="1"/>
  <c r="W130" i="56" s="1"/>
  <c r="J130" i="56"/>
  <c r="K130" i="56" s="1"/>
  <c r="L130" i="56" s="1"/>
  <c r="M130" i="56" s="1"/>
  <c r="N130" i="56" s="1"/>
  <c r="O130" i="56" s="1"/>
  <c r="E125" i="56"/>
  <c r="E123" i="56"/>
  <c r="F121" i="56"/>
  <c r="E121" i="56"/>
  <c r="F120" i="56"/>
  <c r="E120" i="56"/>
  <c r="E119" i="56"/>
  <c r="E118" i="56"/>
  <c r="E116" i="56"/>
  <c r="E115" i="56"/>
  <c r="E114" i="56"/>
  <c r="F113" i="56"/>
  <c r="E113" i="56"/>
  <c r="E112" i="56"/>
  <c r="E111" i="56"/>
  <c r="E110" i="56"/>
  <c r="E108" i="56"/>
  <c r="F107" i="56"/>
  <c r="E107" i="56"/>
  <c r="F106" i="56"/>
  <c r="E106" i="56"/>
  <c r="E105" i="56"/>
  <c r="E104" i="56"/>
  <c r="F103" i="56"/>
  <c r="E103" i="56"/>
  <c r="E102" i="56"/>
  <c r="E100" i="56"/>
  <c r="E98" i="56"/>
  <c r="N91" i="56"/>
  <c r="O91" i="56" s="1"/>
  <c r="P91" i="56" s="1"/>
  <c r="Q91" i="56" s="1"/>
  <c r="R91" i="56" s="1"/>
  <c r="S91" i="56" s="1"/>
  <c r="T91" i="56" s="1"/>
  <c r="U91" i="56" s="1"/>
  <c r="V91" i="56" s="1"/>
  <c r="W91" i="56" s="1"/>
  <c r="K91" i="56"/>
  <c r="L91" i="56" s="1"/>
  <c r="M91" i="56" s="1"/>
  <c r="J91" i="56"/>
  <c r="E86" i="56"/>
  <c r="F82" i="56"/>
  <c r="F238" i="56" s="1"/>
  <c r="F81" i="56"/>
  <c r="F80" i="56"/>
  <c r="F119" i="56" s="1"/>
  <c r="F79" i="56"/>
  <c r="F77" i="56"/>
  <c r="F76" i="56"/>
  <c r="F75" i="56"/>
  <c r="F74" i="56"/>
  <c r="F72" i="56"/>
  <c r="F69" i="56"/>
  <c r="F68" i="56"/>
  <c r="F185" i="56" s="1"/>
  <c r="F67" i="56"/>
  <c r="F66" i="56"/>
  <c r="F65" i="56"/>
  <c r="C61" i="56"/>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F59" i="56"/>
  <c r="F58" i="56"/>
  <c r="F55" i="56"/>
  <c r="F54" i="56"/>
  <c r="F53" i="56"/>
  <c r="K52" i="56"/>
  <c r="L52" i="56" s="1"/>
  <c r="M52" i="56" s="1"/>
  <c r="N52" i="56" s="1"/>
  <c r="O52" i="56" s="1"/>
  <c r="P52" i="56" s="1"/>
  <c r="Q52" i="56" s="1"/>
  <c r="R52" i="56" s="1"/>
  <c r="S52" i="56" s="1"/>
  <c r="T52" i="56" s="1"/>
  <c r="U52" i="56" s="1"/>
  <c r="V52" i="56" s="1"/>
  <c r="W52" i="56" s="1"/>
  <c r="J52" i="56"/>
  <c r="F52" i="56"/>
  <c r="F51" i="56"/>
  <c r="F21" i="56"/>
  <c r="C42" i="55"/>
  <c r="C54" i="55" s="1"/>
  <c r="K12" i="56" s="1"/>
  <c r="F22" i="55"/>
  <c r="F24" i="55" s="1"/>
  <c r="F25" i="55" s="1"/>
  <c r="E22" i="55"/>
  <c r="C22" i="55"/>
  <c r="C23" i="55" s="1"/>
  <c r="C20" i="55"/>
  <c r="C28" i="55" s="1"/>
  <c r="C19" i="55"/>
  <c r="H17" i="55"/>
  <c r="G17" i="55"/>
  <c r="G19" i="55" s="1"/>
  <c r="F17" i="55"/>
  <c r="F19" i="55" s="1"/>
  <c r="D17" i="55"/>
  <c r="H16" i="55"/>
  <c r="G16" i="55"/>
  <c r="F16" i="55"/>
  <c r="H15" i="55"/>
  <c r="G15" i="55"/>
  <c r="C56" i="55" s="1"/>
  <c r="F15" i="55"/>
  <c r="H14" i="55"/>
  <c r="G14" i="55"/>
  <c r="C55" i="55" s="1"/>
  <c r="K13" i="56" s="1"/>
  <c r="F14" i="55"/>
  <c r="H13" i="55"/>
  <c r="G13" i="55"/>
  <c r="F13" i="55"/>
  <c r="E12" i="55"/>
  <c r="C12" i="55"/>
  <c r="H10" i="55"/>
  <c r="H11" i="55" s="1"/>
  <c r="H12" i="55" s="1"/>
  <c r="F10" i="55"/>
  <c r="D10" i="55"/>
  <c r="D11" i="55" s="1"/>
  <c r="H7" i="55"/>
  <c r="G7" i="55"/>
  <c r="E7" i="55"/>
  <c r="D7" i="55"/>
  <c r="H6" i="55"/>
  <c r="G6" i="55"/>
  <c r="F6" i="55"/>
  <c r="E6" i="55"/>
  <c r="D6" i="55"/>
  <c r="H5" i="55"/>
  <c r="G5" i="55"/>
  <c r="E5" i="55"/>
  <c r="E19" i="55" s="1"/>
  <c r="D5" i="55"/>
  <c r="D19" i="55" s="1"/>
  <c r="E102" i="42" l="1"/>
  <c r="E103" i="42" s="1"/>
  <c r="E104" i="42" s="1"/>
  <c r="E105" i="42" s="1"/>
  <c r="E106" i="42" s="1"/>
  <c r="E107" i="42" s="1"/>
  <c r="I107" i="42"/>
  <c r="B104" i="42"/>
  <c r="I106" i="42"/>
  <c r="I105" i="42"/>
  <c r="I102" i="42"/>
  <c r="I104" i="42"/>
  <c r="B107" i="42"/>
  <c r="I103" i="42"/>
  <c r="B102" i="42"/>
  <c r="B105" i="42"/>
  <c r="B106" i="42"/>
  <c r="B103" i="42"/>
  <c r="C29" i="55"/>
  <c r="C30" i="55" s="1"/>
  <c r="F11" i="55"/>
  <c r="F27" i="55" s="1"/>
  <c r="E49" i="5"/>
  <c r="B143" i="42"/>
  <c r="B144" i="42"/>
  <c r="B142" i="42"/>
  <c r="H47" i="56"/>
  <c r="D20" i="55"/>
  <c r="D27" i="55"/>
  <c r="C58" i="55"/>
  <c r="F352" i="56"/>
  <c r="F313" i="56"/>
  <c r="F235" i="56"/>
  <c r="F274" i="56"/>
  <c r="F196" i="56"/>
  <c r="F157" i="56"/>
  <c r="F118" i="56"/>
  <c r="E29" i="55"/>
  <c r="E30" i="55" s="1"/>
  <c r="E20" i="55"/>
  <c r="F20" i="55"/>
  <c r="J48" i="56"/>
  <c r="E24" i="55"/>
  <c r="E25" i="55" s="1"/>
  <c r="E23" i="55"/>
  <c r="G20" i="55"/>
  <c r="H22" i="55"/>
  <c r="H19" i="55"/>
  <c r="G22" i="55"/>
  <c r="C48" i="55"/>
  <c r="E27" i="55"/>
  <c r="C27" i="55"/>
  <c r="F350" i="56"/>
  <c r="F233" i="56"/>
  <c r="F194" i="56"/>
  <c r="F311" i="56"/>
  <c r="F272" i="56"/>
  <c r="F116" i="56"/>
  <c r="D22" i="55"/>
  <c r="F23" i="55"/>
  <c r="C46" i="55"/>
  <c r="F303" i="56"/>
  <c r="F342" i="56"/>
  <c r="F264" i="56"/>
  <c r="F186" i="56"/>
  <c r="F225" i="56"/>
  <c r="F147" i="56"/>
  <c r="F108" i="56"/>
  <c r="F338" i="56"/>
  <c r="F299" i="56"/>
  <c r="F260" i="56"/>
  <c r="F221" i="56"/>
  <c r="F182" i="56"/>
  <c r="F143" i="56"/>
  <c r="F261" i="56"/>
  <c r="F222" i="56"/>
  <c r="F339" i="56"/>
  <c r="F300" i="56"/>
  <c r="F183" i="56"/>
  <c r="F105" i="56"/>
  <c r="C24" i="55"/>
  <c r="C25" i="55" s="1"/>
  <c r="C50" i="55"/>
  <c r="F345" i="56"/>
  <c r="F306" i="56"/>
  <c r="F228" i="56"/>
  <c r="F189" i="56"/>
  <c r="F267" i="56"/>
  <c r="F111" i="56"/>
  <c r="G10" i="55"/>
  <c r="C51" i="55" s="1"/>
  <c r="F309" i="56"/>
  <c r="F231" i="56"/>
  <c r="F348" i="56"/>
  <c r="F270" i="56"/>
  <c r="F192" i="56"/>
  <c r="F114" i="56"/>
  <c r="F104" i="56"/>
  <c r="F150" i="56"/>
  <c r="C57" i="55"/>
  <c r="D12" i="55"/>
  <c r="F153" i="56"/>
  <c r="F310" i="56"/>
  <c r="F349" i="56"/>
  <c r="F271" i="56"/>
  <c r="F232" i="56"/>
  <c r="F193" i="56"/>
  <c r="F154" i="56"/>
  <c r="F146" i="56"/>
  <c r="F340" i="56"/>
  <c r="F301" i="56"/>
  <c r="F262" i="56"/>
  <c r="F353" i="56"/>
  <c r="F314" i="56"/>
  <c r="F275" i="56"/>
  <c r="F236" i="56"/>
  <c r="F197" i="56"/>
  <c r="F158" i="56"/>
  <c r="F302" i="56"/>
  <c r="F263" i="56"/>
  <c r="F341" i="56"/>
  <c r="F224" i="56"/>
  <c r="F269" i="56"/>
  <c r="F347" i="56"/>
  <c r="F230" i="56"/>
  <c r="F354" i="56"/>
  <c r="F276" i="56"/>
  <c r="F237" i="56"/>
  <c r="F198" i="56"/>
  <c r="F315" i="56"/>
  <c r="F159" i="56"/>
  <c r="F115" i="56"/>
  <c r="F152" i="56"/>
  <c r="F277" i="56"/>
  <c r="F316" i="56"/>
  <c r="F199" i="56"/>
  <c r="F160" i="56"/>
  <c r="F355" i="56"/>
  <c r="F191" i="56"/>
  <c r="F223" i="56"/>
  <c r="V112" i="42" l="1"/>
  <c r="AD112" i="42"/>
  <c r="O113" i="42"/>
  <c r="AE113" i="42"/>
  <c r="P114" i="42"/>
  <c r="X114" i="42"/>
  <c r="AF114" i="42"/>
  <c r="Q115" i="42"/>
  <c r="Y115" i="42"/>
  <c r="AG115" i="42"/>
  <c r="R116" i="42"/>
  <c r="Z116" i="42"/>
  <c r="S117" i="42"/>
  <c r="AA117" i="42"/>
  <c r="Y112" i="42"/>
  <c r="AH113" i="42"/>
  <c r="AI114" i="42"/>
  <c r="AJ115" i="42"/>
  <c r="N117" i="42"/>
  <c r="Z112" i="42"/>
  <c r="AA113" i="42"/>
  <c r="AB114" i="42"/>
  <c r="AC115" i="42"/>
  <c r="N113" i="42"/>
  <c r="AF115" i="42"/>
  <c r="R117" i="42"/>
  <c r="W112" i="42"/>
  <c r="AE112" i="42"/>
  <c r="P113" i="42"/>
  <c r="X113" i="42"/>
  <c r="AF113" i="42"/>
  <c r="Q114" i="42"/>
  <c r="Y114" i="42"/>
  <c r="AG114" i="42"/>
  <c r="R115" i="42"/>
  <c r="AH115" i="42"/>
  <c r="S116" i="42"/>
  <c r="AA116" i="42"/>
  <c r="T117" i="42"/>
  <c r="AB117" i="42"/>
  <c r="AJ117" i="42"/>
  <c r="Q112" i="42"/>
  <c r="Z113" i="42"/>
  <c r="AA114" i="42"/>
  <c r="AB115" i="42"/>
  <c r="AC116" i="42"/>
  <c r="R112" i="42"/>
  <c r="AI113" i="42"/>
  <c r="AJ114" i="42"/>
  <c r="N116" i="42"/>
  <c r="O117" i="42"/>
  <c r="AE114" i="42"/>
  <c r="Q116" i="42"/>
  <c r="Z117" i="42"/>
  <c r="P112" i="42"/>
  <c r="X112" i="42"/>
  <c r="AF112" i="42"/>
  <c r="Q113" i="42"/>
  <c r="Y113" i="42"/>
  <c r="AG113" i="42"/>
  <c r="Z114" i="42"/>
  <c r="AH114" i="42"/>
  <c r="S115" i="42"/>
  <c r="AI115" i="42"/>
  <c r="T116" i="42"/>
  <c r="AB116" i="42"/>
  <c r="AJ116" i="42"/>
  <c r="U117" i="42"/>
  <c r="AC117" i="42"/>
  <c r="AG112" i="42"/>
  <c r="T115" i="42"/>
  <c r="U116" i="42"/>
  <c r="V117" i="42"/>
  <c r="AH112" i="42"/>
  <c r="T114" i="42"/>
  <c r="U115" i="42"/>
  <c r="V116" i="42"/>
  <c r="W117" i="42"/>
  <c r="U112" i="42"/>
  <c r="AD113" i="42"/>
  <c r="P115" i="42"/>
  <c r="Y116" i="42"/>
  <c r="S112" i="42"/>
  <c r="AA112" i="42"/>
  <c r="AI112" i="42"/>
  <c r="T113" i="42"/>
  <c r="AB113" i="42"/>
  <c r="AJ113" i="42"/>
  <c r="U114" i="42"/>
  <c r="AC114" i="42"/>
  <c r="N115" i="42"/>
  <c r="V115" i="42"/>
  <c r="AD115" i="42"/>
  <c r="O116" i="42"/>
  <c r="W116" i="42"/>
  <c r="P117" i="42"/>
  <c r="X117" i="42"/>
  <c r="AF117" i="42"/>
  <c r="T112" i="42"/>
  <c r="AB112" i="42"/>
  <c r="AJ112" i="42"/>
  <c r="U113" i="42"/>
  <c r="AC113" i="42"/>
  <c r="N114" i="42"/>
  <c r="AD114" i="42"/>
  <c r="O115" i="42"/>
  <c r="W115" i="42"/>
  <c r="AE115" i="42"/>
  <c r="P116" i="42"/>
  <c r="X116" i="42"/>
  <c r="AF116" i="42"/>
  <c r="Q117" i="42"/>
  <c r="Y117" i="42"/>
  <c r="AG117" i="42"/>
  <c r="AC112" i="42"/>
  <c r="O114" i="42"/>
  <c r="X115" i="42"/>
  <c r="AG116" i="42"/>
  <c r="M112" i="42"/>
  <c r="M113" i="42"/>
  <c r="M114" i="42"/>
  <c r="M117" i="42"/>
  <c r="M115" i="42"/>
  <c r="M116" i="42"/>
  <c r="J106" i="42"/>
  <c r="AE106" i="42" s="1"/>
  <c r="AE116" i="42" s="1"/>
  <c r="AD106" i="42"/>
  <c r="AD116" i="42" s="1"/>
  <c r="J104" i="42"/>
  <c r="W104" i="42" s="1"/>
  <c r="W113" i="42" s="1"/>
  <c r="V104" i="42"/>
  <c r="V113" i="42" s="1"/>
  <c r="J102" i="42"/>
  <c r="O102" i="42" s="1"/>
  <c r="O112" i="42" s="1"/>
  <c r="N102" i="42"/>
  <c r="N112" i="42" s="1"/>
  <c r="J105" i="42"/>
  <c r="AA105" i="42" s="1"/>
  <c r="AA115" i="42" s="1"/>
  <c r="Z105" i="42"/>
  <c r="Z115" i="42" s="1"/>
  <c r="J107" i="42"/>
  <c r="AI107" i="42" s="1"/>
  <c r="AI117" i="42" s="1"/>
  <c r="AH107" i="42"/>
  <c r="AH117" i="42" s="1"/>
  <c r="J103" i="42"/>
  <c r="S103" i="42" s="1"/>
  <c r="S114" i="42" s="1"/>
  <c r="R103" i="42"/>
  <c r="R114" i="42" s="1"/>
  <c r="D112" i="42"/>
  <c r="E112" i="42"/>
  <c r="E113" i="42"/>
  <c r="E114" i="42"/>
  <c r="E116" i="42"/>
  <c r="E115" i="42"/>
  <c r="E117" i="42"/>
  <c r="F102" i="42"/>
  <c r="D103" i="42"/>
  <c r="C103" i="42" s="1"/>
  <c r="I113" i="42"/>
  <c r="I116" i="42"/>
  <c r="I114" i="42"/>
  <c r="I117" i="42"/>
  <c r="I115" i="42"/>
  <c r="I112" i="42"/>
  <c r="G141" i="42" s="1"/>
  <c r="B141" i="42"/>
  <c r="B135" i="42"/>
  <c r="B146" i="42"/>
  <c r="B133" i="42"/>
  <c r="B145" i="42"/>
  <c r="F29" i="55"/>
  <c r="F30" i="55" s="1"/>
  <c r="F12" i="55"/>
  <c r="K10" i="56"/>
  <c r="C52" i="55"/>
  <c r="C53" i="55" s="1"/>
  <c r="D23" i="55"/>
  <c r="D24" i="55"/>
  <c r="D25" i="55" s="1"/>
  <c r="E28" i="55"/>
  <c r="H29" i="55"/>
  <c r="H30" i="55" s="1"/>
  <c r="H20" i="55"/>
  <c r="H27" i="55"/>
  <c r="D29" i="55"/>
  <c r="H23" i="55"/>
  <c r="H24" i="55"/>
  <c r="H25" i="55" s="1"/>
  <c r="F28" i="55"/>
  <c r="G24" i="55"/>
  <c r="G25" i="55" s="1"/>
  <c r="G23" i="55"/>
  <c r="G11" i="55"/>
  <c r="G12" i="55"/>
  <c r="C60" i="55"/>
  <c r="C63" i="55"/>
  <c r="D28" i="55"/>
  <c r="K48" i="56"/>
  <c r="AH116" i="42" l="1"/>
  <c r="AD117" i="42"/>
  <c r="AI116" i="42"/>
  <c r="AE117" i="42"/>
  <c r="W114" i="42"/>
  <c r="V114" i="42"/>
  <c r="S113" i="42"/>
  <c r="R113" i="42"/>
  <c r="E141" i="42"/>
  <c r="D141" i="42" s="1"/>
  <c r="G142" i="42"/>
  <c r="G144" i="42"/>
  <c r="J114" i="42"/>
  <c r="J116" i="42"/>
  <c r="F115" i="42"/>
  <c r="F117" i="42"/>
  <c r="F114" i="42"/>
  <c r="F112" i="42"/>
  <c r="C112" i="42"/>
  <c r="F113" i="42"/>
  <c r="F116" i="42"/>
  <c r="J113" i="42"/>
  <c r="D104" i="42"/>
  <c r="D114" i="42" s="1"/>
  <c r="F103" i="42"/>
  <c r="T101" i="42" s="1"/>
  <c r="T100" i="42" s="1"/>
  <c r="G143" i="42"/>
  <c r="G145" i="42"/>
  <c r="J115" i="42"/>
  <c r="J117" i="42"/>
  <c r="G146" i="42"/>
  <c r="J112" i="42"/>
  <c r="S101" i="42"/>
  <c r="S100" i="42" s="1"/>
  <c r="O101" i="42"/>
  <c r="O100" i="42" s="1"/>
  <c r="Q101" i="42"/>
  <c r="Q100" i="42" s="1"/>
  <c r="P101" i="42"/>
  <c r="P100" i="42" s="1"/>
  <c r="L48" i="56"/>
  <c r="G27" i="55"/>
  <c r="G29" i="55"/>
  <c r="G30" i="55" s="1"/>
  <c r="G28" i="55"/>
  <c r="I28" i="55" s="1"/>
  <c r="C65" i="55"/>
  <c r="C64" i="55"/>
  <c r="D30" i="55"/>
  <c r="C70" i="55"/>
  <c r="C71" i="55" s="1"/>
  <c r="C68" i="55"/>
  <c r="C61" i="55"/>
  <c r="H28" i="55"/>
  <c r="C114" i="42" l="1"/>
  <c r="E143" i="42"/>
  <c r="D143" i="42" s="1"/>
  <c r="C104" i="42"/>
  <c r="U101" i="42" s="1"/>
  <c r="U100" i="42" s="1"/>
  <c r="D113" i="42"/>
  <c r="V101" i="42"/>
  <c r="V100" i="42" s="1"/>
  <c r="W101" i="42"/>
  <c r="W100" i="42" s="1"/>
  <c r="D105" i="42"/>
  <c r="Z101" i="42" s="1"/>
  <c r="Z100" i="42" s="1"/>
  <c r="F104" i="42"/>
  <c r="X101" i="42" s="1"/>
  <c r="X100" i="42" s="1"/>
  <c r="AA101" i="42"/>
  <c r="AA100" i="42" s="1"/>
  <c r="R101" i="42"/>
  <c r="R100" i="42" s="1"/>
  <c r="K28" i="55"/>
  <c r="J28" i="55" s="1"/>
  <c r="K29" i="55"/>
  <c r="I30" i="55"/>
  <c r="K30" i="55"/>
  <c r="J30" i="55"/>
  <c r="C69" i="55"/>
  <c r="I29" i="55"/>
  <c r="C66" i="55"/>
  <c r="I27" i="55"/>
  <c r="K27" i="55"/>
  <c r="J29" i="55"/>
  <c r="M48" i="56"/>
  <c r="C113" i="42" l="1"/>
  <c r="E142" i="42"/>
  <c r="D142" i="42" s="1"/>
  <c r="C105" i="42"/>
  <c r="Y101" i="42" s="1"/>
  <c r="Y100" i="42" s="1"/>
  <c r="D115" i="42"/>
  <c r="E144" i="42" s="1"/>
  <c r="D144" i="42" s="1"/>
  <c r="D106" i="42"/>
  <c r="F105" i="42"/>
  <c r="AB101" i="42" s="1"/>
  <c r="AB100" i="42" s="1"/>
  <c r="AE101" i="42"/>
  <c r="AE100" i="42" s="1"/>
  <c r="J27" i="55"/>
  <c r="N48" i="56"/>
  <c r="C115" i="42" l="1"/>
  <c r="C106" i="42"/>
  <c r="AC101" i="42" s="1"/>
  <c r="AC100" i="42" s="1"/>
  <c r="AD101" i="42"/>
  <c r="AD100" i="42" s="1"/>
  <c r="D107" i="42"/>
  <c r="D116" i="42" s="1"/>
  <c r="E145" i="42" s="1"/>
  <c r="D145" i="42" s="1"/>
  <c r="F106" i="42"/>
  <c r="AF101" i="42" s="1"/>
  <c r="AF100" i="42" s="1"/>
  <c r="F107" i="42"/>
  <c r="AJ101" i="42" s="1"/>
  <c r="AJ100" i="42" s="1"/>
  <c r="O48" i="56"/>
  <c r="C116" i="42" l="1"/>
  <c r="C107" i="42"/>
  <c r="AG101" i="42" s="1"/>
  <c r="AG100" i="42" s="1"/>
  <c r="D117" i="42"/>
  <c r="E146" i="42" s="1"/>
  <c r="D146" i="42" s="1"/>
  <c r="AH101" i="42"/>
  <c r="AH100" i="42" s="1"/>
  <c r="AI101" i="42"/>
  <c r="AI100" i="42" s="1"/>
  <c r="P48" i="56"/>
  <c r="C117" i="42" l="1"/>
  <c r="Q48" i="56"/>
  <c r="R48" i="56" l="1"/>
  <c r="S48" i="56" l="1"/>
  <c r="T48" i="56" l="1"/>
  <c r="U48" i="56" l="1"/>
  <c r="V48" i="56" l="1"/>
  <c r="W48" i="56" l="1"/>
  <c r="B25" i="53" l="1"/>
  <c r="M23" i="5" l="1"/>
  <c r="K5" i="56" s="1"/>
  <c r="G366" i="56" s="1"/>
  <c r="N40" i="5" l="1"/>
  <c r="C40" i="5"/>
  <c r="B40" i="5"/>
  <c r="B19" i="5"/>
  <c r="D6" i="32" l="1"/>
  <c r="E46" i="5"/>
  <c r="C20" i="5"/>
  <c r="J10" i="32"/>
  <c r="C51" i="32"/>
  <c r="C50" i="32"/>
  <c r="C49" i="32"/>
  <c r="C48" i="32"/>
  <c r="J13" i="32"/>
  <c r="F5" i="9" l="1"/>
  <c r="F4" i="9"/>
  <c r="H215" i="9" l="1"/>
  <c r="I215" i="9" s="1"/>
  <c r="H168" i="9"/>
  <c r="I168" i="9" s="1"/>
  <c r="H230" i="9"/>
  <c r="I230" i="9" s="1"/>
  <c r="H149" i="9"/>
  <c r="I149" i="9" s="1"/>
  <c r="H182" i="9"/>
  <c r="I182" i="9" s="1"/>
  <c r="H201" i="9"/>
  <c r="I201" i="9" s="1"/>
  <c r="H241" i="9"/>
  <c r="I241" i="9" s="1"/>
  <c r="H122" i="9"/>
  <c r="I122" i="9" s="1"/>
  <c r="H22" i="9"/>
  <c r="I22" i="9" s="1"/>
  <c r="H80" i="9"/>
  <c r="I80" i="9" s="1"/>
  <c r="H32" i="9"/>
  <c r="I32" i="9" s="1"/>
  <c r="H51" i="9"/>
  <c r="H90" i="9"/>
  <c r="I90" i="9" s="1"/>
  <c r="H65" i="9"/>
  <c r="I65" i="9" s="1"/>
  <c r="B131" i="42"/>
  <c r="B129" i="42"/>
  <c r="B127" i="42"/>
  <c r="E130" i="42"/>
  <c r="F130" i="42" s="1"/>
  <c r="E132" i="42"/>
  <c r="E87" i="33" l="1"/>
  <c r="L37" i="52"/>
  <c r="J12" i="32"/>
  <c r="J11" i="32"/>
  <c r="J9" i="32"/>
  <c r="J8" i="32"/>
  <c r="J7" i="32"/>
  <c r="J6" i="32"/>
  <c r="C11" i="53"/>
  <c r="B13" i="5"/>
  <c r="C1" i="32"/>
  <c r="B43" i="32"/>
  <c r="D43" i="32"/>
  <c r="C43" i="32" s="1"/>
  <c r="C44" i="32" s="1"/>
  <c r="C45" i="32" s="1"/>
  <c r="C46" i="32" s="1"/>
  <c r="C47" i="32" s="1"/>
  <c r="D36" i="32"/>
  <c r="C36" i="32" s="1"/>
  <c r="C37" i="32" s="1"/>
  <c r="C38" i="32" s="1"/>
  <c r="B15" i="5"/>
  <c r="B25" i="5"/>
  <c r="C26" i="5" s="1"/>
  <c r="B17" i="5"/>
  <c r="B21" i="5"/>
  <c r="B32" i="53"/>
  <c r="B30" i="53"/>
  <c r="B29" i="53"/>
  <c r="B27" i="53"/>
  <c r="B26" i="53"/>
  <c r="B24" i="53"/>
  <c r="B49" i="5" l="1"/>
  <c r="E47" i="5"/>
  <c r="B47" i="5"/>
  <c r="B51" i="5"/>
  <c r="E51" i="5"/>
  <c r="C24" i="5"/>
  <c r="I13" i="32"/>
  <c r="C12" i="5"/>
  <c r="I12" i="32"/>
  <c r="B50" i="32"/>
  <c r="B48" i="32"/>
  <c r="B47" i="32"/>
  <c r="B46" i="32"/>
  <c r="B45" i="32"/>
  <c r="B44" i="32"/>
  <c r="B51" i="32"/>
  <c r="B49" i="32"/>
  <c r="H5" i="33"/>
  <c r="G5" i="33"/>
  <c r="F5" i="33"/>
  <c r="F51" i="33" s="1"/>
  <c r="E40" i="9"/>
  <c r="E41" i="9"/>
  <c r="E42" i="9"/>
  <c r="E43" i="9"/>
  <c r="E44" i="9"/>
  <c r="E45" i="9"/>
  <c r="E46" i="9"/>
  <c r="E47" i="9"/>
  <c r="E48" i="9"/>
  <c r="E49" i="9"/>
  <c r="E50" i="9"/>
  <c r="E39" i="9"/>
  <c r="J264" i="52"/>
  <c r="D238" i="52"/>
  <c r="D237" i="52"/>
  <c r="L217" i="52"/>
  <c r="M217" i="52" s="1"/>
  <c r="N217" i="52" s="1"/>
  <c r="O217" i="52" s="1"/>
  <c r="P217" i="52" s="1"/>
  <c r="Q217" i="52" s="1"/>
  <c r="R217" i="52" s="1"/>
  <c r="S217" i="52" s="1"/>
  <c r="T217" i="52" s="1"/>
  <c r="U217" i="52" s="1"/>
  <c r="V217" i="52" s="1"/>
  <c r="W217" i="52" s="1"/>
  <c r="X217" i="52" s="1"/>
  <c r="Y217" i="52" s="1"/>
  <c r="Z217" i="52" s="1"/>
  <c r="K217" i="52"/>
  <c r="J212" i="52"/>
  <c r="J211" i="52"/>
  <c r="N210" i="52"/>
  <c r="K207" i="52"/>
  <c r="K206" i="52"/>
  <c r="J200" i="52"/>
  <c r="L199" i="52"/>
  <c r="K199" i="52"/>
  <c r="J199" i="52"/>
  <c r="M192" i="52"/>
  <c r="K192" i="52"/>
  <c r="K190" i="52"/>
  <c r="M190" i="52" s="1"/>
  <c r="K189" i="52"/>
  <c r="M189" i="52" s="1"/>
  <c r="M188" i="52"/>
  <c r="M187" i="52"/>
  <c r="K187" i="52"/>
  <c r="K181" i="52"/>
  <c r="M181" i="52" s="1"/>
  <c r="K180" i="52"/>
  <c r="M180" i="52" s="1"/>
  <c r="K179" i="52"/>
  <c r="M179" i="52" s="1"/>
  <c r="K178" i="52"/>
  <c r="M178" i="52" s="1"/>
  <c r="K177" i="52"/>
  <c r="M177" i="52" s="1"/>
  <c r="K176" i="52"/>
  <c r="M176" i="52" s="1"/>
  <c r="K175" i="52"/>
  <c r="M175" i="52" s="1"/>
  <c r="K174" i="52"/>
  <c r="M174" i="52" s="1"/>
  <c r="K173" i="52"/>
  <c r="M173" i="52" s="1"/>
  <c r="K172" i="52"/>
  <c r="K171" i="52"/>
  <c r="M171" i="52" s="1"/>
  <c r="M166" i="52"/>
  <c r="K166" i="52"/>
  <c r="M165" i="52"/>
  <c r="K165" i="52"/>
  <c r="K164" i="52"/>
  <c r="M164" i="52" s="1"/>
  <c r="M163" i="52"/>
  <c r="K163" i="52"/>
  <c r="M162" i="52"/>
  <c r="K162" i="52"/>
  <c r="L157" i="52"/>
  <c r="H152" i="52"/>
  <c r="H151" i="52"/>
  <c r="H150" i="52"/>
  <c r="J149" i="52"/>
  <c r="H149" i="52"/>
  <c r="J142" i="52"/>
  <c r="J136" i="52"/>
  <c r="L131" i="52"/>
  <c r="L115" i="52"/>
  <c r="L116" i="52" s="1"/>
  <c r="L117" i="52" s="1"/>
  <c r="L114" i="52"/>
  <c r="M94" i="52"/>
  <c r="K94" i="52"/>
  <c r="H74" i="52"/>
  <c r="H73" i="52"/>
  <c r="H72" i="52"/>
  <c r="H71" i="52"/>
  <c r="H70" i="52"/>
  <c r="H69" i="52"/>
  <c r="H62" i="52"/>
  <c r="H61" i="52"/>
  <c r="H60" i="52"/>
  <c r="H59" i="52"/>
  <c r="H58" i="52"/>
  <c r="H57" i="52"/>
  <c r="J44" i="52"/>
  <c r="J30" i="52"/>
  <c r="K25" i="52"/>
  <c r="J17" i="52"/>
  <c r="K11" i="52"/>
  <c r="J11" i="52"/>
  <c r="I11" i="52"/>
  <c r="L5" i="52"/>
  <c r="L6" i="52" s="1"/>
  <c r="L7" i="52" s="1"/>
  <c r="L8" i="52" s="1"/>
  <c r="L9" i="52" s="1"/>
  <c r="L10" i="52" s="1"/>
  <c r="E14" i="56" l="1"/>
  <c r="E25" i="56" s="1"/>
  <c r="H51" i="33"/>
  <c r="E13" i="56"/>
  <c r="E24" i="56" s="1"/>
  <c r="G51" i="33"/>
  <c r="E12" i="56"/>
  <c r="B82" i="42"/>
  <c r="D127" i="56"/>
  <c r="F28" i="33"/>
  <c r="C72" i="26"/>
  <c r="F42" i="33"/>
  <c r="L206" i="52"/>
  <c r="K211" i="52"/>
  <c r="O210" i="52"/>
  <c r="K193" i="52"/>
  <c r="L193" i="52" s="1"/>
  <c r="M193" i="52" s="1"/>
  <c r="K93" i="52"/>
  <c r="M93" i="52" s="1"/>
  <c r="J18" i="52"/>
  <c r="K92" i="52"/>
  <c r="M92" i="52" s="1"/>
  <c r="K144" i="52"/>
  <c r="M144" i="52" s="1"/>
  <c r="L207" i="52"/>
  <c r="K212" i="52"/>
  <c r="M182" i="52"/>
  <c r="K182" i="52"/>
  <c r="M172" i="52"/>
  <c r="J265" i="52"/>
  <c r="K265" i="52"/>
  <c r="D166" i="56" l="1"/>
  <c r="B170" i="56" s="1"/>
  <c r="B164" i="56"/>
  <c r="B163" i="56"/>
  <c r="B133" i="56"/>
  <c r="B131" i="56"/>
  <c r="E23" i="56"/>
  <c r="D88" i="56"/>
  <c r="A24" i="56"/>
  <c r="E35" i="56"/>
  <c r="B35" i="56" s="1"/>
  <c r="B8" i="42"/>
  <c r="E36" i="56"/>
  <c r="B36" i="56" s="1"/>
  <c r="A25" i="56"/>
  <c r="K183" i="52"/>
  <c r="M183" i="52" s="1"/>
  <c r="M184" i="52"/>
  <c r="L211" i="52"/>
  <c r="M206" i="52"/>
  <c r="M207" i="52"/>
  <c r="L212" i="52"/>
  <c r="P210" i="52"/>
  <c r="P50" i="19"/>
  <c r="P50" i="29"/>
  <c r="D30" i="33"/>
  <c r="D31" i="33"/>
  <c r="D32" i="33"/>
  <c r="D34" i="33"/>
  <c r="D29" i="33"/>
  <c r="F34" i="5"/>
  <c r="E17" i="33" s="1"/>
  <c r="D36" i="33" s="1"/>
  <c r="D19" i="33"/>
  <c r="D10" i="33" s="1"/>
  <c r="AT9" i="9"/>
  <c r="AU9" i="9" s="1"/>
  <c r="AV9" i="9" s="1"/>
  <c r="AW9" i="9" s="1"/>
  <c r="AX9" i="9" s="1"/>
  <c r="AY9" i="9" s="1"/>
  <c r="AZ9" i="9" s="1"/>
  <c r="BA9" i="9" s="1"/>
  <c r="BB9" i="9" s="1"/>
  <c r="BC9" i="9" s="1"/>
  <c r="BD9" i="9" s="1"/>
  <c r="BE9" i="9" s="1"/>
  <c r="BF9" i="9" s="1"/>
  <c r="BG9" i="9" s="1"/>
  <c r="BH9" i="9" s="1"/>
  <c r="BI9" i="9" s="1"/>
  <c r="BJ9" i="9" s="1"/>
  <c r="BK9" i="9" s="1"/>
  <c r="BL9" i="9" s="1"/>
  <c r="BM9" i="9" s="1"/>
  <c r="BN9" i="9" s="1"/>
  <c r="BO9" i="9" s="1"/>
  <c r="BP9" i="9" s="1"/>
  <c r="BQ9" i="9" s="1"/>
  <c r="BR9" i="9" s="1"/>
  <c r="BS9" i="9" s="1"/>
  <c r="BT9" i="9" s="1"/>
  <c r="BU9" i="9" s="1"/>
  <c r="AS9" i="9"/>
  <c r="AR9" i="9"/>
  <c r="N9" i="9"/>
  <c r="O9" i="9"/>
  <c r="P9" i="9"/>
  <c r="Q9" i="9"/>
  <c r="R9" i="9"/>
  <c r="S9" i="9"/>
  <c r="T9" i="9" s="1"/>
  <c r="U9" i="9" s="1"/>
  <c r="V9" i="9" s="1"/>
  <c r="W9" i="9" s="1"/>
  <c r="X9" i="9" s="1"/>
  <c r="Y9" i="9" s="1"/>
  <c r="Z9" i="9" s="1"/>
  <c r="AA9" i="9" s="1"/>
  <c r="AB9" i="9" s="1"/>
  <c r="AC9" i="9" s="1"/>
  <c r="AD9" i="9" s="1"/>
  <c r="AE9" i="9" s="1"/>
  <c r="AF9" i="9" s="1"/>
  <c r="AG9" i="9" s="1"/>
  <c r="AH9" i="9" s="1"/>
  <c r="AI9" i="9" s="1"/>
  <c r="AJ9" i="9" s="1"/>
  <c r="AK9" i="9" s="1"/>
  <c r="AL9" i="9" s="1"/>
  <c r="AM9" i="9" s="1"/>
  <c r="AN9" i="9" s="1"/>
  <c r="AO9" i="9" s="1"/>
  <c r="M9" i="9"/>
  <c r="C39" i="9"/>
  <c r="C40" i="9" s="1"/>
  <c r="B202" i="56" l="1"/>
  <c r="B172" i="56"/>
  <c r="B203" i="56"/>
  <c r="B125" i="56"/>
  <c r="B94" i="56"/>
  <c r="B92" i="56"/>
  <c r="E34" i="56"/>
  <c r="B34" i="56" s="1"/>
  <c r="A23" i="56"/>
  <c r="D33" i="33"/>
  <c r="B28" i="53"/>
  <c r="N207" i="52"/>
  <c r="M212" i="52"/>
  <c r="N206" i="52"/>
  <c r="M211" i="52"/>
  <c r="Q210" i="52"/>
  <c r="O242" i="52"/>
  <c r="N242" i="52"/>
  <c r="M242" i="52"/>
  <c r="Q242" i="52"/>
  <c r="P242" i="52"/>
  <c r="L242" i="52"/>
  <c r="D13" i="33"/>
  <c r="B31" i="53" s="1"/>
  <c r="C41" i="9"/>
  <c r="C54" i="9"/>
  <c r="C53" i="9"/>
  <c r="C14" i="5"/>
  <c r="C22" i="5"/>
  <c r="C18" i="5"/>
  <c r="C16" i="5"/>
  <c r="L15" i="52"/>
  <c r="N5" i="5"/>
  <c r="L13" i="5"/>
  <c r="L15" i="5" s="1"/>
  <c r="N55" i="5"/>
  <c r="N53" i="5"/>
  <c r="B34" i="53" l="1"/>
  <c r="F31" i="53"/>
  <c r="O206" i="52"/>
  <c r="N211" i="52"/>
  <c r="R210" i="52"/>
  <c r="O207" i="52"/>
  <c r="N212" i="52"/>
  <c r="C42" i="9"/>
  <c r="C55" i="9"/>
  <c r="L5" i="33"/>
  <c r="K5" i="33"/>
  <c r="J5" i="33"/>
  <c r="I5" i="33"/>
  <c r="E5" i="33"/>
  <c r="E175" i="33"/>
  <c r="C168" i="33"/>
  <c r="B80" i="33"/>
  <c r="C80" i="33"/>
  <c r="AI11" i="6"/>
  <c r="BG63" i="6"/>
  <c r="BG62" i="6"/>
  <c r="BG61" i="6"/>
  <c r="BG60" i="6"/>
  <c r="BG59" i="6"/>
  <c r="BG58" i="6"/>
  <c r="BG57" i="6"/>
  <c r="BG56" i="6"/>
  <c r="BG55" i="6"/>
  <c r="BG54" i="6"/>
  <c r="BG53" i="6"/>
  <c r="BG52" i="6"/>
  <c r="BG51" i="6"/>
  <c r="BG50" i="6"/>
  <c r="BG49" i="6"/>
  <c r="BG48" i="6"/>
  <c r="BG47" i="6"/>
  <c r="BG46" i="6"/>
  <c r="BG45" i="6"/>
  <c r="BG44" i="6"/>
  <c r="BG43" i="6"/>
  <c r="BG42" i="6"/>
  <c r="BG41" i="6"/>
  <c r="BG40" i="6"/>
  <c r="BG39" i="6"/>
  <c r="BG38" i="6"/>
  <c r="BG37" i="6"/>
  <c r="BG36" i="6"/>
  <c r="BG35" i="6"/>
  <c r="BG34" i="6"/>
  <c r="BG33" i="6"/>
  <c r="BG32" i="6"/>
  <c r="BG31" i="6"/>
  <c r="BG30" i="6"/>
  <c r="BG29" i="6"/>
  <c r="BG28" i="6"/>
  <c r="BG27" i="6"/>
  <c r="BG26" i="6"/>
  <c r="BG25" i="6"/>
  <c r="BG24" i="6"/>
  <c r="BG23" i="6"/>
  <c r="BG22" i="6"/>
  <c r="BG21" i="6"/>
  <c r="BG20" i="6"/>
  <c r="BG19" i="6"/>
  <c r="BG18" i="6"/>
  <c r="BG17" i="6"/>
  <c r="BG16" i="6"/>
  <c r="BL15" i="6"/>
  <c r="BG15" i="6"/>
  <c r="BL14" i="6"/>
  <c r="BG14" i="6"/>
  <c r="BJ12" i="6"/>
  <c r="BG12" i="6"/>
  <c r="BJ11" i="6"/>
  <c r="BG11" i="6"/>
  <c r="E222" i="9"/>
  <c r="E233" i="9" s="1"/>
  <c r="E223" i="9"/>
  <c r="E234" i="9" s="1"/>
  <c r="E224" i="9"/>
  <c r="E235" i="9" s="1"/>
  <c r="E225" i="9"/>
  <c r="E226" i="9"/>
  <c r="E237" i="9" s="1"/>
  <c r="E227" i="9"/>
  <c r="E238" i="9" s="1"/>
  <c r="E228" i="9"/>
  <c r="E239" i="9" s="1"/>
  <c r="E229" i="9"/>
  <c r="E240" i="9" s="1"/>
  <c r="E221" i="9"/>
  <c r="E232" i="9" s="1"/>
  <c r="J243" i="9"/>
  <c r="J242" i="9"/>
  <c r="D240" i="9"/>
  <c r="D239" i="9"/>
  <c r="D238" i="9"/>
  <c r="D237" i="9"/>
  <c r="D236" i="9"/>
  <c r="D235" i="9"/>
  <c r="D234" i="9"/>
  <c r="D233" i="9"/>
  <c r="J232" i="9"/>
  <c r="J233" i="9" s="1"/>
  <c r="J234" i="9" s="1"/>
  <c r="J235" i="9" s="1"/>
  <c r="J236" i="9" s="1"/>
  <c r="J237" i="9" s="1"/>
  <c r="J238" i="9" s="1"/>
  <c r="J239" i="9" s="1"/>
  <c r="J240" i="9" s="1"/>
  <c r="J241" i="9" s="1"/>
  <c r="D232" i="9"/>
  <c r="J231" i="9"/>
  <c r="B231" i="9"/>
  <c r="A231" i="9"/>
  <c r="D229" i="9"/>
  <c r="D228" i="9"/>
  <c r="D227" i="9"/>
  <c r="D226" i="9"/>
  <c r="E236" i="9"/>
  <c r="D225" i="9"/>
  <c r="D224" i="9"/>
  <c r="D223" i="9"/>
  <c r="D222" i="9"/>
  <c r="J221" i="9"/>
  <c r="J222" i="9" s="1"/>
  <c r="J223" i="9" s="1"/>
  <c r="J224" i="9" s="1"/>
  <c r="J225" i="9" s="1"/>
  <c r="J226" i="9" s="1"/>
  <c r="J227" i="9" s="1"/>
  <c r="J228" i="9" s="1"/>
  <c r="J229" i="9" s="1"/>
  <c r="J230" i="9" s="1"/>
  <c r="D221" i="9"/>
  <c r="B220" i="9"/>
  <c r="B225" i="13"/>
  <c r="B220" i="13"/>
  <c r="B219" i="13"/>
  <c r="B218" i="13"/>
  <c r="B217" i="13"/>
  <c r="B216" i="13"/>
  <c r="B215" i="13"/>
  <c r="B214" i="13"/>
  <c r="C213" i="13"/>
  <c r="B213" i="13" s="1"/>
  <c r="L230" i="9" l="1"/>
  <c r="AR230" i="9" s="1"/>
  <c r="AN241" i="9"/>
  <c r="Z241" i="9"/>
  <c r="S241" i="9"/>
  <c r="AK241" i="9"/>
  <c r="AO241" i="9"/>
  <c r="T241" i="9"/>
  <c r="AJ241" i="9"/>
  <c r="U241" i="9"/>
  <c r="AM241" i="9"/>
  <c r="Q241" i="9"/>
  <c r="AA241" i="9"/>
  <c r="V241" i="9"/>
  <c r="AL241" i="9"/>
  <c r="W241" i="9"/>
  <c r="X241" i="9"/>
  <c r="AG241" i="9"/>
  <c r="L241" i="9"/>
  <c r="R241" i="9"/>
  <c r="AH241" i="9"/>
  <c r="AC241" i="9"/>
  <c r="N241" i="9"/>
  <c r="Y241" i="9"/>
  <c r="AI241" i="9"/>
  <c r="AB241" i="9"/>
  <c r="M241" i="9"/>
  <c r="AE241" i="9"/>
  <c r="AF241" i="9"/>
  <c r="AD241" i="9"/>
  <c r="O241" i="9"/>
  <c r="P241" i="9"/>
  <c r="E15" i="56"/>
  <c r="I51" i="33"/>
  <c r="E11" i="56"/>
  <c r="E51" i="33"/>
  <c r="E16" i="56"/>
  <c r="J51" i="33"/>
  <c r="E17" i="56"/>
  <c r="D283" i="56" s="1"/>
  <c r="K51" i="33"/>
  <c r="E18" i="56"/>
  <c r="L51" i="33"/>
  <c r="E22" i="56"/>
  <c r="D49" i="56"/>
  <c r="D205" i="56"/>
  <c r="E26" i="56"/>
  <c r="D244" i="56"/>
  <c r="E27" i="56"/>
  <c r="D322" i="56"/>
  <c r="E29" i="56"/>
  <c r="S210" i="52"/>
  <c r="R242" i="52"/>
  <c r="P206" i="52"/>
  <c r="O211" i="52"/>
  <c r="P207" i="52"/>
  <c r="O212" i="52"/>
  <c r="C36" i="26"/>
  <c r="C110" i="26"/>
  <c r="C56" i="9"/>
  <c r="C43" i="9"/>
  <c r="C177" i="26"/>
  <c r="C145" i="26"/>
  <c r="C242" i="26"/>
  <c r="C96" i="9"/>
  <c r="G28" i="33"/>
  <c r="C210" i="26"/>
  <c r="B70" i="9"/>
  <c r="C72" i="9" s="1"/>
  <c r="J28" i="33"/>
  <c r="B219" i="9"/>
  <c r="C221" i="9" s="1"/>
  <c r="K28" i="33"/>
  <c r="C275" i="26"/>
  <c r="B127" i="9"/>
  <c r="C129" i="9" s="1"/>
  <c r="L28" i="33"/>
  <c r="H28" i="33"/>
  <c r="B187" i="9"/>
  <c r="E28" i="33"/>
  <c r="B12" i="9"/>
  <c r="I28" i="33"/>
  <c r="D80" i="33"/>
  <c r="C214" i="13"/>
  <c r="C215" i="13" s="1"/>
  <c r="C216" i="13" s="1"/>
  <c r="C217" i="13" s="1"/>
  <c r="C218" i="13" s="1"/>
  <c r="C219" i="13" s="1"/>
  <c r="C220" i="13" s="1"/>
  <c r="C221" i="13" s="1"/>
  <c r="C222" i="13" s="1"/>
  <c r="K286" i="48"/>
  <c r="J286" i="48"/>
  <c r="J285" i="48"/>
  <c r="D262" i="48"/>
  <c r="D261" i="48"/>
  <c r="L240" i="48"/>
  <c r="M240" i="48" s="1"/>
  <c r="N240" i="48" s="1"/>
  <c r="O240" i="48" s="1"/>
  <c r="P240" i="48" s="1"/>
  <c r="Q240" i="48" s="1"/>
  <c r="R240" i="48" s="1"/>
  <c r="S240" i="48" s="1"/>
  <c r="T240" i="48" s="1"/>
  <c r="U240" i="48" s="1"/>
  <c r="V240" i="48" s="1"/>
  <c r="W240" i="48" s="1"/>
  <c r="X240" i="48" s="1"/>
  <c r="Y240" i="48" s="1"/>
  <c r="Z240" i="48" s="1"/>
  <c r="K240" i="48"/>
  <c r="J235" i="48"/>
  <c r="J234" i="48"/>
  <c r="O233" i="48"/>
  <c r="N233" i="48"/>
  <c r="L230" i="48"/>
  <c r="L235" i="48" s="1"/>
  <c r="K230" i="48"/>
  <c r="K235" i="48" s="1"/>
  <c r="K229" i="48"/>
  <c r="K234" i="48" s="1"/>
  <c r="J223" i="48"/>
  <c r="L222" i="48"/>
  <c r="O218" i="48"/>
  <c r="H218" i="48"/>
  <c r="O217" i="48"/>
  <c r="H217" i="48"/>
  <c r="O216" i="48"/>
  <c r="H216" i="48"/>
  <c r="T215" i="48"/>
  <c r="O215" i="48"/>
  <c r="H215" i="48"/>
  <c r="O214" i="48"/>
  <c r="H214" i="48"/>
  <c r="O213" i="48"/>
  <c r="H213" i="48"/>
  <c r="M207" i="48"/>
  <c r="K207" i="48"/>
  <c r="K205" i="48"/>
  <c r="M205" i="48" s="1"/>
  <c r="M204" i="48"/>
  <c r="K204" i="48"/>
  <c r="M203" i="48"/>
  <c r="M202" i="48"/>
  <c r="K202" i="48"/>
  <c r="K196" i="48"/>
  <c r="M196" i="48" s="1"/>
  <c r="M195" i="48"/>
  <c r="K195" i="48"/>
  <c r="M194" i="48"/>
  <c r="K194" i="48"/>
  <c r="K193" i="48"/>
  <c r="M193" i="48" s="1"/>
  <c r="K192" i="48"/>
  <c r="M192" i="48" s="1"/>
  <c r="K191" i="48"/>
  <c r="M191" i="48" s="1"/>
  <c r="K190" i="48"/>
  <c r="M190" i="48" s="1"/>
  <c r="M189" i="48"/>
  <c r="M197" i="48" s="1"/>
  <c r="K189" i="48"/>
  <c r="K188" i="48"/>
  <c r="M188" i="48" s="1"/>
  <c r="M187" i="48"/>
  <c r="K187" i="48"/>
  <c r="K197" i="48" s="1"/>
  <c r="M186" i="48"/>
  <c r="K186" i="48"/>
  <c r="L173" i="48"/>
  <c r="M169" i="48"/>
  <c r="L169" i="48"/>
  <c r="H168" i="48"/>
  <c r="H167" i="48"/>
  <c r="H166" i="48"/>
  <c r="J165" i="48"/>
  <c r="H165" i="48"/>
  <c r="L149" i="48"/>
  <c r="L133" i="48"/>
  <c r="L134" i="48" s="1"/>
  <c r="L132" i="48"/>
  <c r="K111" i="48"/>
  <c r="M111" i="48" s="1"/>
  <c r="T90" i="48"/>
  <c r="L90" i="48"/>
  <c r="H90" i="48"/>
  <c r="T89" i="48"/>
  <c r="L89" i="48"/>
  <c r="H89" i="48"/>
  <c r="L88" i="48"/>
  <c r="H88" i="48"/>
  <c r="T87" i="48"/>
  <c r="L87" i="48"/>
  <c r="H87" i="48"/>
  <c r="L86" i="48"/>
  <c r="H86" i="48"/>
  <c r="T85" i="48"/>
  <c r="L85" i="48" s="1"/>
  <c r="H85" i="48"/>
  <c r="J74" i="48"/>
  <c r="H74" i="48"/>
  <c r="H73" i="48"/>
  <c r="H72" i="48"/>
  <c r="H71" i="48"/>
  <c r="J70" i="48"/>
  <c r="H70" i="48"/>
  <c r="H69" i="48"/>
  <c r="J52" i="48"/>
  <c r="J56" i="48" s="1"/>
  <c r="J48" i="48"/>
  <c r="J42" i="48"/>
  <c r="J46" i="48" s="1"/>
  <c r="J55" i="48" s="1"/>
  <c r="M37" i="48"/>
  <c r="M33" i="48"/>
  <c r="J30" i="48"/>
  <c r="J17" i="48"/>
  <c r="L15" i="48"/>
  <c r="K11" i="48"/>
  <c r="J11" i="48"/>
  <c r="I11" i="48"/>
  <c r="O10" i="48"/>
  <c r="O9" i="48"/>
  <c r="J73" i="48" s="1"/>
  <c r="O8" i="48"/>
  <c r="J72" i="48" s="1"/>
  <c r="O7" i="48"/>
  <c r="J71" i="48" s="1"/>
  <c r="O6" i="48"/>
  <c r="O5" i="48"/>
  <c r="J69" i="48" s="1"/>
  <c r="M230" i="9" l="1"/>
  <c r="AS230" i="9" s="1"/>
  <c r="AP241" i="9"/>
  <c r="AR241" i="9"/>
  <c r="AS241" i="9" s="1"/>
  <c r="AT241" i="9" s="1"/>
  <c r="AU241" i="9" s="1"/>
  <c r="AV241" i="9" s="1"/>
  <c r="AW241" i="9" s="1"/>
  <c r="AX241" i="9" s="1"/>
  <c r="AY241" i="9" s="1"/>
  <c r="AZ241" i="9" s="1"/>
  <c r="BA241" i="9" s="1"/>
  <c r="BB241" i="9" s="1"/>
  <c r="BC241" i="9" s="1"/>
  <c r="BD241" i="9" s="1"/>
  <c r="BE241" i="9" s="1"/>
  <c r="BF241" i="9" s="1"/>
  <c r="BG241" i="9" s="1"/>
  <c r="BH241" i="9" s="1"/>
  <c r="BI241" i="9" s="1"/>
  <c r="BJ241" i="9" s="1"/>
  <c r="BK241" i="9" s="1"/>
  <c r="BL241" i="9" s="1"/>
  <c r="BM241" i="9" s="1"/>
  <c r="BN241" i="9" s="1"/>
  <c r="BO241" i="9" s="1"/>
  <c r="BP241" i="9" s="1"/>
  <c r="BQ241" i="9" s="1"/>
  <c r="BR241" i="9" s="1"/>
  <c r="BS241" i="9" s="1"/>
  <c r="BT241" i="9" s="1"/>
  <c r="BU241" i="9" s="1"/>
  <c r="E28" i="56"/>
  <c r="B53" i="56"/>
  <c r="B86" i="56"/>
  <c r="B55" i="56"/>
  <c r="B320" i="56"/>
  <c r="B289" i="56"/>
  <c r="B287" i="56"/>
  <c r="B319" i="56"/>
  <c r="E38" i="56"/>
  <c r="B38" i="56" s="1"/>
  <c r="A27" i="56"/>
  <c r="B280" i="56"/>
  <c r="B250" i="56"/>
  <c r="B281" i="56"/>
  <c r="B248" i="56"/>
  <c r="E37" i="56"/>
  <c r="B37" i="56" s="1"/>
  <c r="A26" i="56"/>
  <c r="E40" i="56"/>
  <c r="B40" i="56" s="1"/>
  <c r="A29" i="56"/>
  <c r="E39" i="56"/>
  <c r="B39" i="56" s="1"/>
  <c r="A28" i="56"/>
  <c r="B241" i="56"/>
  <c r="B242" i="56"/>
  <c r="B211" i="56"/>
  <c r="B209" i="56"/>
  <c r="B359" i="56"/>
  <c r="B326" i="56"/>
  <c r="B328" i="56"/>
  <c r="B358" i="56"/>
  <c r="A22" i="56"/>
  <c r="E33" i="56"/>
  <c r="B33" i="56" s="1"/>
  <c r="T210" i="52"/>
  <c r="S242" i="52"/>
  <c r="P212" i="52"/>
  <c r="Q207" i="52"/>
  <c r="P211" i="52"/>
  <c r="Q206" i="52"/>
  <c r="C57" i="9"/>
  <c r="C44" i="9"/>
  <c r="A221" i="9"/>
  <c r="C222" i="9"/>
  <c r="C232" i="9"/>
  <c r="A232" i="9" s="1"/>
  <c r="C14" i="9"/>
  <c r="C15" i="9" s="1"/>
  <c r="C16" i="9" s="1"/>
  <c r="C17" i="9" s="1"/>
  <c r="C18" i="9" s="1"/>
  <c r="C19" i="9" s="1"/>
  <c r="C20" i="9" s="1"/>
  <c r="C21" i="9" s="1"/>
  <c r="C22" i="9" s="1"/>
  <c r="C24" i="9"/>
  <c r="C25" i="9" s="1"/>
  <c r="C26" i="9" s="1"/>
  <c r="C27" i="9" s="1"/>
  <c r="C28" i="9" s="1"/>
  <c r="C29" i="9" s="1"/>
  <c r="C30" i="9" s="1"/>
  <c r="C31" i="9" s="1"/>
  <c r="C32" i="9" s="1"/>
  <c r="B243" i="9"/>
  <c r="B242" i="9"/>
  <c r="B221" i="13"/>
  <c r="B222" i="13"/>
  <c r="C223" i="13"/>
  <c r="K198" i="48"/>
  <c r="M198" i="48" s="1"/>
  <c r="M199" i="48" s="1"/>
  <c r="M230" i="48"/>
  <c r="K110" i="48"/>
  <c r="M110" i="48" s="1"/>
  <c r="K158" i="48"/>
  <c r="M158" i="48" s="1"/>
  <c r="K109" i="48"/>
  <c r="M109" i="48" s="1"/>
  <c r="K208" i="48"/>
  <c r="L208" i="48" s="1"/>
  <c r="M208" i="48" s="1"/>
  <c r="K160" i="48"/>
  <c r="M160" i="48" s="1"/>
  <c r="M29" i="48"/>
  <c r="P233" i="48"/>
  <c r="J18" i="48"/>
  <c r="K222" i="48"/>
  <c r="L229" i="48"/>
  <c r="L257" i="48"/>
  <c r="D136" i="42"/>
  <c r="D134" i="42"/>
  <c r="D132" i="42"/>
  <c r="D130" i="42"/>
  <c r="D128" i="42"/>
  <c r="N230" i="9" l="1"/>
  <c r="O230" i="9" s="1"/>
  <c r="P230" i="9" s="1"/>
  <c r="E128" i="42"/>
  <c r="F128" i="42" s="1"/>
  <c r="Q211" i="52"/>
  <c r="R206" i="52"/>
  <c r="U210" i="52"/>
  <c r="T242" i="52"/>
  <c r="Q212" i="52"/>
  <c r="R207" i="52"/>
  <c r="C58" i="9"/>
  <c r="C45" i="9"/>
  <c r="C223" i="9"/>
  <c r="A222" i="9"/>
  <c r="C233" i="9"/>
  <c r="A233" i="9" s="1"/>
  <c r="C224" i="13"/>
  <c r="B223" i="13"/>
  <c r="P266" i="48"/>
  <c r="O266" i="48"/>
  <c r="N266" i="48"/>
  <c r="M266" i="48"/>
  <c r="L266" i="48"/>
  <c r="M235" i="48"/>
  <c r="N230" i="48"/>
  <c r="L234" i="48"/>
  <c r="M229" i="48"/>
  <c r="Q233" i="48"/>
  <c r="B125" i="42"/>
  <c r="F132" i="42"/>
  <c r="F127" i="42"/>
  <c r="G127" i="42" s="1"/>
  <c r="D129" i="42" s="1"/>
  <c r="E129" i="42" s="1"/>
  <c r="Q230" i="9" l="1"/>
  <c r="R230" i="9" s="1"/>
  <c r="AT230" i="9"/>
  <c r="AU230" i="9" s="1"/>
  <c r="AV230" i="9" s="1"/>
  <c r="V210" i="52"/>
  <c r="U242" i="52"/>
  <c r="R212" i="52"/>
  <c r="S207" i="52"/>
  <c r="R211" i="52"/>
  <c r="S206" i="52"/>
  <c r="C59" i="9"/>
  <c r="C46" i="9"/>
  <c r="C234" i="9"/>
  <c r="A234" i="9" s="1"/>
  <c r="C224" i="9"/>
  <c r="A223" i="9"/>
  <c r="F135" i="42"/>
  <c r="G135" i="42" s="1"/>
  <c r="F133" i="42"/>
  <c r="G133" i="42" s="1"/>
  <c r="D135" i="42" s="1"/>
  <c r="E135" i="42" s="1"/>
  <c r="B224" i="13"/>
  <c r="C225" i="13"/>
  <c r="C226" i="13" s="1"/>
  <c r="M257" i="48"/>
  <c r="R233" i="48"/>
  <c r="Q266" i="48"/>
  <c r="N229" i="48"/>
  <c r="M234" i="48"/>
  <c r="O230" i="48"/>
  <c r="N235" i="48"/>
  <c r="F131" i="42"/>
  <c r="G131" i="42" s="1"/>
  <c r="D133" i="42" s="1"/>
  <c r="E133" i="42" s="1"/>
  <c r="F126" i="42"/>
  <c r="F129" i="42"/>
  <c r="G129" i="42" s="1"/>
  <c r="D131" i="42" s="1"/>
  <c r="E131" i="42" s="1"/>
  <c r="B88" i="42"/>
  <c r="B87" i="42"/>
  <c r="B85" i="42"/>
  <c r="B83" i="42"/>
  <c r="B81" i="42"/>
  <c r="S230" i="9" l="1"/>
  <c r="T230" i="9" s="1"/>
  <c r="U230" i="9" s="1"/>
  <c r="V230" i="9" s="1"/>
  <c r="W230" i="9" s="1"/>
  <c r="X230" i="9" s="1"/>
  <c r="Y230" i="9" s="1"/>
  <c r="Z230" i="9" s="1"/>
  <c r="AA230" i="9" s="1"/>
  <c r="AB230" i="9" s="1"/>
  <c r="AC230" i="9" s="1"/>
  <c r="AD230" i="9" s="1"/>
  <c r="AE230" i="9" s="1"/>
  <c r="AF230" i="9" s="1"/>
  <c r="AG230" i="9" s="1"/>
  <c r="AH230" i="9" s="1"/>
  <c r="AI230" i="9" s="1"/>
  <c r="AJ230" i="9" s="1"/>
  <c r="AK230" i="9" s="1"/>
  <c r="AL230" i="9" s="1"/>
  <c r="AM230" i="9" s="1"/>
  <c r="AN230" i="9" s="1"/>
  <c r="AO230" i="9" s="1"/>
  <c r="AP230" i="9" s="1"/>
  <c r="AW230" i="9"/>
  <c r="AX230" i="9" s="1"/>
  <c r="E136" i="42"/>
  <c r="F136" i="42" s="1"/>
  <c r="B11" i="42"/>
  <c r="B9" i="42"/>
  <c r="B13" i="42"/>
  <c r="B7" i="42"/>
  <c r="B14" i="42"/>
  <c r="T206" i="52"/>
  <c r="S211" i="52"/>
  <c r="T207" i="52"/>
  <c r="S212" i="52"/>
  <c r="W210" i="52"/>
  <c r="V242" i="52"/>
  <c r="C47" i="9"/>
  <c r="C60" i="9"/>
  <c r="C235" i="9"/>
  <c r="A235" i="9" s="1"/>
  <c r="C225" i="9"/>
  <c r="A224" i="9"/>
  <c r="F125" i="42"/>
  <c r="G125" i="42"/>
  <c r="E126" i="42"/>
  <c r="B226" i="13"/>
  <c r="C227" i="13"/>
  <c r="N257" i="48"/>
  <c r="P230" i="48"/>
  <c r="O235" i="48"/>
  <c r="O229" i="48"/>
  <c r="N234" i="48"/>
  <c r="S233" i="48"/>
  <c r="R266" i="48"/>
  <c r="E134" i="42"/>
  <c r="F134" i="42" s="1"/>
  <c r="D34" i="32"/>
  <c r="D25" i="32"/>
  <c r="D23" i="32"/>
  <c r="D11" i="32"/>
  <c r="D16" i="32"/>
  <c r="B95" i="33"/>
  <c r="B110" i="33" s="1"/>
  <c r="B125" i="33" s="1"/>
  <c r="B139" i="33" s="1"/>
  <c r="B153" i="33" s="1"/>
  <c r="C65" i="33"/>
  <c r="D65" i="33" s="1"/>
  <c r="E73" i="33"/>
  <c r="E75" i="33"/>
  <c r="C95" i="33"/>
  <c r="E103" i="33"/>
  <c r="E105" i="33"/>
  <c r="C110" i="33"/>
  <c r="E118" i="33"/>
  <c r="C125" i="33"/>
  <c r="E132" i="33"/>
  <c r="C139" i="33"/>
  <c r="AY230" i="9" l="1"/>
  <c r="AZ230" i="9" s="1"/>
  <c r="BA230" i="9" s="1"/>
  <c r="BB230" i="9" s="1"/>
  <c r="BC230" i="9" s="1"/>
  <c r="BD230" i="9" s="1"/>
  <c r="BE230" i="9" s="1"/>
  <c r="BF230" i="9" s="1"/>
  <c r="BG230" i="9" s="1"/>
  <c r="BH230" i="9" s="1"/>
  <c r="BI230" i="9" s="1"/>
  <c r="BJ230" i="9" s="1"/>
  <c r="BK230" i="9" s="1"/>
  <c r="BL230" i="9" s="1"/>
  <c r="BM230" i="9" s="1"/>
  <c r="BN230" i="9" s="1"/>
  <c r="BO230" i="9" s="1"/>
  <c r="BP230" i="9" s="1"/>
  <c r="BQ230" i="9" s="1"/>
  <c r="BR230" i="9" s="1"/>
  <c r="BS230" i="9" s="1"/>
  <c r="BT230" i="9" s="1"/>
  <c r="BU230" i="9" s="1"/>
  <c r="D127" i="42"/>
  <c r="E127" i="42" s="1"/>
  <c r="C6" i="32"/>
  <c r="C7" i="32" s="1"/>
  <c r="C8" i="32" s="1"/>
  <c r="C9" i="32" s="1"/>
  <c r="C10" i="32" s="1"/>
  <c r="I6" i="32"/>
  <c r="C11" i="32"/>
  <c r="C12" i="32" s="1"/>
  <c r="C13" i="32" s="1"/>
  <c r="C14" i="32" s="1"/>
  <c r="C15" i="32" s="1"/>
  <c r="I7" i="32"/>
  <c r="C23" i="32"/>
  <c r="C24" i="32" s="1"/>
  <c r="I9" i="32"/>
  <c r="C25" i="32"/>
  <c r="C26" i="32" s="1"/>
  <c r="C27" i="32" s="1"/>
  <c r="C28" i="32" s="1"/>
  <c r="C29" i="32" s="1"/>
  <c r="C30" i="32" s="1"/>
  <c r="C31" i="32" s="1"/>
  <c r="C32" i="32" s="1"/>
  <c r="C33" i="32" s="1"/>
  <c r="I10" i="32"/>
  <c r="E3" i="32"/>
  <c r="E2" i="32" s="1"/>
  <c r="C16" i="32"/>
  <c r="C17" i="32" s="1"/>
  <c r="C18" i="32" s="1"/>
  <c r="C19" i="32" s="1"/>
  <c r="C20" i="32" s="1"/>
  <c r="C21" i="32" s="1"/>
  <c r="C22" i="32" s="1"/>
  <c r="I8" i="32"/>
  <c r="C34" i="32"/>
  <c r="C35" i="32" s="1"/>
  <c r="I11" i="32"/>
  <c r="X210" i="52"/>
  <c r="W242" i="52"/>
  <c r="T211" i="52"/>
  <c r="U206" i="52"/>
  <c r="T212" i="52"/>
  <c r="U207" i="52"/>
  <c r="C48" i="9"/>
  <c r="C61" i="9"/>
  <c r="A225" i="9"/>
  <c r="C236" i="9"/>
  <c r="A236" i="9" s="1"/>
  <c r="C226" i="9"/>
  <c r="D153" i="33"/>
  <c r="B168" i="33"/>
  <c r="D168" i="33" s="1"/>
  <c r="C228" i="13"/>
  <c r="B227" i="13"/>
  <c r="T233" i="48"/>
  <c r="S266" i="48"/>
  <c r="O234" i="48"/>
  <c r="P229" i="48"/>
  <c r="O257" i="48"/>
  <c r="P235" i="48"/>
  <c r="Q230" i="48"/>
  <c r="D139" i="33"/>
  <c r="D125" i="33"/>
  <c r="D110" i="33"/>
  <c r="D95" i="33"/>
  <c r="B15" i="53" l="1"/>
  <c r="V207" i="52"/>
  <c r="U212" i="52"/>
  <c r="Y210" i="52"/>
  <c r="X242" i="52"/>
  <c r="V206" i="52"/>
  <c r="U211" i="52"/>
  <c r="C49" i="9"/>
  <c r="C62" i="9"/>
  <c r="A226" i="9"/>
  <c r="C237" i="9"/>
  <c r="A237" i="9" s="1"/>
  <c r="C227" i="9"/>
  <c r="B228" i="13"/>
  <c r="C229" i="13"/>
  <c r="Q229" i="48"/>
  <c r="P234" i="48"/>
  <c r="U233" i="48"/>
  <c r="T266" i="48"/>
  <c r="Q235" i="48"/>
  <c r="R230" i="48"/>
  <c r="P257" i="48"/>
  <c r="L15" i="40"/>
  <c r="L15" i="35"/>
  <c r="L15" i="31"/>
  <c r="L15" i="30"/>
  <c r="K14" i="29"/>
  <c r="K14" i="19"/>
  <c r="W6" i="29"/>
  <c r="W7" i="29"/>
  <c r="W8" i="29"/>
  <c r="Z210" i="52" l="1"/>
  <c r="Y242" i="52"/>
  <c r="W207" i="52"/>
  <c r="V212" i="52"/>
  <c r="W206" i="52"/>
  <c r="V211" i="52"/>
  <c r="C50" i="9"/>
  <c r="C63" i="9"/>
  <c r="A227" i="9"/>
  <c r="C238" i="9"/>
  <c r="A238" i="9" s="1"/>
  <c r="C228" i="9"/>
  <c r="C230" i="13"/>
  <c r="B229" i="13"/>
  <c r="R235" i="48"/>
  <c r="S230" i="48"/>
  <c r="V233" i="48"/>
  <c r="U266" i="48"/>
  <c r="Q234" i="48"/>
  <c r="R229" i="48"/>
  <c r="Q257" i="48"/>
  <c r="B23" i="32"/>
  <c r="B25" i="32"/>
  <c r="B34" i="32"/>
  <c r="B36" i="32"/>
  <c r="C64" i="9" l="1"/>
  <c r="C51" i="9"/>
  <c r="C65" i="9" s="1"/>
  <c r="X207" i="52"/>
  <c r="W212" i="52"/>
  <c r="Z242" i="52"/>
  <c r="X206" i="52"/>
  <c r="W211" i="52"/>
  <c r="C229" i="9"/>
  <c r="C230" i="9" s="1"/>
  <c r="C239" i="9"/>
  <c r="A239" i="9" s="1"/>
  <c r="A228" i="9"/>
  <c r="B230" i="13"/>
  <c r="C231" i="13"/>
  <c r="R234" i="48"/>
  <c r="S229" i="48"/>
  <c r="W233" i="48"/>
  <c r="V266" i="48"/>
  <c r="T230" i="48"/>
  <c r="S235" i="48"/>
  <c r="R257" i="48"/>
  <c r="B35" i="32"/>
  <c r="B26" i="32"/>
  <c r="B24" i="32"/>
  <c r="C241" i="9" l="1"/>
  <c r="A230" i="9"/>
  <c r="B37" i="32"/>
  <c r="X211" i="52"/>
  <c r="Y206" i="52"/>
  <c r="X212" i="52"/>
  <c r="Y207" i="52"/>
  <c r="A229" i="9"/>
  <c r="C240" i="9"/>
  <c r="A240" i="9" s="1"/>
  <c r="C232" i="13"/>
  <c r="B231" i="13"/>
  <c r="S257" i="48"/>
  <c r="U230" i="48"/>
  <c r="T235" i="48"/>
  <c r="X233" i="48"/>
  <c r="W266" i="48"/>
  <c r="T229" i="48"/>
  <c r="S234" i="48"/>
  <c r="B27" i="32"/>
  <c r="E190" i="9"/>
  <c r="E204" i="9" s="1"/>
  <c r="E191" i="9"/>
  <c r="E205" i="9" s="1"/>
  <c r="E192" i="9"/>
  <c r="E206" i="9" s="1"/>
  <c r="E193" i="9"/>
  <c r="E207" i="9" s="1"/>
  <c r="E194" i="9"/>
  <c r="E208" i="9" s="1"/>
  <c r="E195" i="9"/>
  <c r="E209" i="9" s="1"/>
  <c r="E196" i="9"/>
  <c r="E210" i="9" s="1"/>
  <c r="E197" i="9"/>
  <c r="E211" i="9" s="1"/>
  <c r="E198" i="9"/>
  <c r="E212" i="9" s="1"/>
  <c r="E199" i="9"/>
  <c r="E213" i="9" s="1"/>
  <c r="E200" i="9"/>
  <c r="E214" i="9" s="1"/>
  <c r="E189" i="9"/>
  <c r="E203" i="9" s="1"/>
  <c r="J217" i="9"/>
  <c r="J216" i="9"/>
  <c r="D214" i="9"/>
  <c r="D213" i="9"/>
  <c r="D212" i="9"/>
  <c r="D211" i="9"/>
  <c r="D210" i="9"/>
  <c r="D209" i="9"/>
  <c r="D208" i="9"/>
  <c r="D207" i="9"/>
  <c r="D206" i="9"/>
  <c r="D205" i="9"/>
  <c r="D204" i="9"/>
  <c r="J203" i="9"/>
  <c r="J204" i="9" s="1"/>
  <c r="J205" i="9" s="1"/>
  <c r="J206" i="9" s="1"/>
  <c r="J207" i="9" s="1"/>
  <c r="J208" i="9" s="1"/>
  <c r="J209" i="9" s="1"/>
  <c r="J210" i="9" s="1"/>
  <c r="J211" i="9" s="1"/>
  <c r="D203" i="9"/>
  <c r="J202" i="9"/>
  <c r="B202" i="9"/>
  <c r="B217" i="9" s="1"/>
  <c r="A202" i="9"/>
  <c r="D200" i="9"/>
  <c r="D199" i="9"/>
  <c r="D198" i="9"/>
  <c r="D197" i="9"/>
  <c r="D196" i="9"/>
  <c r="D195" i="9"/>
  <c r="D194" i="9"/>
  <c r="D193" i="9"/>
  <c r="D192" i="9"/>
  <c r="D191" i="9"/>
  <c r="D190" i="9"/>
  <c r="J189" i="9"/>
  <c r="J190" i="9" s="1"/>
  <c r="J191" i="9" s="1"/>
  <c r="J192" i="9" s="1"/>
  <c r="J193" i="9" s="1"/>
  <c r="J194" i="9" s="1"/>
  <c r="J195" i="9" s="1"/>
  <c r="J196" i="9" s="1"/>
  <c r="D189" i="9"/>
  <c r="B188" i="9"/>
  <c r="AY63" i="6"/>
  <c r="AY62" i="6"/>
  <c r="AY61" i="6"/>
  <c r="AY60" i="6"/>
  <c r="AY59" i="6"/>
  <c r="AY58" i="6"/>
  <c r="AY57" i="6"/>
  <c r="AY56" i="6"/>
  <c r="AY55" i="6"/>
  <c r="AY54" i="6"/>
  <c r="AY53" i="6"/>
  <c r="AY52" i="6"/>
  <c r="AY51" i="6"/>
  <c r="AY50" i="6"/>
  <c r="AY49" i="6"/>
  <c r="AY48" i="6"/>
  <c r="AY47" i="6"/>
  <c r="AY46" i="6"/>
  <c r="AY45" i="6"/>
  <c r="AY44" i="6"/>
  <c r="AY43" i="6"/>
  <c r="AY42" i="6"/>
  <c r="AY41" i="6"/>
  <c r="AY40" i="6"/>
  <c r="AY39" i="6"/>
  <c r="AY38" i="6"/>
  <c r="AY37" i="6"/>
  <c r="AY36" i="6"/>
  <c r="AY35" i="6"/>
  <c r="AY34" i="6"/>
  <c r="AY33" i="6"/>
  <c r="AY32" i="6"/>
  <c r="AY31" i="6"/>
  <c r="AY30" i="6"/>
  <c r="AY29" i="6"/>
  <c r="AY28" i="6"/>
  <c r="AY27" i="6"/>
  <c r="AY26" i="6"/>
  <c r="AY25" i="6"/>
  <c r="AY24" i="6"/>
  <c r="AY23" i="6"/>
  <c r="AY22" i="6"/>
  <c r="AY21" i="6"/>
  <c r="AY20" i="6"/>
  <c r="AY19" i="6"/>
  <c r="AY18" i="6"/>
  <c r="AY17" i="6"/>
  <c r="AY16" i="6"/>
  <c r="BD15" i="6"/>
  <c r="AY15" i="6"/>
  <c r="BD14" i="6"/>
  <c r="AY14" i="6"/>
  <c r="BB12" i="6"/>
  <c r="AY12" i="6"/>
  <c r="BB11" i="6"/>
  <c r="AY11" i="6"/>
  <c r="J264" i="40"/>
  <c r="D238" i="40"/>
  <c r="D237" i="40"/>
  <c r="K217" i="40"/>
  <c r="L217" i="40" s="1"/>
  <c r="M217" i="40" s="1"/>
  <c r="N217" i="40" s="1"/>
  <c r="O217" i="40" s="1"/>
  <c r="P217" i="40" s="1"/>
  <c r="Q217" i="40" s="1"/>
  <c r="R217" i="40" s="1"/>
  <c r="S217" i="40" s="1"/>
  <c r="T217" i="40" s="1"/>
  <c r="U217" i="40" s="1"/>
  <c r="V217" i="40" s="1"/>
  <c r="W217" i="40" s="1"/>
  <c r="X217" i="40" s="1"/>
  <c r="Y217" i="40" s="1"/>
  <c r="Z217" i="40" s="1"/>
  <c r="J212" i="40"/>
  <c r="J211" i="40"/>
  <c r="N210" i="40"/>
  <c r="K207" i="40"/>
  <c r="L207" i="40" s="1"/>
  <c r="M207" i="40" s="1"/>
  <c r="K206" i="40"/>
  <c r="J200" i="40"/>
  <c r="L199" i="40"/>
  <c r="K199" i="40"/>
  <c r="J199" i="40"/>
  <c r="M192" i="40"/>
  <c r="K192" i="40"/>
  <c r="M190" i="40"/>
  <c r="K190" i="40"/>
  <c r="K189" i="40"/>
  <c r="M189" i="40" s="1"/>
  <c r="M188" i="40"/>
  <c r="M187" i="40"/>
  <c r="K187" i="40"/>
  <c r="K181" i="40"/>
  <c r="M181" i="40" s="1"/>
  <c r="K180" i="40"/>
  <c r="M180" i="40" s="1"/>
  <c r="K179" i="40"/>
  <c r="M179" i="40" s="1"/>
  <c r="K178" i="40"/>
  <c r="M178" i="40" s="1"/>
  <c r="K177" i="40"/>
  <c r="M177" i="40" s="1"/>
  <c r="K176" i="40"/>
  <c r="M176" i="40" s="1"/>
  <c r="M175" i="40"/>
  <c r="K175" i="40"/>
  <c r="K174" i="40"/>
  <c r="M174" i="40" s="1"/>
  <c r="K173" i="40"/>
  <c r="M173" i="40" s="1"/>
  <c r="K172" i="40"/>
  <c r="M172" i="40" s="1"/>
  <c r="K171" i="40"/>
  <c r="M171" i="40" s="1"/>
  <c r="M166" i="40"/>
  <c r="K166" i="40"/>
  <c r="K165" i="40"/>
  <c r="M165" i="40" s="1"/>
  <c r="K164" i="40"/>
  <c r="M164" i="40" s="1"/>
  <c r="M163" i="40"/>
  <c r="K163" i="40"/>
  <c r="M162" i="40"/>
  <c r="K162" i="40"/>
  <c r="L157" i="40"/>
  <c r="H152" i="40"/>
  <c r="H151" i="40"/>
  <c r="H150" i="40"/>
  <c r="J149" i="40"/>
  <c r="H149" i="40"/>
  <c r="J142" i="40"/>
  <c r="J136" i="40"/>
  <c r="L131" i="40"/>
  <c r="L115" i="40"/>
  <c r="L116" i="40" s="1"/>
  <c r="L117" i="40" s="1"/>
  <c r="L114" i="40"/>
  <c r="M94" i="40"/>
  <c r="K94" i="40"/>
  <c r="H74" i="40"/>
  <c r="H73" i="40"/>
  <c r="H72" i="40"/>
  <c r="H71" i="40"/>
  <c r="H70" i="40"/>
  <c r="H69" i="40"/>
  <c r="H62" i="40"/>
  <c r="H61" i="40"/>
  <c r="H60" i="40"/>
  <c r="H59" i="40"/>
  <c r="H58" i="40"/>
  <c r="H57" i="40"/>
  <c r="J44" i="40"/>
  <c r="J30" i="40"/>
  <c r="J17" i="40"/>
  <c r="K92" i="40" s="1"/>
  <c r="M92" i="40" s="1"/>
  <c r="K11" i="40"/>
  <c r="K25" i="40" s="1"/>
  <c r="J11" i="40"/>
  <c r="I11" i="40"/>
  <c r="L5" i="40"/>
  <c r="L6" i="40" s="1"/>
  <c r="L7" i="40" s="1"/>
  <c r="L8" i="40" s="1"/>
  <c r="L9" i="40" s="1"/>
  <c r="L10" i="40" s="1"/>
  <c r="K182" i="40" l="1"/>
  <c r="B38" i="32"/>
  <c r="Y212" i="52"/>
  <c r="Z207" i="52"/>
  <c r="Z212" i="52" s="1"/>
  <c r="Y211" i="52"/>
  <c r="Z206" i="52"/>
  <c r="Z211" i="52" s="1"/>
  <c r="C189" i="9"/>
  <c r="B216" i="9"/>
  <c r="B232" i="13"/>
  <c r="C233" i="13"/>
  <c r="Y233" i="48"/>
  <c r="X266" i="48"/>
  <c r="T234" i="48"/>
  <c r="U229" i="48"/>
  <c r="U235" i="48"/>
  <c r="V230" i="48"/>
  <c r="T257" i="48"/>
  <c r="L42" i="33"/>
  <c r="B28" i="32"/>
  <c r="J197" i="9"/>
  <c r="J198" i="9" s="1"/>
  <c r="J199" i="9" s="1"/>
  <c r="J200" i="9" s="1"/>
  <c r="J201" i="9" s="1"/>
  <c r="J212" i="9"/>
  <c r="J213" i="9" s="1"/>
  <c r="J214" i="9" s="1"/>
  <c r="J215" i="9" s="1"/>
  <c r="N207" i="40"/>
  <c r="M212" i="40"/>
  <c r="M182" i="40"/>
  <c r="K211" i="40"/>
  <c r="L206" i="40"/>
  <c r="K212" i="40"/>
  <c r="L212" i="40"/>
  <c r="K144" i="40"/>
  <c r="M144" i="40" s="1"/>
  <c r="K193" i="40"/>
  <c r="L193" i="40" s="1"/>
  <c r="M193" i="40" s="1"/>
  <c r="K93" i="40"/>
  <c r="M93" i="40" s="1"/>
  <c r="J18" i="40"/>
  <c r="O210" i="40"/>
  <c r="J265" i="40"/>
  <c r="K265" i="40"/>
  <c r="L201" i="9" l="1"/>
  <c r="W215" i="9"/>
  <c r="AD215" i="9"/>
  <c r="N215" i="9"/>
  <c r="AI215" i="9"/>
  <c r="V215" i="9"/>
  <c r="AA215" i="9"/>
  <c r="P215" i="9"/>
  <c r="AC215" i="9"/>
  <c r="M215" i="9"/>
  <c r="AB215" i="9"/>
  <c r="L215" i="9"/>
  <c r="AM215" i="9"/>
  <c r="AG215" i="9"/>
  <c r="AH215" i="9"/>
  <c r="AF215" i="9"/>
  <c r="AK215" i="9"/>
  <c r="O215" i="9"/>
  <c r="S215" i="9"/>
  <c r="X215" i="9"/>
  <c r="Z215" i="9"/>
  <c r="U215" i="9"/>
  <c r="AL215" i="9"/>
  <c r="AE215" i="9"/>
  <c r="AJ215" i="9"/>
  <c r="T215" i="9"/>
  <c r="R215" i="9"/>
  <c r="Q215" i="9"/>
  <c r="AO215" i="9"/>
  <c r="Y215" i="9"/>
  <c r="AN215" i="9"/>
  <c r="C203" i="9"/>
  <c r="A203" i="9" s="1"/>
  <c r="C190" i="9"/>
  <c r="A189" i="9"/>
  <c r="B233" i="13"/>
  <c r="C234" i="13"/>
  <c r="W230" i="48"/>
  <c r="V235" i="48"/>
  <c r="U234" i="48"/>
  <c r="V229" i="48"/>
  <c r="Z233" i="48"/>
  <c r="Y266" i="48"/>
  <c r="U257" i="48"/>
  <c r="B29" i="32"/>
  <c r="O207" i="40"/>
  <c r="N212" i="40"/>
  <c r="K183" i="40"/>
  <c r="M183" i="40" s="1"/>
  <c r="M184" i="40" s="1"/>
  <c r="E161" i="33" s="1"/>
  <c r="P210" i="40"/>
  <c r="L211" i="40"/>
  <c r="M206" i="40"/>
  <c r="AP215" i="9" l="1"/>
  <c r="AR215" i="9"/>
  <c r="AS215" i="9" s="1"/>
  <c r="AT215" i="9" s="1"/>
  <c r="AU215" i="9" s="1"/>
  <c r="AV215" i="9" s="1"/>
  <c r="AW215" i="9" s="1"/>
  <c r="AX215" i="9" s="1"/>
  <c r="AY215" i="9" s="1"/>
  <c r="AZ215" i="9" s="1"/>
  <c r="BA215" i="9" s="1"/>
  <c r="BB215" i="9" s="1"/>
  <c r="BC215" i="9" s="1"/>
  <c r="BD215" i="9" s="1"/>
  <c r="BE215" i="9" s="1"/>
  <c r="BF215" i="9" s="1"/>
  <c r="BG215" i="9" s="1"/>
  <c r="BH215" i="9" s="1"/>
  <c r="BI215" i="9" s="1"/>
  <c r="BJ215" i="9" s="1"/>
  <c r="BK215" i="9" s="1"/>
  <c r="BL215" i="9" s="1"/>
  <c r="BM215" i="9" s="1"/>
  <c r="BN215" i="9" s="1"/>
  <c r="BO215" i="9" s="1"/>
  <c r="BP215" i="9" s="1"/>
  <c r="BQ215" i="9" s="1"/>
  <c r="BR215" i="9" s="1"/>
  <c r="BS215" i="9" s="1"/>
  <c r="BT215" i="9" s="1"/>
  <c r="BU215" i="9" s="1"/>
  <c r="M201" i="9"/>
  <c r="AR201" i="9"/>
  <c r="C204" i="9"/>
  <c r="A204" i="9" s="1"/>
  <c r="A190" i="9"/>
  <c r="C191" i="9"/>
  <c r="B234" i="13"/>
  <c r="C235" i="13"/>
  <c r="V257" i="48"/>
  <c r="Z266" i="48"/>
  <c r="W229" i="48"/>
  <c r="V234" i="48"/>
  <c r="W235" i="48"/>
  <c r="X230" i="48"/>
  <c r="B30" i="32"/>
  <c r="P242" i="40"/>
  <c r="O242" i="40"/>
  <c r="N242" i="40"/>
  <c r="M242" i="40"/>
  <c r="Q242" i="40"/>
  <c r="L242" i="40"/>
  <c r="N206" i="40"/>
  <c r="M211" i="40"/>
  <c r="P207" i="40"/>
  <c r="O212" i="40"/>
  <c r="Q210" i="40"/>
  <c r="AS201" i="9" l="1"/>
  <c r="N201" i="9"/>
  <c r="O201" i="9" s="1"/>
  <c r="P201" i="9" s="1"/>
  <c r="Q201" i="9" s="1"/>
  <c r="C192" i="9"/>
  <c r="A191" i="9"/>
  <c r="C205" i="9"/>
  <c r="A205" i="9" s="1"/>
  <c r="B235" i="13"/>
  <c r="C236" i="13"/>
  <c r="X235" i="48"/>
  <c r="Y230" i="48"/>
  <c r="W257" i="48"/>
  <c r="X229" i="48"/>
  <c r="W234" i="48"/>
  <c r="B31" i="32"/>
  <c r="R210" i="40"/>
  <c r="O206" i="40"/>
  <c r="N211" i="40"/>
  <c r="Q207" i="40"/>
  <c r="P212" i="40"/>
  <c r="R201" i="9" l="1"/>
  <c r="S201" i="9" s="1"/>
  <c r="AT201" i="9"/>
  <c r="AU201" i="9" s="1"/>
  <c r="AV201" i="9" s="1"/>
  <c r="AW201" i="9" s="1"/>
  <c r="B236" i="13"/>
  <c r="C237" i="13"/>
  <c r="C206" i="9"/>
  <c r="A206" i="9" s="1"/>
  <c r="A192" i="9"/>
  <c r="C193" i="9"/>
  <c r="X234" i="48"/>
  <c r="Y229" i="48"/>
  <c r="Y235" i="48"/>
  <c r="Z230" i="48"/>
  <c r="Z235" i="48" s="1"/>
  <c r="X257" i="48"/>
  <c r="B32" i="32"/>
  <c r="B33" i="32"/>
  <c r="Q212" i="40"/>
  <c r="R207" i="40"/>
  <c r="S210" i="40"/>
  <c r="R242" i="40"/>
  <c r="P206" i="40"/>
  <c r="O211" i="40"/>
  <c r="AX201" i="9" l="1"/>
  <c r="AY201" i="9" s="1"/>
  <c r="T201" i="9"/>
  <c r="U201" i="9" s="1"/>
  <c r="V201" i="9" s="1"/>
  <c r="W201" i="9" s="1"/>
  <c r="X201" i="9" s="1"/>
  <c r="Y201" i="9" s="1"/>
  <c r="Z201" i="9" s="1"/>
  <c r="AA201" i="9" s="1"/>
  <c r="AB201" i="9" s="1"/>
  <c r="AC201" i="9" s="1"/>
  <c r="AD201" i="9" s="1"/>
  <c r="AE201" i="9" s="1"/>
  <c r="AF201" i="9" s="1"/>
  <c r="AG201" i="9" s="1"/>
  <c r="AH201" i="9" s="1"/>
  <c r="AI201" i="9" s="1"/>
  <c r="AJ201" i="9" s="1"/>
  <c r="AK201" i="9" s="1"/>
  <c r="AL201" i="9" s="1"/>
  <c r="AM201" i="9" s="1"/>
  <c r="AN201" i="9" s="1"/>
  <c r="AO201" i="9" s="1"/>
  <c r="AP201" i="9" s="1"/>
  <c r="B237" i="13"/>
  <c r="C238" i="13"/>
  <c r="C207" i="9"/>
  <c r="A207" i="9" s="1"/>
  <c r="C194" i="9"/>
  <c r="A193" i="9"/>
  <c r="Y257" i="48"/>
  <c r="Z257" i="48"/>
  <c r="Y234" i="48"/>
  <c r="Z229" i="48"/>
  <c r="Z234" i="48" s="1"/>
  <c r="Q206" i="40"/>
  <c r="P211" i="40"/>
  <c r="T210" i="40"/>
  <c r="S242" i="40"/>
  <c r="R212" i="40"/>
  <c r="S207" i="40"/>
  <c r="AZ201" i="9" l="1"/>
  <c r="BA201" i="9" s="1"/>
  <c r="BB201" i="9" s="1"/>
  <c r="BC201" i="9" s="1"/>
  <c r="BD201" i="9" s="1"/>
  <c r="BE201" i="9" s="1"/>
  <c r="BF201" i="9" s="1"/>
  <c r="BG201" i="9" s="1"/>
  <c r="BH201" i="9" s="1"/>
  <c r="BI201" i="9" s="1"/>
  <c r="BJ201" i="9" s="1"/>
  <c r="BK201" i="9" s="1"/>
  <c r="BL201" i="9" s="1"/>
  <c r="BM201" i="9" s="1"/>
  <c r="BN201" i="9" s="1"/>
  <c r="BO201" i="9" s="1"/>
  <c r="BP201" i="9" s="1"/>
  <c r="BQ201" i="9" s="1"/>
  <c r="BR201" i="9" s="1"/>
  <c r="BS201" i="9" s="1"/>
  <c r="BT201" i="9" s="1"/>
  <c r="BU201" i="9" s="1"/>
  <c r="C239" i="13"/>
  <c r="B239" i="13" s="1"/>
  <c r="B238" i="13"/>
  <c r="C208" i="9"/>
  <c r="A208" i="9" s="1"/>
  <c r="C195" i="9"/>
  <c r="A194" i="9"/>
  <c r="T207" i="40"/>
  <c r="S212" i="40"/>
  <c r="U210" i="40"/>
  <c r="T242" i="40"/>
  <c r="Q211" i="40"/>
  <c r="R206" i="40"/>
  <c r="C209" i="9" l="1"/>
  <c r="A209" i="9" s="1"/>
  <c r="A195" i="9"/>
  <c r="C196" i="9"/>
  <c r="T212" i="40"/>
  <c r="U207" i="40"/>
  <c r="R211" i="40"/>
  <c r="S206" i="40"/>
  <c r="V210" i="40"/>
  <c r="U242" i="40"/>
  <c r="C210" i="9" l="1"/>
  <c r="A210" i="9" s="1"/>
  <c r="A196" i="9"/>
  <c r="C197" i="9"/>
  <c r="W210" i="40"/>
  <c r="V242" i="40"/>
  <c r="V207" i="40"/>
  <c r="U212" i="40"/>
  <c r="S211" i="40"/>
  <c r="T206" i="40"/>
  <c r="C211" i="9" l="1"/>
  <c r="A211" i="9" s="1"/>
  <c r="A197" i="9"/>
  <c r="C198" i="9"/>
  <c r="W207" i="40"/>
  <c r="V212" i="40"/>
  <c r="X210" i="40"/>
  <c r="W242" i="40"/>
  <c r="U206" i="40"/>
  <c r="T211" i="40"/>
  <c r="C212" i="9" l="1"/>
  <c r="A212" i="9" s="1"/>
  <c r="C199" i="9"/>
  <c r="A198" i="9"/>
  <c r="V206" i="40"/>
  <c r="U211" i="40"/>
  <c r="Y210" i="40"/>
  <c r="X242" i="40"/>
  <c r="X207" i="40"/>
  <c r="W212" i="40"/>
  <c r="C213" i="9" l="1"/>
  <c r="A213" i="9" s="1"/>
  <c r="C200" i="9"/>
  <c r="C201" i="9" s="1"/>
  <c r="A199" i="9"/>
  <c r="Y207" i="40"/>
  <c r="X212" i="40"/>
  <c r="Z210" i="40"/>
  <c r="Y242" i="40"/>
  <c r="W206" i="40"/>
  <c r="V211" i="40"/>
  <c r="C215" i="9" l="1"/>
  <c r="A201" i="9"/>
  <c r="C214" i="9"/>
  <c r="A214" i="9" s="1"/>
  <c r="A200" i="9"/>
  <c r="Y212" i="40"/>
  <c r="Z207" i="40"/>
  <c r="Z212" i="40" s="1"/>
  <c r="X206" i="40"/>
  <c r="W211" i="40"/>
  <c r="Z242" i="40"/>
  <c r="Y206" i="40" l="1"/>
  <c r="X211" i="40"/>
  <c r="Y211" i="40" l="1"/>
  <c r="Z206" i="40"/>
  <c r="Z211" i="40" s="1"/>
  <c r="C96" i="13" l="1"/>
  <c r="C97" i="13" s="1"/>
  <c r="C98" i="13" s="1"/>
  <c r="C99" i="13" s="1"/>
  <c r="C100" i="13" s="1"/>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c r="C155" i="13" s="1"/>
  <c r="C156" i="13" s="1"/>
  <c r="C157" i="13" s="1"/>
  <c r="C158" i="13" s="1"/>
  <c r="C159" i="13" s="1"/>
  <c r="C160" i="13" s="1"/>
  <c r="C161" i="13" s="1"/>
  <c r="C162" i="13" s="1"/>
  <c r="C66" i="13"/>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38" i="13"/>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11" i="13"/>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10" i="13"/>
  <c r="B166" i="13"/>
  <c r="B161" i="13"/>
  <c r="B160" i="13"/>
  <c r="B159" i="13"/>
  <c r="B158" i="13"/>
  <c r="B157" i="13"/>
  <c r="B156" i="13"/>
  <c r="B155" i="13"/>
  <c r="AQ12" i="6"/>
  <c r="AI12" i="6"/>
  <c r="AA12" i="6"/>
  <c r="S12" i="6"/>
  <c r="K12" i="6"/>
  <c r="AQ63" i="6"/>
  <c r="AQ62" i="6"/>
  <c r="AQ61" i="6"/>
  <c r="AQ60" i="6"/>
  <c r="AQ59" i="6"/>
  <c r="AQ58" i="6"/>
  <c r="AQ57" i="6"/>
  <c r="AQ56" i="6"/>
  <c r="AQ55" i="6"/>
  <c r="AQ54" i="6"/>
  <c r="AQ53" i="6"/>
  <c r="AQ52" i="6"/>
  <c r="AQ51" i="6"/>
  <c r="AQ50" i="6"/>
  <c r="AQ49" i="6"/>
  <c r="AQ48" i="6"/>
  <c r="AQ47" i="6"/>
  <c r="AQ46" i="6"/>
  <c r="AQ45" i="6"/>
  <c r="AQ44" i="6"/>
  <c r="AQ43" i="6"/>
  <c r="AQ42" i="6"/>
  <c r="AQ41" i="6"/>
  <c r="AQ40" i="6"/>
  <c r="AQ39" i="6"/>
  <c r="AQ38" i="6"/>
  <c r="AQ37" i="6"/>
  <c r="AQ36" i="6"/>
  <c r="AQ35" i="6"/>
  <c r="AQ34" i="6"/>
  <c r="AQ33" i="6"/>
  <c r="AQ32" i="6"/>
  <c r="AQ31" i="6"/>
  <c r="AQ30" i="6"/>
  <c r="AQ29" i="6"/>
  <c r="AQ28" i="6"/>
  <c r="AQ27" i="6"/>
  <c r="AQ26" i="6"/>
  <c r="AQ25" i="6"/>
  <c r="AQ24" i="6"/>
  <c r="AQ23" i="6"/>
  <c r="AQ22" i="6"/>
  <c r="AQ21" i="6"/>
  <c r="AQ20" i="6"/>
  <c r="AQ19" i="6"/>
  <c r="AQ18" i="6"/>
  <c r="AQ17" i="6"/>
  <c r="AQ16" i="6"/>
  <c r="AV15" i="6"/>
  <c r="AQ15" i="6"/>
  <c r="AV14" i="6"/>
  <c r="AQ14" i="6"/>
  <c r="AT12" i="6"/>
  <c r="AT11" i="6"/>
  <c r="AQ11" i="6"/>
  <c r="D165" i="9"/>
  <c r="D166" i="9"/>
  <c r="D167" i="9"/>
  <c r="E171" i="9"/>
  <c r="E172" i="9"/>
  <c r="E173" i="9"/>
  <c r="E174" i="9"/>
  <c r="E175" i="9"/>
  <c r="E176" i="9"/>
  <c r="E177" i="9"/>
  <c r="E178" i="9"/>
  <c r="E170" i="9"/>
  <c r="J184" i="9"/>
  <c r="J183" i="9"/>
  <c r="D178" i="9"/>
  <c r="D177" i="9"/>
  <c r="D176" i="9"/>
  <c r="D175" i="9"/>
  <c r="D174" i="9"/>
  <c r="D173" i="9"/>
  <c r="D172" i="9"/>
  <c r="D171" i="9"/>
  <c r="D170" i="9"/>
  <c r="J169" i="9"/>
  <c r="B169" i="9"/>
  <c r="B184" i="9" s="1"/>
  <c r="A169" i="9"/>
  <c r="D164" i="9"/>
  <c r="D163" i="9"/>
  <c r="D162" i="9"/>
  <c r="D161" i="9"/>
  <c r="D160" i="9"/>
  <c r="D159" i="9"/>
  <c r="D158" i="9"/>
  <c r="D157" i="9"/>
  <c r="D156" i="9"/>
  <c r="B155" i="9"/>
  <c r="D219" i="19"/>
  <c r="B19" i="32" l="1"/>
  <c r="C156" i="9"/>
  <c r="A156" i="9" s="1"/>
  <c r="K42" i="33"/>
  <c r="C163" i="13"/>
  <c r="B162" i="13"/>
  <c r="B154" i="13"/>
  <c r="F171" i="9"/>
  <c r="F172" i="9"/>
  <c r="B20" i="32" l="1"/>
  <c r="C157" i="9"/>
  <c r="C170" i="9"/>
  <c r="A170" i="9" s="1"/>
  <c r="B183" i="9"/>
  <c r="C183" i="13"/>
  <c r="B163" i="13"/>
  <c r="C164" i="13"/>
  <c r="B22" i="32" l="1"/>
  <c r="B21" i="32"/>
  <c r="C3" i="32"/>
  <c r="D12" i="53" s="1"/>
  <c r="C158" i="9"/>
  <c r="A157" i="9"/>
  <c r="C171" i="9"/>
  <c r="A171" i="9" s="1"/>
  <c r="C184" i="13"/>
  <c r="B183" i="13"/>
  <c r="C165" i="13"/>
  <c r="B164" i="13"/>
  <c r="F2" i="32" l="1"/>
  <c r="C172" i="9"/>
  <c r="A172" i="9" s="1"/>
  <c r="A158" i="9"/>
  <c r="C159" i="9"/>
  <c r="C185" i="13"/>
  <c r="B184" i="13"/>
  <c r="C166" i="13"/>
  <c r="C167" i="13" s="1"/>
  <c r="B165" i="13"/>
  <c r="C160" i="9" l="1"/>
  <c r="A159" i="9"/>
  <c r="C173" i="9"/>
  <c r="A173" i="9" s="1"/>
  <c r="B185" i="13"/>
  <c r="C186" i="13"/>
  <c r="C168" i="13"/>
  <c r="B167" i="13"/>
  <c r="A160" i="9" l="1"/>
  <c r="C174" i="9"/>
  <c r="A174" i="9" s="1"/>
  <c r="C161" i="9"/>
  <c r="B186" i="13"/>
  <c r="C187" i="13"/>
  <c r="C169" i="13"/>
  <c r="B168" i="13"/>
  <c r="A161" i="9" l="1"/>
  <c r="C175" i="9"/>
  <c r="A175" i="9" s="1"/>
  <c r="C162" i="9"/>
  <c r="B187" i="13"/>
  <c r="C188" i="13"/>
  <c r="C170" i="13"/>
  <c r="B169" i="13"/>
  <c r="C176" i="9" l="1"/>
  <c r="A176" i="9" s="1"/>
  <c r="C163" i="9"/>
  <c r="A162" i="9"/>
  <c r="C189" i="13"/>
  <c r="B188" i="13"/>
  <c r="C171" i="13"/>
  <c r="B170" i="13"/>
  <c r="C177" i="9" l="1"/>
  <c r="A177" i="9" s="1"/>
  <c r="A163" i="9"/>
  <c r="C164" i="9"/>
  <c r="B189" i="13"/>
  <c r="C190" i="13"/>
  <c r="C172" i="13"/>
  <c r="B171" i="13"/>
  <c r="C165" i="9" l="1"/>
  <c r="C179" i="9" s="1"/>
  <c r="A179" i="9" s="1"/>
  <c r="C178" i="9"/>
  <c r="A178" i="9" s="1"/>
  <c r="A164" i="9"/>
  <c r="B190" i="13"/>
  <c r="C191" i="13"/>
  <c r="B172" i="13"/>
  <c r="C173" i="13"/>
  <c r="A165" i="9" l="1"/>
  <c r="C166" i="9"/>
  <c r="C180" i="9" s="1"/>
  <c r="A180" i="9" s="1"/>
  <c r="C192" i="13"/>
  <c r="B191" i="13"/>
  <c r="C174" i="13"/>
  <c r="B173" i="13"/>
  <c r="A166" i="9" l="1"/>
  <c r="C167" i="9"/>
  <c r="C193" i="13"/>
  <c r="B192" i="13"/>
  <c r="C175" i="13"/>
  <c r="B174" i="13"/>
  <c r="A167" i="9" l="1"/>
  <c r="C168" i="9"/>
  <c r="C181" i="9"/>
  <c r="B193" i="13"/>
  <c r="C194" i="13"/>
  <c r="B175" i="13"/>
  <c r="C176" i="13"/>
  <c r="C182" i="9" l="1"/>
  <c r="A181" i="9"/>
  <c r="B194" i="13"/>
  <c r="C195" i="13"/>
  <c r="C177" i="13"/>
  <c r="B176" i="13"/>
  <c r="C196" i="13" l="1"/>
  <c r="B195" i="13"/>
  <c r="C178" i="13"/>
  <c r="B177" i="13"/>
  <c r="C197" i="13" l="1"/>
  <c r="B196" i="13"/>
  <c r="B178" i="13"/>
  <c r="C179" i="13"/>
  <c r="B197" i="13" l="1"/>
  <c r="C198" i="13"/>
  <c r="C180" i="13"/>
  <c r="B179" i="13"/>
  <c r="K267" i="35"/>
  <c r="J267" i="35"/>
  <c r="J266" i="35"/>
  <c r="J254" i="35"/>
  <c r="D240" i="35"/>
  <c r="D239" i="35"/>
  <c r="N219" i="35"/>
  <c r="O219" i="35" s="1"/>
  <c r="P219" i="35" s="1"/>
  <c r="Q219" i="35" s="1"/>
  <c r="R219" i="35" s="1"/>
  <c r="S219" i="35" s="1"/>
  <c r="T219" i="35" s="1"/>
  <c r="U219" i="35" s="1"/>
  <c r="V219" i="35" s="1"/>
  <c r="W219" i="35" s="1"/>
  <c r="X219" i="35" s="1"/>
  <c r="Y219" i="35" s="1"/>
  <c r="Z219" i="35" s="1"/>
  <c r="L219" i="35"/>
  <c r="M219" i="35" s="1"/>
  <c r="K219" i="35"/>
  <c r="J214" i="35"/>
  <c r="J213" i="35"/>
  <c r="N212" i="35"/>
  <c r="K209" i="35"/>
  <c r="K214" i="35" s="1"/>
  <c r="K208" i="35"/>
  <c r="L208" i="35" s="1"/>
  <c r="J202" i="35"/>
  <c r="L201" i="35"/>
  <c r="J201" i="35"/>
  <c r="K194" i="35"/>
  <c r="M194" i="35" s="1"/>
  <c r="K192" i="35"/>
  <c r="M192" i="35" s="1"/>
  <c r="K191" i="35"/>
  <c r="M191" i="35" s="1"/>
  <c r="M190" i="35"/>
  <c r="K189" i="35"/>
  <c r="M189" i="35" s="1"/>
  <c r="K183" i="35"/>
  <c r="M183" i="35" s="1"/>
  <c r="K182" i="35"/>
  <c r="M182" i="35" s="1"/>
  <c r="K181" i="35"/>
  <c r="M181" i="35" s="1"/>
  <c r="K180" i="35"/>
  <c r="M180" i="35" s="1"/>
  <c r="K179" i="35"/>
  <c r="M179" i="35" s="1"/>
  <c r="K178" i="35"/>
  <c r="M178" i="35" s="1"/>
  <c r="K177" i="35"/>
  <c r="M177" i="35" s="1"/>
  <c r="K176" i="35"/>
  <c r="M176" i="35" s="1"/>
  <c r="K175" i="35"/>
  <c r="M175" i="35" s="1"/>
  <c r="K174" i="35"/>
  <c r="M174" i="35" s="1"/>
  <c r="K173" i="35"/>
  <c r="M168" i="35"/>
  <c r="K168" i="35"/>
  <c r="M167" i="35"/>
  <c r="K167" i="35"/>
  <c r="M166" i="35"/>
  <c r="K166" i="35"/>
  <c r="K165" i="35"/>
  <c r="M165" i="35" s="1"/>
  <c r="M164" i="35"/>
  <c r="K164" i="35"/>
  <c r="L159" i="35"/>
  <c r="H152" i="35"/>
  <c r="J151" i="35"/>
  <c r="J144" i="35"/>
  <c r="J138" i="35"/>
  <c r="L133" i="35"/>
  <c r="L116" i="35"/>
  <c r="L117" i="35" s="1"/>
  <c r="L118" i="35" s="1"/>
  <c r="L119" i="35" s="1"/>
  <c r="M96" i="35"/>
  <c r="K96" i="35"/>
  <c r="K94" i="35"/>
  <c r="M94" i="35" s="1"/>
  <c r="H74" i="35"/>
  <c r="H73" i="35"/>
  <c r="H72" i="35"/>
  <c r="H71" i="35"/>
  <c r="H70" i="35"/>
  <c r="H69" i="35"/>
  <c r="K62" i="35"/>
  <c r="K110" i="35" s="1"/>
  <c r="M110" i="35" s="1"/>
  <c r="H62" i="35"/>
  <c r="K61" i="35"/>
  <c r="M61" i="35" s="1"/>
  <c r="H61" i="35"/>
  <c r="K60" i="35"/>
  <c r="M60" i="35" s="1"/>
  <c r="H60" i="35"/>
  <c r="K59" i="35"/>
  <c r="M59" i="35" s="1"/>
  <c r="H59" i="35"/>
  <c r="K58" i="35"/>
  <c r="M58" i="35" s="1"/>
  <c r="H58" i="35"/>
  <c r="J44" i="35"/>
  <c r="M37" i="35"/>
  <c r="J30" i="35"/>
  <c r="J17" i="35"/>
  <c r="K195" i="35" s="1"/>
  <c r="L195" i="35" s="1"/>
  <c r="M195" i="35" s="1"/>
  <c r="K11" i="35"/>
  <c r="I11" i="35"/>
  <c r="B180" i="13" l="1"/>
  <c r="C181" i="13"/>
  <c r="B198" i="13"/>
  <c r="C199" i="13"/>
  <c r="K213" i="35"/>
  <c r="O212" i="35"/>
  <c r="L209" i="35"/>
  <c r="M173" i="35"/>
  <c r="M184" i="35" s="1"/>
  <c r="K184" i="35"/>
  <c r="L213" i="35"/>
  <c r="M208" i="35"/>
  <c r="K146" i="35"/>
  <c r="M146" i="35" s="1"/>
  <c r="K253" i="35"/>
  <c r="K254" i="35"/>
  <c r="K201" i="35"/>
  <c r="K108" i="35"/>
  <c r="M108" i="35" s="1"/>
  <c r="K95" i="35"/>
  <c r="M95" i="35" s="1"/>
  <c r="K109" i="35"/>
  <c r="M109" i="35" s="1"/>
  <c r="J18" i="35"/>
  <c r="M62" i="35"/>
  <c r="J253" i="35"/>
  <c r="B181" i="13" l="1"/>
  <c r="C182" i="13"/>
  <c r="B182" i="13" s="1"/>
  <c r="B199" i="13"/>
  <c r="C200" i="13"/>
  <c r="L214" i="35"/>
  <c r="M209" i="35"/>
  <c r="N208" i="35"/>
  <c r="M213" i="35"/>
  <c r="K185" i="35"/>
  <c r="M185" i="35" s="1"/>
  <c r="M186" i="35" s="1"/>
  <c r="E146" i="33" s="1"/>
  <c r="P212" i="35"/>
  <c r="C201" i="13" l="1"/>
  <c r="B200" i="13"/>
  <c r="L244" i="35"/>
  <c r="M244" i="35"/>
  <c r="Q244" i="35"/>
  <c r="P244" i="35"/>
  <c r="O244" i="35"/>
  <c r="N244" i="35"/>
  <c r="N209" i="35"/>
  <c r="M214" i="35"/>
  <c r="Q212" i="35"/>
  <c r="N213" i="35"/>
  <c r="O208" i="35"/>
  <c r="B201" i="13" l="1"/>
  <c r="C202" i="13"/>
  <c r="R212" i="35"/>
  <c r="O213" i="35"/>
  <c r="P208" i="35"/>
  <c r="O209" i="35"/>
  <c r="N214" i="35"/>
  <c r="B202" i="13" l="1"/>
  <c r="C203" i="13"/>
  <c r="O214" i="35"/>
  <c r="P209" i="35"/>
  <c r="S212" i="35"/>
  <c r="R244" i="35"/>
  <c r="P213" i="35"/>
  <c r="Q208" i="35"/>
  <c r="B203" i="13" l="1"/>
  <c r="C204" i="13"/>
  <c r="T212" i="35"/>
  <c r="S244" i="35"/>
  <c r="Q209" i="35"/>
  <c r="P214" i="35"/>
  <c r="R208" i="35"/>
  <c r="Q213" i="35"/>
  <c r="C205" i="13" l="1"/>
  <c r="B204" i="13"/>
  <c r="S208" i="35"/>
  <c r="R213" i="35"/>
  <c r="R209" i="35"/>
  <c r="Q214" i="35"/>
  <c r="U212" i="35"/>
  <c r="T244" i="35"/>
  <c r="B205" i="13" l="1"/>
  <c r="C206" i="13"/>
  <c r="R214" i="35"/>
  <c r="S209" i="35"/>
  <c r="V212" i="35"/>
  <c r="U244" i="35"/>
  <c r="S213" i="35"/>
  <c r="T208" i="35"/>
  <c r="B206" i="13" l="1"/>
  <c r="C207" i="13"/>
  <c r="T213" i="35"/>
  <c r="U208" i="35"/>
  <c r="S214" i="35"/>
  <c r="T209" i="35"/>
  <c r="W212" i="35"/>
  <c r="V244" i="35"/>
  <c r="C208" i="13" l="1"/>
  <c r="B207" i="13"/>
  <c r="U209" i="35"/>
  <c r="T214" i="35"/>
  <c r="U213" i="35"/>
  <c r="V208" i="35"/>
  <c r="X212" i="35"/>
  <c r="W244" i="35"/>
  <c r="C209" i="13" l="1"/>
  <c r="B208" i="13"/>
  <c r="W208" i="35"/>
  <c r="V213" i="35"/>
  <c r="Y212" i="35"/>
  <c r="X244" i="35"/>
  <c r="U214" i="35"/>
  <c r="V209" i="35"/>
  <c r="B209" i="13" l="1"/>
  <c r="C210" i="13"/>
  <c r="X208" i="35"/>
  <c r="W213" i="35"/>
  <c r="V214" i="35"/>
  <c r="W209" i="35"/>
  <c r="Z212" i="35"/>
  <c r="Y244" i="35"/>
  <c r="B210" i="13" l="1"/>
  <c r="C211" i="13"/>
  <c r="Z244" i="35"/>
  <c r="X213" i="35"/>
  <c r="Y208" i="35"/>
  <c r="X209" i="35"/>
  <c r="W214" i="35"/>
  <c r="C212" i="13" l="1"/>
  <c r="B211" i="13"/>
  <c r="Y209" i="35"/>
  <c r="X214" i="35"/>
  <c r="Z208" i="35"/>
  <c r="Z213" i="35" s="1"/>
  <c r="Y213" i="35"/>
  <c r="B212" i="13" l="1"/>
  <c r="Z209" i="35"/>
  <c r="Z214" i="35" s="1"/>
  <c r="Y214" i="35"/>
  <c r="H15" i="6" l="1"/>
  <c r="C12" i="6"/>
  <c r="B11" i="13" l="1"/>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6" i="32" l="1"/>
  <c r="B8" i="32"/>
  <c r="B11" i="32"/>
  <c r="B16" i="32"/>
  <c r="B18" i="32"/>
  <c r="B7" i="32"/>
  <c r="O214" i="31"/>
  <c r="O215" i="31"/>
  <c r="O216" i="31"/>
  <c r="O217" i="31"/>
  <c r="O218" i="31"/>
  <c r="O213" i="31"/>
  <c r="B10" i="32" l="1"/>
  <c r="B9" i="32"/>
  <c r="B12" i="32" l="1"/>
  <c r="B17" i="32"/>
  <c r="B13" i="32" l="1"/>
  <c r="B14" i="32" l="1"/>
  <c r="B15" i="32" l="1"/>
  <c r="F14" i="53" s="1"/>
  <c r="F46" i="5" l="1"/>
  <c r="F19" i="5" s="1"/>
  <c r="I137" i="19" s="1"/>
  <c r="F49" i="5"/>
  <c r="F23" i="5" s="1"/>
  <c r="J173" i="48" s="1"/>
  <c r="C49" i="5"/>
  <c r="F15" i="5" s="1"/>
  <c r="J159" i="35" s="1"/>
  <c r="C47" i="5"/>
  <c r="F13" i="5" s="1"/>
  <c r="J157" i="52" s="1"/>
  <c r="C51" i="5"/>
  <c r="F17" i="5" s="1"/>
  <c r="J157" i="30" s="1"/>
  <c r="F51" i="5"/>
  <c r="F25" i="5" s="1"/>
  <c r="J173" i="31" s="1"/>
  <c r="F47" i="5"/>
  <c r="F21" i="5" s="1"/>
  <c r="I137" i="29" s="1"/>
  <c r="F40" i="5"/>
  <c r="C46" i="5"/>
  <c r="F11" i="5" s="1"/>
  <c r="J157" i="40" s="1"/>
  <c r="H51" i="5" l="1"/>
  <c r="D47" i="5"/>
  <c r="D49" i="5"/>
  <c r="H49" i="5"/>
  <c r="H47" i="5"/>
  <c r="D51" i="5"/>
  <c r="D46" i="5"/>
  <c r="H46" i="5"/>
  <c r="B27" i="5" l="1"/>
  <c r="T215" i="31" l="1"/>
  <c r="H218" i="31"/>
  <c r="H214" i="31"/>
  <c r="H215" i="31"/>
  <c r="H216" i="31"/>
  <c r="H217" i="31"/>
  <c r="H213" i="31"/>
  <c r="B86" i="42"/>
  <c r="B84" i="42"/>
  <c r="E130" i="9"/>
  <c r="E141" i="9" s="1"/>
  <c r="E131" i="9"/>
  <c r="E142" i="9" s="1"/>
  <c r="E132" i="9"/>
  <c r="E143" i="9" s="1"/>
  <c r="E133" i="9"/>
  <c r="E144" i="9" s="1"/>
  <c r="E134" i="9"/>
  <c r="E145" i="9" s="1"/>
  <c r="E135" i="9"/>
  <c r="E146" i="9" s="1"/>
  <c r="E136" i="9"/>
  <c r="E147" i="9" s="1"/>
  <c r="E137" i="9"/>
  <c r="E148" i="9" s="1"/>
  <c r="J151" i="9"/>
  <c r="J150" i="9"/>
  <c r="D148" i="9"/>
  <c r="D147" i="9"/>
  <c r="D146" i="9"/>
  <c r="D145" i="9"/>
  <c r="D144" i="9"/>
  <c r="D143" i="9"/>
  <c r="D142" i="9"/>
  <c r="D141" i="9"/>
  <c r="D140" i="9"/>
  <c r="C140" i="9"/>
  <c r="J139" i="9"/>
  <c r="B139" i="9"/>
  <c r="B151" i="9" s="1"/>
  <c r="A139" i="9"/>
  <c r="D137" i="9"/>
  <c r="D136" i="9"/>
  <c r="D135" i="9"/>
  <c r="D134" i="9"/>
  <c r="D133" i="9"/>
  <c r="D132" i="9"/>
  <c r="D131" i="9"/>
  <c r="D130" i="9"/>
  <c r="C130" i="9"/>
  <c r="E129" i="9"/>
  <c r="E140" i="9" s="1"/>
  <c r="D129" i="9"/>
  <c r="A129" i="9" s="1"/>
  <c r="B128" i="9"/>
  <c r="B150" i="9" s="1"/>
  <c r="C110" i="9"/>
  <c r="C97" i="9"/>
  <c r="C111" i="9" s="1"/>
  <c r="E97" i="9"/>
  <c r="E111" i="9" s="1"/>
  <c r="E98" i="9"/>
  <c r="E112" i="9" s="1"/>
  <c r="E99" i="9"/>
  <c r="E113" i="9" s="1"/>
  <c r="E100" i="9"/>
  <c r="E114" i="9" s="1"/>
  <c r="E101" i="9"/>
  <c r="E115" i="9" s="1"/>
  <c r="E102" i="9"/>
  <c r="E116" i="9" s="1"/>
  <c r="E103" i="9"/>
  <c r="E117" i="9" s="1"/>
  <c r="E104" i="9"/>
  <c r="E118" i="9" s="1"/>
  <c r="E105" i="9"/>
  <c r="E119" i="9" s="1"/>
  <c r="E106" i="9"/>
  <c r="E120" i="9" s="1"/>
  <c r="E107" i="9"/>
  <c r="E121" i="9" s="1"/>
  <c r="E96" i="9"/>
  <c r="E110" i="9" s="1"/>
  <c r="J124" i="9"/>
  <c r="J123" i="9"/>
  <c r="D121" i="9"/>
  <c r="D120" i="9"/>
  <c r="D119" i="9"/>
  <c r="D118" i="9"/>
  <c r="D117" i="9"/>
  <c r="D116" i="9"/>
  <c r="D115" i="9"/>
  <c r="D114" i="9"/>
  <c r="D113" i="9"/>
  <c r="D112" i="9"/>
  <c r="D111" i="9"/>
  <c r="D110" i="9"/>
  <c r="J109" i="9"/>
  <c r="B109" i="9"/>
  <c r="B124" i="9" s="1"/>
  <c r="A109" i="9"/>
  <c r="D107" i="9"/>
  <c r="D106" i="9"/>
  <c r="D105" i="9"/>
  <c r="D104" i="9"/>
  <c r="D103" i="9"/>
  <c r="D102" i="9"/>
  <c r="D101" i="9"/>
  <c r="D100" i="9"/>
  <c r="D99" i="9"/>
  <c r="D98" i="9"/>
  <c r="D97" i="9"/>
  <c r="D96" i="9"/>
  <c r="A96" i="9" s="1"/>
  <c r="B95" i="9"/>
  <c r="B123" i="9" s="1"/>
  <c r="C82" i="9"/>
  <c r="C73" i="9"/>
  <c r="C83" i="9" s="1"/>
  <c r="J92" i="9"/>
  <c r="J91" i="9"/>
  <c r="E73" i="9"/>
  <c r="E74" i="9"/>
  <c r="E75" i="9"/>
  <c r="E76" i="9"/>
  <c r="E77" i="9"/>
  <c r="E78" i="9"/>
  <c r="E79" i="9"/>
  <c r="E72" i="9"/>
  <c r="J81" i="9"/>
  <c r="AI63" i="6"/>
  <c r="AI62" i="6"/>
  <c r="AI61" i="6"/>
  <c r="AI60" i="6"/>
  <c r="AI59" i="6"/>
  <c r="AI58" i="6"/>
  <c r="AI57" i="6"/>
  <c r="AI56" i="6"/>
  <c r="AI55" i="6"/>
  <c r="AI54" i="6"/>
  <c r="AI53" i="6"/>
  <c r="AI52" i="6"/>
  <c r="AI51" i="6"/>
  <c r="AI50" i="6"/>
  <c r="AI49" i="6"/>
  <c r="AI48" i="6"/>
  <c r="AI47" i="6"/>
  <c r="AI46" i="6"/>
  <c r="AI45" i="6"/>
  <c r="AI44" i="6"/>
  <c r="AI43" i="6"/>
  <c r="AI42" i="6"/>
  <c r="AI41" i="6"/>
  <c r="AI40" i="6"/>
  <c r="AI39" i="6"/>
  <c r="AI38" i="6"/>
  <c r="AI37" i="6"/>
  <c r="AI36" i="6"/>
  <c r="AI35" i="6"/>
  <c r="AI34" i="6"/>
  <c r="AI33" i="6"/>
  <c r="AI32" i="6"/>
  <c r="AI31" i="6"/>
  <c r="AI30" i="6"/>
  <c r="AI29" i="6"/>
  <c r="AI28" i="6"/>
  <c r="AI27" i="6"/>
  <c r="AI26" i="6"/>
  <c r="AI25" i="6"/>
  <c r="AI24" i="6"/>
  <c r="AI23" i="6"/>
  <c r="AI22" i="6"/>
  <c r="AI21" i="6"/>
  <c r="AI20" i="6"/>
  <c r="AI19" i="6"/>
  <c r="AI18" i="6"/>
  <c r="AI17" i="6"/>
  <c r="AI16" i="6"/>
  <c r="AN15" i="6"/>
  <c r="AI15" i="6"/>
  <c r="AN14" i="6"/>
  <c r="AI14" i="6"/>
  <c r="AL12" i="6"/>
  <c r="AL11" i="6"/>
  <c r="AA63" i="6"/>
  <c r="AA62" i="6"/>
  <c r="AA61" i="6"/>
  <c r="AA60" i="6"/>
  <c r="AA59" i="6"/>
  <c r="AA58" i="6"/>
  <c r="AA57" i="6"/>
  <c r="AA56" i="6"/>
  <c r="AA55" i="6"/>
  <c r="AA54" i="6"/>
  <c r="AA53" i="6"/>
  <c r="AA52" i="6"/>
  <c r="AA51" i="6"/>
  <c r="AA50" i="6"/>
  <c r="AA49" i="6"/>
  <c r="AA48" i="6"/>
  <c r="AA47" i="6"/>
  <c r="AA46" i="6"/>
  <c r="AA45" i="6"/>
  <c r="AA44" i="6"/>
  <c r="AA43" i="6"/>
  <c r="AA42" i="6"/>
  <c r="AA41" i="6"/>
  <c r="AA40" i="6"/>
  <c r="AA39" i="6"/>
  <c r="AA38" i="6"/>
  <c r="AA37" i="6"/>
  <c r="AA36" i="6"/>
  <c r="AA35" i="6"/>
  <c r="AA34" i="6"/>
  <c r="AA33" i="6"/>
  <c r="AA32" i="6"/>
  <c r="AA31" i="6"/>
  <c r="AA30" i="6"/>
  <c r="AA29" i="6"/>
  <c r="AA28" i="6"/>
  <c r="AA27" i="6"/>
  <c r="AA26" i="6"/>
  <c r="AA25" i="6"/>
  <c r="AA24" i="6"/>
  <c r="AA23" i="6"/>
  <c r="AA22" i="6"/>
  <c r="AA21" i="6"/>
  <c r="AA20" i="6"/>
  <c r="AA19" i="6"/>
  <c r="AA18" i="6"/>
  <c r="AA17" i="6"/>
  <c r="AA16" i="6"/>
  <c r="AF15" i="6"/>
  <c r="AA15" i="6"/>
  <c r="AF14" i="6"/>
  <c r="AA14" i="6"/>
  <c r="AD12" i="6"/>
  <c r="AD11" i="6"/>
  <c r="X15" i="6"/>
  <c r="X14" i="6"/>
  <c r="O5" i="6"/>
  <c r="O4" i="6"/>
  <c r="O7" i="6"/>
  <c r="B94" i="13"/>
  <c r="D121" i="25"/>
  <c r="D123" i="25" s="1"/>
  <c r="D122" i="25"/>
  <c r="B10" i="42" l="1"/>
  <c r="B12" i="42"/>
  <c r="H42" i="33"/>
  <c r="G42" i="33"/>
  <c r="I42" i="33"/>
  <c r="J42" i="33"/>
  <c r="E42" i="33"/>
  <c r="D124" i="25"/>
  <c r="A110" i="9"/>
  <c r="A97" i="9"/>
  <c r="C98" i="9"/>
  <c r="C112" i="9" s="1"/>
  <c r="A112" i="9" s="1"/>
  <c r="E47" i="33"/>
  <c r="A130" i="9"/>
  <c r="A140" i="9"/>
  <c r="C74" i="9"/>
  <c r="A111" i="9"/>
  <c r="C141" i="9"/>
  <c r="A141" i="9" s="1"/>
  <c r="C131" i="9"/>
  <c r="J285" i="31"/>
  <c r="D262" i="31"/>
  <c r="D261" i="31"/>
  <c r="K240" i="31"/>
  <c r="L240" i="31" s="1"/>
  <c r="M240" i="31" s="1"/>
  <c r="N240" i="31" s="1"/>
  <c r="O240" i="31" s="1"/>
  <c r="P240" i="31" s="1"/>
  <c r="Q240" i="31" s="1"/>
  <c r="R240" i="31" s="1"/>
  <c r="S240" i="31" s="1"/>
  <c r="T240" i="31" s="1"/>
  <c r="U240" i="31" s="1"/>
  <c r="V240" i="31" s="1"/>
  <c r="W240" i="31" s="1"/>
  <c r="X240" i="31" s="1"/>
  <c r="Y240" i="31" s="1"/>
  <c r="Z240" i="31" s="1"/>
  <c r="J235" i="31"/>
  <c r="J234" i="31"/>
  <c r="N233" i="31"/>
  <c r="K230" i="31"/>
  <c r="L230" i="31" s="1"/>
  <c r="L235" i="31" s="1"/>
  <c r="K229" i="31"/>
  <c r="L229" i="31" s="1"/>
  <c r="M229" i="31" s="1"/>
  <c r="N229" i="31" s="1"/>
  <c r="J223" i="31"/>
  <c r="L222" i="31"/>
  <c r="K207" i="31"/>
  <c r="M207" i="31" s="1"/>
  <c r="K205" i="31"/>
  <c r="M205" i="31" s="1"/>
  <c r="K204" i="31"/>
  <c r="M204" i="31" s="1"/>
  <c r="M203" i="31"/>
  <c r="K202" i="31"/>
  <c r="M202" i="31" s="1"/>
  <c r="K196" i="31"/>
  <c r="M196" i="31" s="1"/>
  <c r="K195" i="31"/>
  <c r="M195" i="31" s="1"/>
  <c r="K194" i="31"/>
  <c r="M194" i="31" s="1"/>
  <c r="K193" i="31"/>
  <c r="M193" i="31" s="1"/>
  <c r="K192" i="31"/>
  <c r="M192" i="31" s="1"/>
  <c r="K191" i="31"/>
  <c r="M191" i="31" s="1"/>
  <c r="K190" i="31"/>
  <c r="M190" i="31" s="1"/>
  <c r="K189" i="31"/>
  <c r="M189" i="31" s="1"/>
  <c r="K188" i="31"/>
  <c r="M188" i="31" s="1"/>
  <c r="K187" i="31"/>
  <c r="M187" i="31" s="1"/>
  <c r="K186" i="31"/>
  <c r="L173" i="31"/>
  <c r="L169" i="31"/>
  <c r="M169" i="31" s="1"/>
  <c r="H168" i="31"/>
  <c r="H167" i="31"/>
  <c r="H166" i="31"/>
  <c r="J165" i="31"/>
  <c r="H165" i="31"/>
  <c r="L149" i="31"/>
  <c r="L133" i="31"/>
  <c r="L134" i="31" s="1"/>
  <c r="L132" i="31"/>
  <c r="K111" i="31"/>
  <c r="M111" i="31" s="1"/>
  <c r="T90" i="31"/>
  <c r="L90" i="31" s="1"/>
  <c r="H90" i="31"/>
  <c r="T89" i="31"/>
  <c r="L89" i="31" s="1"/>
  <c r="H89" i="31"/>
  <c r="L88" i="31"/>
  <c r="H88" i="31"/>
  <c r="T87" i="31"/>
  <c r="L87" i="31" s="1"/>
  <c r="H87" i="31"/>
  <c r="L86" i="31"/>
  <c r="H86" i="31"/>
  <c r="T85" i="31"/>
  <c r="L85" i="31" s="1"/>
  <c r="H85" i="31"/>
  <c r="H74" i="31"/>
  <c r="H73" i="31"/>
  <c r="H72" i="31"/>
  <c r="H71" i="31"/>
  <c r="H70" i="31"/>
  <c r="H69" i="31"/>
  <c r="J48" i="31"/>
  <c r="J52" i="31" s="1"/>
  <c r="J56" i="31" s="1"/>
  <c r="J42" i="31"/>
  <c r="J46" i="31" s="1"/>
  <c r="J55" i="31" s="1"/>
  <c r="M37" i="31"/>
  <c r="M33" i="31"/>
  <c r="J30" i="31"/>
  <c r="J17" i="31"/>
  <c r="J18" i="31" s="1"/>
  <c r="K11" i="31"/>
  <c r="J11" i="31"/>
  <c r="I11" i="31"/>
  <c r="O10" i="31"/>
  <c r="J74" i="31" s="1"/>
  <c r="O9" i="31"/>
  <c r="J73" i="31" s="1"/>
  <c r="O8" i="31"/>
  <c r="J72" i="31" s="1"/>
  <c r="O7" i="31"/>
  <c r="J71" i="31" s="1"/>
  <c r="O6" i="31"/>
  <c r="J70" i="31" s="1"/>
  <c r="O5" i="31"/>
  <c r="J69" i="31" s="1"/>
  <c r="A98" i="9" l="1"/>
  <c r="C99" i="9"/>
  <c r="C100" i="9" s="1"/>
  <c r="C114" i="9" s="1"/>
  <c r="A114" i="9" s="1"/>
  <c r="L234" i="31"/>
  <c r="K160" i="31"/>
  <c r="M160" i="31" s="1"/>
  <c r="N234" i="31"/>
  <c r="O229" i="31"/>
  <c r="P229" i="31" s="1"/>
  <c r="Q229" i="31" s="1"/>
  <c r="K234" i="31"/>
  <c r="K197" i="31"/>
  <c r="C84" i="9"/>
  <c r="C75" i="9"/>
  <c r="C142" i="9"/>
  <c r="A142" i="9" s="1"/>
  <c r="C132" i="9"/>
  <c r="A131" i="9"/>
  <c r="P234" i="31"/>
  <c r="L257" i="31"/>
  <c r="M186" i="31"/>
  <c r="M197" i="31" s="1"/>
  <c r="K109" i="31"/>
  <c r="M109" i="31" s="1"/>
  <c r="K222" i="31"/>
  <c r="J286" i="31"/>
  <c r="K235" i="31"/>
  <c r="K110" i="31"/>
  <c r="M110" i="31" s="1"/>
  <c r="K158" i="31"/>
  <c r="M158" i="31" s="1"/>
  <c r="M230" i="31"/>
  <c r="K208" i="31"/>
  <c r="L208" i="31" s="1"/>
  <c r="M208" i="31" s="1"/>
  <c r="M234" i="31"/>
  <c r="K286" i="31"/>
  <c r="O233" i="31"/>
  <c r="J264" i="30"/>
  <c r="D238" i="30"/>
  <c r="D237" i="30"/>
  <c r="N217" i="30"/>
  <c r="O217" i="30" s="1"/>
  <c r="P217" i="30" s="1"/>
  <c r="Q217" i="30" s="1"/>
  <c r="R217" i="30" s="1"/>
  <c r="S217" i="30" s="1"/>
  <c r="T217" i="30" s="1"/>
  <c r="U217" i="30" s="1"/>
  <c r="V217" i="30" s="1"/>
  <c r="W217" i="30" s="1"/>
  <c r="X217" i="30" s="1"/>
  <c r="Y217" i="30" s="1"/>
  <c r="Z217" i="30" s="1"/>
  <c r="M217" i="30"/>
  <c r="K217" i="30"/>
  <c r="L217" i="30" s="1"/>
  <c r="J212" i="30"/>
  <c r="J265" i="30" s="1"/>
  <c r="J211" i="30"/>
  <c r="O210" i="30"/>
  <c r="N210" i="30"/>
  <c r="K207" i="30"/>
  <c r="K212" i="30" s="1"/>
  <c r="K206" i="30"/>
  <c r="K211" i="30" s="1"/>
  <c r="J200" i="30"/>
  <c r="L199" i="30"/>
  <c r="K199" i="30"/>
  <c r="J199" i="30"/>
  <c r="K192" i="30"/>
  <c r="M192" i="30" s="1"/>
  <c r="M190" i="30"/>
  <c r="K190" i="30"/>
  <c r="K189" i="30"/>
  <c r="M189" i="30" s="1"/>
  <c r="M188" i="30"/>
  <c r="M187" i="30"/>
  <c r="K187" i="30"/>
  <c r="K181" i="30"/>
  <c r="M181" i="30" s="1"/>
  <c r="K180" i="30"/>
  <c r="M180" i="30" s="1"/>
  <c r="K179" i="30"/>
  <c r="M179" i="30" s="1"/>
  <c r="K178" i="30"/>
  <c r="M178" i="30" s="1"/>
  <c r="K177" i="30"/>
  <c r="M177" i="30" s="1"/>
  <c r="K176" i="30"/>
  <c r="M176" i="30" s="1"/>
  <c r="K175" i="30"/>
  <c r="M175" i="30" s="1"/>
  <c r="K174" i="30"/>
  <c r="M174" i="30" s="1"/>
  <c r="K173" i="30"/>
  <c r="M173" i="30" s="1"/>
  <c r="K172" i="30"/>
  <c r="M172" i="30" s="1"/>
  <c r="K171" i="30"/>
  <c r="M171" i="30" s="1"/>
  <c r="M166" i="30"/>
  <c r="K166" i="30"/>
  <c r="K165" i="30"/>
  <c r="M165" i="30" s="1"/>
  <c r="K164" i="30"/>
  <c r="M164" i="30" s="1"/>
  <c r="K163" i="30"/>
  <c r="M163" i="30" s="1"/>
  <c r="K162" i="30"/>
  <c r="M162" i="30" s="1"/>
  <c r="L157" i="30"/>
  <c r="L153" i="30"/>
  <c r="L151" i="30"/>
  <c r="L150" i="30"/>
  <c r="H150" i="30"/>
  <c r="J149" i="30"/>
  <c r="H149" i="30"/>
  <c r="J142" i="30"/>
  <c r="J136" i="30"/>
  <c r="L131" i="30"/>
  <c r="L116" i="30"/>
  <c r="L117" i="30" s="1"/>
  <c r="L114" i="30"/>
  <c r="L115" i="30" s="1"/>
  <c r="K94" i="30"/>
  <c r="M94" i="30" s="1"/>
  <c r="K93" i="30"/>
  <c r="M93" i="30" s="1"/>
  <c r="H74" i="30"/>
  <c r="H73" i="30"/>
  <c r="H72" i="30"/>
  <c r="H71" i="30"/>
  <c r="H70" i="30"/>
  <c r="H69" i="30"/>
  <c r="H62" i="30"/>
  <c r="H61" i="30"/>
  <c r="H60" i="30"/>
  <c r="H59" i="30"/>
  <c r="H58" i="30"/>
  <c r="H57" i="30"/>
  <c r="J44" i="30"/>
  <c r="M37" i="30"/>
  <c r="J30" i="30"/>
  <c r="K25" i="30"/>
  <c r="J18" i="30"/>
  <c r="J17" i="30"/>
  <c r="K11" i="30"/>
  <c r="J11" i="30"/>
  <c r="I11" i="30"/>
  <c r="L5" i="30"/>
  <c r="L6" i="30" s="1"/>
  <c r="L7" i="30" s="1"/>
  <c r="L8" i="30" s="1"/>
  <c r="L9" i="30" s="1"/>
  <c r="L10" i="30" s="1"/>
  <c r="A99" i="9" l="1"/>
  <c r="C113" i="9"/>
  <c r="A113" i="9" s="1"/>
  <c r="K265" i="30"/>
  <c r="C101" i="9"/>
  <c r="A100" i="9"/>
  <c r="O234" i="31"/>
  <c r="L207" i="30"/>
  <c r="L206" i="30"/>
  <c r="C85" i="9"/>
  <c r="C76" i="9"/>
  <c r="A132" i="9"/>
  <c r="C133" i="9"/>
  <c r="C143" i="9"/>
  <c r="A143" i="9" s="1"/>
  <c r="K198" i="31"/>
  <c r="M198" i="31" s="1"/>
  <c r="M199" i="31" s="1"/>
  <c r="P233" i="31"/>
  <c r="N230" i="31"/>
  <c r="M235" i="31"/>
  <c r="Q234" i="31"/>
  <c r="R229" i="31"/>
  <c r="P210" i="30"/>
  <c r="K182" i="30"/>
  <c r="K193" i="30"/>
  <c r="L193" i="30" s="1"/>
  <c r="M193" i="30" s="1"/>
  <c r="K92" i="30"/>
  <c r="M92" i="30" s="1"/>
  <c r="K144" i="30"/>
  <c r="M144" i="30" s="1"/>
  <c r="M182" i="30"/>
  <c r="C115" i="9" l="1"/>
  <c r="A115" i="9" s="1"/>
  <c r="A101" i="9"/>
  <c r="C102" i="9"/>
  <c r="L211" i="30"/>
  <c r="M206" i="30"/>
  <c r="L212" i="30"/>
  <c r="M207" i="30"/>
  <c r="C77" i="9"/>
  <c r="C86" i="9"/>
  <c r="C144" i="9"/>
  <c r="A144" i="9" s="1"/>
  <c r="C134" i="9"/>
  <c r="A133" i="9"/>
  <c r="P266" i="31"/>
  <c r="N266" i="31"/>
  <c r="L266" i="31"/>
  <c r="M266" i="31"/>
  <c r="O266" i="31"/>
  <c r="N235" i="31"/>
  <c r="O230" i="31"/>
  <c r="Q233" i="31"/>
  <c r="R234" i="31"/>
  <c r="S229" i="31"/>
  <c r="M257" i="31"/>
  <c r="Q210" i="30"/>
  <c r="K183" i="30"/>
  <c r="M183" i="30" s="1"/>
  <c r="M184" i="30" s="1"/>
  <c r="C116" i="9" l="1"/>
  <c r="A116" i="9" s="1"/>
  <c r="C103" i="9"/>
  <c r="A102" i="9"/>
  <c r="N207" i="30"/>
  <c r="M212" i="30"/>
  <c r="M211" i="30"/>
  <c r="N206" i="30"/>
  <c r="C78" i="9"/>
  <c r="C87" i="9"/>
  <c r="C145" i="9"/>
  <c r="A145" i="9" s="1"/>
  <c r="C135" i="9"/>
  <c r="A134" i="9"/>
  <c r="R233" i="31"/>
  <c r="O235" i="31"/>
  <c r="P230" i="31"/>
  <c r="T229" i="31"/>
  <c r="S234" i="31"/>
  <c r="N257" i="31"/>
  <c r="Q266" i="31"/>
  <c r="M242" i="30"/>
  <c r="Q242" i="30"/>
  <c r="P242" i="30"/>
  <c r="L242" i="30"/>
  <c r="O242" i="30"/>
  <c r="N242" i="30"/>
  <c r="R210" i="30"/>
  <c r="A103" i="9" l="1"/>
  <c r="C104" i="9"/>
  <c r="C117" i="9"/>
  <c r="A117" i="9" s="1"/>
  <c r="N211" i="30"/>
  <c r="O206" i="30"/>
  <c r="O207" i="30"/>
  <c r="N212" i="30"/>
  <c r="C79" i="9"/>
  <c r="C88" i="9"/>
  <c r="C146" i="9"/>
  <c r="A146" i="9" s="1"/>
  <c r="C136" i="9"/>
  <c r="A135" i="9"/>
  <c r="Q230" i="31"/>
  <c r="P235" i="31"/>
  <c r="O257" i="31"/>
  <c r="S233" i="31"/>
  <c r="R266" i="31"/>
  <c r="U229" i="31"/>
  <c r="T234" i="31"/>
  <c r="S210" i="30"/>
  <c r="R242" i="30"/>
  <c r="C89" i="9" l="1"/>
  <c r="C80" i="9"/>
  <c r="C90" i="9" s="1"/>
  <c r="A104" i="9"/>
  <c r="C105" i="9"/>
  <c r="C118" i="9"/>
  <c r="A118" i="9" s="1"/>
  <c r="O212" i="30"/>
  <c r="P207" i="30"/>
  <c r="P206" i="30"/>
  <c r="O211" i="30"/>
  <c r="A136" i="9"/>
  <c r="C147" i="9"/>
  <c r="A147" i="9" s="1"/>
  <c r="C137" i="9"/>
  <c r="C138" i="9" s="1"/>
  <c r="P257" i="31"/>
  <c r="T233" i="31"/>
  <c r="S266" i="31"/>
  <c r="V229" i="31"/>
  <c r="U234" i="31"/>
  <c r="Q235" i="31"/>
  <c r="R230" i="31"/>
  <c r="T210" i="30"/>
  <c r="S242" i="30"/>
  <c r="C149" i="9" l="1"/>
  <c r="A138" i="9"/>
  <c r="C119" i="9"/>
  <c r="A119" i="9" s="1"/>
  <c r="A105" i="9"/>
  <c r="C106" i="9"/>
  <c r="P211" i="30"/>
  <c r="Q206" i="30"/>
  <c r="P212" i="30"/>
  <c r="Q207" i="30"/>
  <c r="C148" i="9"/>
  <c r="A148" i="9" s="1"/>
  <c r="A137" i="9"/>
  <c r="Q257" i="31"/>
  <c r="V234" i="31"/>
  <c r="W229" i="31"/>
  <c r="S230" i="31"/>
  <c r="R235" i="31"/>
  <c r="U233" i="31"/>
  <c r="T266" i="31"/>
  <c r="U210" i="30"/>
  <c r="T242" i="30"/>
  <c r="A106" i="9" l="1"/>
  <c r="C120" i="9"/>
  <c r="A120" i="9" s="1"/>
  <c r="C107" i="9"/>
  <c r="C108" i="9" s="1"/>
  <c r="Q212" i="30"/>
  <c r="R207" i="30"/>
  <c r="Q211" i="30"/>
  <c r="R206" i="30"/>
  <c r="V233" i="31"/>
  <c r="U266" i="31"/>
  <c r="X229" i="31"/>
  <c r="W234" i="31"/>
  <c r="T230" i="31"/>
  <c r="S235" i="31"/>
  <c r="R257" i="31"/>
  <c r="V210" i="30"/>
  <c r="U242" i="30"/>
  <c r="C122" i="9" l="1"/>
  <c r="A108" i="9"/>
  <c r="C121" i="9"/>
  <c r="A121" i="9" s="1"/>
  <c r="A107" i="9"/>
  <c r="R212" i="30"/>
  <c r="S207" i="30"/>
  <c r="S206" i="30"/>
  <c r="R211" i="30"/>
  <c r="X234" i="31"/>
  <c r="Y229" i="31"/>
  <c r="W233" i="31"/>
  <c r="V266" i="31"/>
  <c r="S257" i="31"/>
  <c r="T235" i="31"/>
  <c r="U230" i="31"/>
  <c r="W210" i="30"/>
  <c r="V242" i="30"/>
  <c r="S211" i="30" l="1"/>
  <c r="T206" i="30"/>
  <c r="S212" i="30"/>
  <c r="T207" i="30"/>
  <c r="V230" i="31"/>
  <c r="U235" i="31"/>
  <c r="Y234" i="31"/>
  <c r="Z229" i="31"/>
  <c r="Z234" i="31" s="1"/>
  <c r="T257" i="31"/>
  <c r="X233" i="31"/>
  <c r="W266" i="31"/>
  <c r="X210" i="30"/>
  <c r="W242" i="30"/>
  <c r="T212" i="30" l="1"/>
  <c r="U207" i="30"/>
  <c r="T211" i="30"/>
  <c r="U206" i="30"/>
  <c r="U257" i="31"/>
  <c r="V235" i="31"/>
  <c r="W230" i="31"/>
  <c r="Y233" i="31"/>
  <c r="X266" i="31"/>
  <c r="Y210" i="30"/>
  <c r="X242" i="30"/>
  <c r="U211" i="30" l="1"/>
  <c r="V206" i="30"/>
  <c r="V207" i="30"/>
  <c r="U212" i="30"/>
  <c r="W235" i="31"/>
  <c r="X230" i="31"/>
  <c r="V257" i="31"/>
  <c r="Z233" i="31"/>
  <c r="Y266" i="31"/>
  <c r="Z210" i="30"/>
  <c r="Y242" i="30"/>
  <c r="W206" i="30" l="1"/>
  <c r="V211" i="30"/>
  <c r="V212" i="30"/>
  <c r="W207" i="30"/>
  <c r="Z266" i="31"/>
  <c r="X235" i="31"/>
  <c r="Y230" i="31"/>
  <c r="W257" i="31"/>
  <c r="Z242" i="30"/>
  <c r="W212" i="30" l="1"/>
  <c r="X207" i="30"/>
  <c r="W211" i="30"/>
  <c r="X206" i="30"/>
  <c r="Y235" i="31"/>
  <c r="Z230" i="31"/>
  <c r="Z235" i="31" s="1"/>
  <c r="X257" i="31"/>
  <c r="X211" i="30" l="1"/>
  <c r="Y206" i="30"/>
  <c r="Y207" i="30"/>
  <c r="X212" i="30"/>
  <c r="Z257" i="31"/>
  <c r="Y257" i="31"/>
  <c r="Y211" i="30" l="1"/>
  <c r="Z206" i="30"/>
  <c r="Z211" i="30" s="1"/>
  <c r="Y212" i="30"/>
  <c r="Z207" i="30"/>
  <c r="Z212" i="30" s="1"/>
  <c r="I216" i="29" l="1"/>
  <c r="D198" i="29"/>
  <c r="D197" i="29"/>
  <c r="J179" i="29"/>
  <c r="K179" i="29" s="1"/>
  <c r="L179" i="29" s="1"/>
  <c r="M179" i="29" s="1"/>
  <c r="N179" i="29" s="1"/>
  <c r="O179" i="29" s="1"/>
  <c r="P179" i="29" s="1"/>
  <c r="Q179" i="29" s="1"/>
  <c r="R179" i="29" s="1"/>
  <c r="S179" i="29" s="1"/>
  <c r="T179" i="29" s="1"/>
  <c r="U179" i="29" s="1"/>
  <c r="V179" i="29" s="1"/>
  <c r="W179" i="29" s="1"/>
  <c r="X179" i="29" s="1"/>
  <c r="Y179" i="29" s="1"/>
  <c r="I174" i="29"/>
  <c r="I173" i="29"/>
  <c r="O172" i="29"/>
  <c r="N172" i="29"/>
  <c r="M172" i="29"/>
  <c r="J169" i="29"/>
  <c r="J174" i="29" s="1"/>
  <c r="J168" i="29"/>
  <c r="J173" i="29" s="1"/>
  <c r="K161" i="29"/>
  <c r="J161" i="29"/>
  <c r="I161" i="29"/>
  <c r="L154" i="29"/>
  <c r="J154" i="29"/>
  <c r="J152" i="29"/>
  <c r="L152" i="29" s="1"/>
  <c r="J151" i="29"/>
  <c r="L151" i="29" s="1"/>
  <c r="L150" i="29"/>
  <c r="L149" i="29"/>
  <c r="J149" i="29"/>
  <c r="J145" i="29"/>
  <c r="L145" i="29" s="1"/>
  <c r="J144" i="29"/>
  <c r="L144" i="29" s="1"/>
  <c r="J143" i="29"/>
  <c r="L143" i="29" s="1"/>
  <c r="L142" i="29"/>
  <c r="J142" i="29"/>
  <c r="K137" i="29"/>
  <c r="J131" i="29"/>
  <c r="L131" i="29" s="1"/>
  <c r="J130" i="29"/>
  <c r="L130" i="29" s="1"/>
  <c r="D116" i="25" s="1"/>
  <c r="J129" i="29"/>
  <c r="L129" i="29" s="1"/>
  <c r="J128" i="29"/>
  <c r="L128" i="29" s="1"/>
  <c r="J127" i="29"/>
  <c r="L127" i="29" s="1"/>
  <c r="J126" i="29"/>
  <c r="L126" i="29" s="1"/>
  <c r="J125" i="29"/>
  <c r="L125" i="29" s="1"/>
  <c r="J124" i="29"/>
  <c r="L124" i="29" s="1"/>
  <c r="J123" i="29"/>
  <c r="L123" i="29" s="1"/>
  <c r="J122" i="29"/>
  <c r="L122" i="29" s="1"/>
  <c r="J121" i="29"/>
  <c r="O117" i="29"/>
  <c r="K99" i="29"/>
  <c r="K85" i="29"/>
  <c r="S80" i="29"/>
  <c r="S79" i="29"/>
  <c r="K79" i="29"/>
  <c r="S78" i="29"/>
  <c r="S77" i="29"/>
  <c r="K77" i="29"/>
  <c r="K71" i="29"/>
  <c r="K78" i="29" s="1"/>
  <c r="K70" i="29"/>
  <c r="L65" i="29"/>
  <c r="J65" i="29"/>
  <c r="K61" i="29"/>
  <c r="K74" i="29" s="1"/>
  <c r="P51" i="29"/>
  <c r="P53" i="29" s="1"/>
  <c r="M51" i="29"/>
  <c r="M50" i="29"/>
  <c r="I40" i="29"/>
  <c r="I26" i="29"/>
  <c r="I17" i="29"/>
  <c r="I16" i="29"/>
  <c r="N14" i="29"/>
  <c r="K137" i="19"/>
  <c r="K76" i="13" l="1"/>
  <c r="J76" i="13"/>
  <c r="K169" i="29"/>
  <c r="K174" i="29" s="1"/>
  <c r="J217" i="29"/>
  <c r="L169" i="29"/>
  <c r="K168" i="29"/>
  <c r="K50" i="29"/>
  <c r="L146" i="29"/>
  <c r="P172" i="29"/>
  <c r="K51" i="29"/>
  <c r="J64" i="29"/>
  <c r="L64" i="29" s="1"/>
  <c r="J155" i="29"/>
  <c r="K155" i="29" s="1"/>
  <c r="L155" i="29" s="1"/>
  <c r="J63" i="29"/>
  <c r="L63" i="29" s="1"/>
  <c r="J132" i="29"/>
  <c r="L121" i="29"/>
  <c r="L132" i="29" s="1"/>
  <c r="D115" i="25" s="1"/>
  <c r="J109" i="29"/>
  <c r="I217" i="29"/>
  <c r="D117" i="25" l="1"/>
  <c r="D118" i="25" s="1"/>
  <c r="L174" i="29"/>
  <c r="M169" i="29"/>
  <c r="K173" i="29"/>
  <c r="L168" i="29"/>
  <c r="Q172" i="29"/>
  <c r="J133" i="29"/>
  <c r="L133" i="29" s="1"/>
  <c r="L134" i="29" s="1"/>
  <c r="L197" i="29"/>
  <c r="K197" i="29"/>
  <c r="L173" i="29" l="1"/>
  <c r="M168" i="29"/>
  <c r="M174" i="29"/>
  <c r="M198" i="29" s="1"/>
  <c r="N169" i="29"/>
  <c r="L198" i="29"/>
  <c r="K198" i="29"/>
  <c r="R172" i="29"/>
  <c r="M197" i="29" l="1"/>
  <c r="O169" i="29"/>
  <c r="N174" i="29"/>
  <c r="M173" i="29"/>
  <c r="N168" i="29"/>
  <c r="S172" i="29"/>
  <c r="I10" i="29" l="1"/>
  <c r="O168" i="29"/>
  <c r="N173" i="29"/>
  <c r="N198" i="29"/>
  <c r="N197" i="29"/>
  <c r="P169" i="29"/>
  <c r="O174" i="29"/>
  <c r="T172" i="29"/>
  <c r="H10" i="29" l="1"/>
  <c r="O197" i="29"/>
  <c r="O198" i="29"/>
  <c r="Q169" i="29"/>
  <c r="P174" i="29"/>
  <c r="P168" i="29"/>
  <c r="O173" i="29"/>
  <c r="U172" i="29"/>
  <c r="Q168" i="29" l="1"/>
  <c r="P173" i="29"/>
  <c r="R169" i="29"/>
  <c r="Q174" i="29"/>
  <c r="P197" i="29"/>
  <c r="P198" i="29"/>
  <c r="V172" i="29"/>
  <c r="Q198" i="29" l="1"/>
  <c r="Q197" i="29"/>
  <c r="R174" i="29"/>
  <c r="S169" i="29"/>
  <c r="Q173" i="29"/>
  <c r="R168" i="29"/>
  <c r="W172" i="29"/>
  <c r="T169" i="29" l="1"/>
  <c r="S174" i="29"/>
  <c r="R173" i="29"/>
  <c r="S168" i="29"/>
  <c r="R198" i="29"/>
  <c r="R197" i="29"/>
  <c r="X172" i="29"/>
  <c r="S173" i="29" l="1"/>
  <c r="T168" i="29"/>
  <c r="S197" i="29"/>
  <c r="S198" i="29"/>
  <c r="T174" i="29"/>
  <c r="U169" i="29"/>
  <c r="Y172" i="29"/>
  <c r="V169" i="29" l="1"/>
  <c r="U174" i="29"/>
  <c r="T198" i="29"/>
  <c r="T197" i="29"/>
  <c r="T173" i="29"/>
  <c r="U168" i="29"/>
  <c r="V168" i="29" l="1"/>
  <c r="U173" i="29"/>
  <c r="U198" i="29"/>
  <c r="U197" i="29"/>
  <c r="V174" i="29"/>
  <c r="W169" i="29"/>
  <c r="V197" i="29" l="1"/>
  <c r="V198" i="29"/>
  <c r="X169" i="29"/>
  <c r="W174" i="29"/>
  <c r="W168" i="29"/>
  <c r="V173" i="29"/>
  <c r="W197" i="29" l="1"/>
  <c r="W198" i="29"/>
  <c r="X174" i="29"/>
  <c r="Y169" i="29"/>
  <c r="Y174" i="29" s="1"/>
  <c r="X168" i="29"/>
  <c r="W173" i="29"/>
  <c r="Y197" i="29" l="1"/>
  <c r="Y198" i="29"/>
  <c r="X198" i="29"/>
  <c r="X197" i="29"/>
  <c r="X173" i="29"/>
  <c r="Y168" i="29"/>
  <c r="Y173" i="29" s="1"/>
  <c r="D40" i="25" l="1"/>
  <c r="D39" i="25"/>
  <c r="D82" i="25"/>
  <c r="D83" i="25"/>
  <c r="D77" i="25"/>
  <c r="C4" i="25"/>
  <c r="K78" i="19"/>
  <c r="K71" i="19"/>
  <c r="K70" i="19"/>
  <c r="K74" i="19"/>
  <c r="K61" i="19"/>
  <c r="K77" i="19"/>
  <c r="K79" i="19"/>
  <c r="D41" i="25" l="1"/>
  <c r="D42" i="25" s="1"/>
  <c r="P14" i="6" l="1"/>
  <c r="P15" i="6"/>
  <c r="F11" i="6"/>
  <c r="N5" i="13"/>
  <c r="D198" i="19"/>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S14" i="6"/>
  <c r="K14" i="6"/>
  <c r="G243" i="9" l="1"/>
  <c r="G242" i="9"/>
  <c r="G231" i="9"/>
  <c r="G217" i="9"/>
  <c r="G202" i="9"/>
  <c r="G216" i="9"/>
  <c r="G169" i="9"/>
  <c r="G183" i="9"/>
  <c r="G184" i="9"/>
  <c r="G157" i="9"/>
  <c r="G158" i="9"/>
  <c r="G172" i="9"/>
  <c r="G171" i="9"/>
  <c r="G139" i="9"/>
  <c r="G109" i="9"/>
  <c r="G91" i="9"/>
  <c r="G151" i="9"/>
  <c r="G150" i="9"/>
  <c r="H108" i="9"/>
  <c r="I108" i="9" s="1"/>
  <c r="G92" i="9"/>
  <c r="G124" i="9"/>
  <c r="H138" i="9"/>
  <c r="I138" i="9" s="1"/>
  <c r="G123" i="9"/>
  <c r="O5" i="13"/>
  <c r="J7" i="13"/>
  <c r="K7" i="13" s="1"/>
  <c r="L7" i="13" s="1"/>
  <c r="M7" i="13" s="1"/>
  <c r="N7" i="13" s="1"/>
  <c r="O7" i="13" s="1"/>
  <c r="P7" i="13" s="1"/>
  <c r="Q7" i="13" s="1"/>
  <c r="R7" i="13" s="1"/>
  <c r="S7" i="13" s="1"/>
  <c r="T7" i="13" s="1"/>
  <c r="U7" i="13" s="1"/>
  <c r="V7" i="13" s="1"/>
  <c r="W7" i="13" s="1"/>
  <c r="X7" i="13" s="1"/>
  <c r="Y7" i="13" s="1"/>
  <c r="Z7" i="13" s="1"/>
  <c r="P5" i="13" l="1"/>
  <c r="Q5" i="13" l="1"/>
  <c r="R5" i="13" l="1"/>
  <c r="J67" i="9"/>
  <c r="J66" i="9"/>
  <c r="J34" i="9"/>
  <c r="D89" i="9"/>
  <c r="D88" i="9"/>
  <c r="D87" i="9"/>
  <c r="D86" i="9"/>
  <c r="D85" i="9"/>
  <c r="D84" i="9"/>
  <c r="D83" i="9"/>
  <c r="A83" i="9" s="1"/>
  <c r="D82" i="9"/>
  <c r="B81" i="9"/>
  <c r="B92" i="9" s="1"/>
  <c r="A81" i="9"/>
  <c r="A80" i="9"/>
  <c r="E89" i="9"/>
  <c r="D79" i="9"/>
  <c r="E88" i="9"/>
  <c r="D78" i="9"/>
  <c r="A78" i="9" s="1"/>
  <c r="E87" i="9"/>
  <c r="D77" i="9"/>
  <c r="E86" i="9"/>
  <c r="D76" i="9"/>
  <c r="A76" i="9" s="1"/>
  <c r="E85" i="9"/>
  <c r="D75" i="9"/>
  <c r="E84" i="9"/>
  <c r="D74" i="9"/>
  <c r="E83" i="9"/>
  <c r="D73" i="9"/>
  <c r="A73" i="9" s="1"/>
  <c r="E82" i="9"/>
  <c r="D72" i="9"/>
  <c r="B71" i="9"/>
  <c r="B91" i="9" s="1"/>
  <c r="D59" i="9"/>
  <c r="A59" i="9" s="1"/>
  <c r="D60" i="9"/>
  <c r="A60" i="9" s="1"/>
  <c r="D61" i="9"/>
  <c r="A61" i="9" s="1"/>
  <c r="D62" i="9"/>
  <c r="A62" i="9" s="1"/>
  <c r="D63" i="9"/>
  <c r="D64" i="9"/>
  <c r="A64" i="9" s="1"/>
  <c r="D45" i="9"/>
  <c r="A45" i="9" s="1"/>
  <c r="D46" i="9"/>
  <c r="A46" i="9" s="1"/>
  <c r="D47" i="9"/>
  <c r="A47" i="9" s="1"/>
  <c r="D48" i="9"/>
  <c r="D49" i="9"/>
  <c r="A49" i="9" s="1"/>
  <c r="D50" i="9"/>
  <c r="A50" i="9" s="1"/>
  <c r="E61" i="9"/>
  <c r="E62" i="9"/>
  <c r="E63" i="9"/>
  <c r="E64" i="9"/>
  <c r="E54" i="9"/>
  <c r="E55" i="9"/>
  <c r="E56" i="9"/>
  <c r="E57" i="9"/>
  <c r="E58" i="9"/>
  <c r="E59" i="9"/>
  <c r="E60" i="9"/>
  <c r="E53" i="9"/>
  <c r="D20" i="9"/>
  <c r="A20" i="9" s="1"/>
  <c r="D21" i="9"/>
  <c r="A21" i="9" s="1"/>
  <c r="E21" i="9"/>
  <c r="E15" i="9"/>
  <c r="E16" i="9"/>
  <c r="E17" i="9"/>
  <c r="E18" i="9"/>
  <c r="E19" i="9"/>
  <c r="E20" i="9"/>
  <c r="E14" i="9"/>
  <c r="D58" i="9"/>
  <c r="D57" i="9"/>
  <c r="D56" i="9"/>
  <c r="A56" i="9" s="1"/>
  <c r="D55" i="9"/>
  <c r="D54" i="9"/>
  <c r="D53" i="9"/>
  <c r="J52" i="9"/>
  <c r="B52" i="9"/>
  <c r="B67" i="9" s="1"/>
  <c r="A52" i="9"/>
  <c r="A51" i="9"/>
  <c r="D44" i="9"/>
  <c r="A44" i="9" s="1"/>
  <c r="D43" i="9"/>
  <c r="A43" i="9" s="1"/>
  <c r="D42" i="9"/>
  <c r="D41" i="9"/>
  <c r="A41" i="9" s="1"/>
  <c r="D40" i="9"/>
  <c r="D39" i="9"/>
  <c r="B38" i="9"/>
  <c r="B66" i="9" s="1"/>
  <c r="I216" i="19"/>
  <c r="J179" i="19"/>
  <c r="K179" i="19" s="1"/>
  <c r="L179" i="19" s="1"/>
  <c r="M179" i="19" s="1"/>
  <c r="N179" i="19" s="1"/>
  <c r="O179" i="19" s="1"/>
  <c r="P179" i="19" s="1"/>
  <c r="Q179" i="19" s="1"/>
  <c r="R179" i="19" s="1"/>
  <c r="S179" i="19" s="1"/>
  <c r="T179" i="19" s="1"/>
  <c r="U179" i="19" s="1"/>
  <c r="V179" i="19" s="1"/>
  <c r="W179" i="19" s="1"/>
  <c r="X179" i="19" s="1"/>
  <c r="Y179" i="19" s="1"/>
  <c r="I174" i="19"/>
  <c r="I173" i="19"/>
  <c r="M172" i="19"/>
  <c r="N172" i="19" s="1"/>
  <c r="J169" i="19"/>
  <c r="K169" i="19" s="1"/>
  <c r="J168" i="19"/>
  <c r="J173" i="19" s="1"/>
  <c r="K161" i="19"/>
  <c r="I161" i="19"/>
  <c r="J154" i="19"/>
  <c r="L154" i="19" s="1"/>
  <c r="J152" i="19"/>
  <c r="L152" i="19" s="1"/>
  <c r="J151" i="19"/>
  <c r="L151" i="19" s="1"/>
  <c r="L150" i="19"/>
  <c r="J149" i="19"/>
  <c r="L149" i="19" s="1"/>
  <c r="J145" i="19"/>
  <c r="L145" i="19" s="1"/>
  <c r="J144" i="19"/>
  <c r="L144" i="19" s="1"/>
  <c r="L143" i="19"/>
  <c r="J143" i="19"/>
  <c r="J142" i="19"/>
  <c r="L142" i="19" s="1"/>
  <c r="J131" i="19"/>
  <c r="L131" i="19" s="1"/>
  <c r="J130" i="19"/>
  <c r="L130" i="19" s="1"/>
  <c r="D34" i="25" s="1"/>
  <c r="J129" i="19"/>
  <c r="L129" i="19" s="1"/>
  <c r="J128" i="19"/>
  <c r="L128" i="19" s="1"/>
  <c r="J127" i="19"/>
  <c r="L127" i="19" s="1"/>
  <c r="J126" i="19"/>
  <c r="L126" i="19" s="1"/>
  <c r="J125" i="19"/>
  <c r="L125" i="19" s="1"/>
  <c r="J124" i="19"/>
  <c r="L124" i="19" s="1"/>
  <c r="J123" i="19"/>
  <c r="L123" i="19" s="1"/>
  <c r="J122" i="19"/>
  <c r="L122" i="19" s="1"/>
  <c r="J121" i="19"/>
  <c r="L121" i="19" s="1"/>
  <c r="O117" i="19"/>
  <c r="K99" i="19"/>
  <c r="K85" i="19"/>
  <c r="S80" i="19"/>
  <c r="S79" i="19"/>
  <c r="S78" i="19"/>
  <c r="S77" i="19"/>
  <c r="J65" i="19"/>
  <c r="L65" i="19" s="1"/>
  <c r="P51" i="19"/>
  <c r="P53" i="19" s="1"/>
  <c r="M51" i="19"/>
  <c r="M50" i="19"/>
  <c r="I40" i="19"/>
  <c r="I26" i="19"/>
  <c r="I16" i="19"/>
  <c r="J161" i="19" s="1"/>
  <c r="N14" i="19"/>
  <c r="I10" i="19"/>
  <c r="H10" i="19"/>
  <c r="W8" i="19"/>
  <c r="W7" i="19"/>
  <c r="W6" i="19"/>
  <c r="K51" i="19" l="1"/>
  <c r="S5" i="13"/>
  <c r="K50" i="19"/>
  <c r="J64" i="19"/>
  <c r="L64" i="19" s="1"/>
  <c r="J109" i="19"/>
  <c r="J155" i="19"/>
  <c r="K155" i="19" s="1"/>
  <c r="L155" i="19" s="1"/>
  <c r="J63" i="19"/>
  <c r="L63" i="19" s="1"/>
  <c r="A77" i="9"/>
  <c r="A54" i="9"/>
  <c r="A79" i="9"/>
  <c r="A75" i="9"/>
  <c r="A42" i="9"/>
  <c r="A74" i="9"/>
  <c r="A86" i="9"/>
  <c r="A84" i="9"/>
  <c r="A63" i="9"/>
  <c r="A87" i="9"/>
  <c r="A72" i="9"/>
  <c r="A40" i="9"/>
  <c r="A88" i="9"/>
  <c r="A89" i="9"/>
  <c r="A85" i="9"/>
  <c r="A82" i="9"/>
  <c r="A48" i="9"/>
  <c r="A58" i="9"/>
  <c r="A55" i="9"/>
  <c r="A39" i="9"/>
  <c r="A57" i="9"/>
  <c r="A53" i="9"/>
  <c r="L132" i="19"/>
  <c r="D33" i="25" s="1"/>
  <c r="D35" i="25" s="1"/>
  <c r="D36" i="25" s="1"/>
  <c r="K174" i="19"/>
  <c r="K197" i="19" s="1"/>
  <c r="L169" i="19"/>
  <c r="L146" i="19"/>
  <c r="J132" i="19"/>
  <c r="J174" i="19"/>
  <c r="I217" i="19"/>
  <c r="K168" i="19"/>
  <c r="O172" i="19"/>
  <c r="I17" i="19"/>
  <c r="D70" i="25" l="1"/>
  <c r="D76" i="25"/>
  <c r="D78" i="25" s="1"/>
  <c r="D79" i="25" s="1"/>
  <c r="T5" i="13"/>
  <c r="D65" i="25"/>
  <c r="P172" i="19"/>
  <c r="J217" i="19"/>
  <c r="L168" i="19"/>
  <c r="K173" i="19"/>
  <c r="J133" i="19"/>
  <c r="L133" i="19" s="1"/>
  <c r="L134" i="19" s="1"/>
  <c r="L174" i="19"/>
  <c r="M169" i="19"/>
  <c r="L197" i="19" l="1"/>
  <c r="L198" i="19"/>
  <c r="K198" i="19"/>
  <c r="U5" i="13"/>
  <c r="M174" i="19"/>
  <c r="M198" i="19" s="1"/>
  <c r="N169" i="19"/>
  <c r="L173" i="19"/>
  <c r="M168" i="19"/>
  <c r="Q172" i="19"/>
  <c r="M197" i="19" l="1"/>
  <c r="V5" i="13"/>
  <c r="R172" i="19"/>
  <c r="N168" i="19"/>
  <c r="M173" i="19"/>
  <c r="N174" i="19"/>
  <c r="O169" i="19"/>
  <c r="N197" i="19" l="1"/>
  <c r="N198" i="19"/>
  <c r="W5" i="13"/>
  <c r="N173" i="19"/>
  <c r="O168" i="19"/>
  <c r="S172" i="19"/>
  <c r="O174" i="19"/>
  <c r="P169" i="19"/>
  <c r="D47" i="25" l="1"/>
  <c r="D46" i="25"/>
  <c r="O197" i="19"/>
  <c r="O198" i="19"/>
  <c r="X5" i="13"/>
  <c r="D59" i="25"/>
  <c r="Q169" i="19"/>
  <c r="P174" i="19"/>
  <c r="T172" i="19"/>
  <c r="O173" i="19"/>
  <c r="P168" i="19"/>
  <c r="D71" i="25" l="1"/>
  <c r="D72" i="25" s="1"/>
  <c r="D73" i="25" s="1"/>
  <c r="D48" i="25"/>
  <c r="E47" i="25" s="1"/>
  <c r="D85" i="25" s="1"/>
  <c r="P197" i="19"/>
  <c r="P198" i="19"/>
  <c r="Y5" i="13"/>
  <c r="D66" i="25"/>
  <c r="D64" i="25" s="1"/>
  <c r="D67" i="25" s="1"/>
  <c r="D58" i="25"/>
  <c r="D60" i="25" s="1"/>
  <c r="D61" i="25" s="1"/>
  <c r="U172" i="19"/>
  <c r="R169" i="19"/>
  <c r="Q174" i="19"/>
  <c r="P173" i="19"/>
  <c r="Q168" i="19"/>
  <c r="D49" i="25" l="1"/>
  <c r="E46" i="25"/>
  <c r="Q197" i="19"/>
  <c r="Q198" i="19"/>
  <c r="Z5" i="13"/>
  <c r="D53" i="25"/>
  <c r="R168" i="19"/>
  <c r="Q173" i="19"/>
  <c r="S169" i="19"/>
  <c r="R174" i="19"/>
  <c r="V172" i="19"/>
  <c r="D84" i="25" l="1"/>
  <c r="H237" i="13"/>
  <c r="G235" i="13"/>
  <c r="G231" i="13"/>
  <c r="G227" i="13"/>
  <c r="H223" i="13"/>
  <c r="G217" i="13"/>
  <c r="H214" i="13"/>
  <c r="G237" i="13"/>
  <c r="G226" i="13"/>
  <c r="H233" i="13"/>
  <c r="H229" i="13"/>
  <c r="H225" i="13"/>
  <c r="G222" i="13"/>
  <c r="G216" i="13"/>
  <c r="H213" i="13"/>
  <c r="G228" i="13"/>
  <c r="G224" i="13"/>
  <c r="H230" i="13"/>
  <c r="G214" i="13"/>
  <c r="G219" i="13"/>
  <c r="H238" i="13"/>
  <c r="G233" i="13"/>
  <c r="G229" i="13"/>
  <c r="G225" i="13"/>
  <c r="H221" i="13"/>
  <c r="H218" i="13"/>
  <c r="G213" i="13"/>
  <c r="G232" i="13"/>
  <c r="H220" i="13"/>
  <c r="H227" i="13"/>
  <c r="H217" i="13"/>
  <c r="H226" i="13"/>
  <c r="H219" i="13"/>
  <c r="G234" i="13"/>
  <c r="G230" i="13"/>
  <c r="H216" i="13"/>
  <c r="G238" i="13"/>
  <c r="H236" i="13"/>
  <c r="H232" i="13"/>
  <c r="H228" i="13"/>
  <c r="G221" i="13"/>
  <c r="G218" i="13"/>
  <c r="H215" i="13"/>
  <c r="G236" i="13"/>
  <c r="H224" i="13"/>
  <c r="G215" i="13"/>
  <c r="H235" i="13"/>
  <c r="H231" i="13"/>
  <c r="G220" i="13"/>
  <c r="H234" i="13"/>
  <c r="G223" i="13"/>
  <c r="H222" i="13"/>
  <c r="R197" i="19"/>
  <c r="R198" i="19"/>
  <c r="S174" i="19"/>
  <c r="T169" i="19"/>
  <c r="W172" i="19"/>
  <c r="S168" i="19"/>
  <c r="R173" i="19"/>
  <c r="G155" i="13" l="1"/>
  <c r="H165" i="13"/>
  <c r="H154" i="13"/>
  <c r="G170" i="13"/>
  <c r="G199" i="13"/>
  <c r="H179" i="13"/>
  <c r="G189" i="13"/>
  <c r="G165" i="13"/>
  <c r="H201" i="13"/>
  <c r="H168" i="13"/>
  <c r="G191" i="13"/>
  <c r="H190" i="13"/>
  <c r="G172" i="13"/>
  <c r="H202" i="13"/>
  <c r="G157" i="13"/>
  <c r="H198" i="13"/>
  <c r="H158" i="13"/>
  <c r="G162" i="13"/>
  <c r="G161" i="13"/>
  <c r="H162" i="13"/>
  <c r="H197" i="13"/>
  <c r="H177" i="13"/>
  <c r="H191" i="13"/>
  <c r="G184" i="13"/>
  <c r="G203" i="13"/>
  <c r="G169" i="13"/>
  <c r="G167" i="13"/>
  <c r="H203" i="13"/>
  <c r="G196" i="13"/>
  <c r="H200" i="13"/>
  <c r="H50" i="13"/>
  <c r="G173" i="13"/>
  <c r="G171" i="13"/>
  <c r="H208" i="13"/>
  <c r="G204" i="13"/>
  <c r="G186" i="13"/>
  <c r="G178" i="13"/>
  <c r="G175" i="13"/>
  <c r="G185" i="13"/>
  <c r="H193" i="13"/>
  <c r="G190" i="13"/>
  <c r="G177" i="13"/>
  <c r="G179" i="13"/>
  <c r="H160" i="13"/>
  <c r="G208" i="13"/>
  <c r="G194" i="13"/>
  <c r="G176" i="13"/>
  <c r="H161" i="13"/>
  <c r="G166" i="13"/>
  <c r="H178" i="13"/>
  <c r="H163" i="13"/>
  <c r="G154" i="13"/>
  <c r="H175" i="13"/>
  <c r="H196" i="13"/>
  <c r="G209" i="13"/>
  <c r="H195" i="13"/>
  <c r="H189" i="13"/>
  <c r="G183" i="13"/>
  <c r="H188" i="13"/>
  <c r="H159" i="13"/>
  <c r="G193" i="13"/>
  <c r="H205" i="13"/>
  <c r="H172" i="13"/>
  <c r="H164" i="13"/>
  <c r="H166" i="13"/>
  <c r="G174" i="13"/>
  <c r="G168" i="13"/>
  <c r="G164" i="13"/>
  <c r="G188" i="13"/>
  <c r="G197" i="13"/>
  <c r="G187" i="13"/>
  <c r="H192" i="13"/>
  <c r="H209" i="13"/>
  <c r="H187" i="13"/>
  <c r="G198" i="13"/>
  <c r="G163" i="13"/>
  <c r="H207" i="13"/>
  <c r="H206" i="13"/>
  <c r="G207" i="13"/>
  <c r="H155" i="13"/>
  <c r="H176" i="13"/>
  <c r="G159" i="13"/>
  <c r="H170" i="13"/>
  <c r="H157" i="13"/>
  <c r="H156" i="13"/>
  <c r="H167" i="13"/>
  <c r="G200" i="13"/>
  <c r="G201" i="13"/>
  <c r="G195" i="13"/>
  <c r="H204" i="13"/>
  <c r="H186" i="13"/>
  <c r="H199" i="13"/>
  <c r="G202" i="13"/>
  <c r="G158" i="13"/>
  <c r="G156" i="13"/>
  <c r="H173" i="13"/>
  <c r="H174" i="13"/>
  <c r="G160" i="13"/>
  <c r="H169" i="13"/>
  <c r="H171" i="13"/>
  <c r="H184" i="13"/>
  <c r="G205" i="13"/>
  <c r="H183" i="13"/>
  <c r="H185" i="13"/>
  <c r="H194" i="13"/>
  <c r="G192" i="13"/>
  <c r="G206" i="13"/>
  <c r="H39" i="13"/>
  <c r="S197" i="19"/>
  <c r="S198" i="19"/>
  <c r="H27" i="13"/>
  <c r="H117" i="13"/>
  <c r="H116" i="13"/>
  <c r="H52" i="13"/>
  <c r="H36" i="13"/>
  <c r="G85" i="13"/>
  <c r="H83" i="13"/>
  <c r="G57" i="13"/>
  <c r="G46" i="13"/>
  <c r="G23" i="13"/>
  <c r="H60" i="13"/>
  <c r="G112" i="13"/>
  <c r="G48" i="13"/>
  <c r="H37" i="13"/>
  <c r="H17" i="13"/>
  <c r="H114" i="13"/>
  <c r="H103" i="13"/>
  <c r="H78" i="13"/>
  <c r="G114" i="13"/>
  <c r="G83" i="13"/>
  <c r="G140" i="13"/>
  <c r="G82" i="13"/>
  <c r="H144" i="13"/>
  <c r="H105" i="13"/>
  <c r="G68" i="13"/>
  <c r="G123" i="13"/>
  <c r="G87" i="13"/>
  <c r="H14" i="13"/>
  <c r="G28" i="13"/>
  <c r="H34" i="13"/>
  <c r="G59" i="13"/>
  <c r="H147" i="13"/>
  <c r="G117" i="13"/>
  <c r="H94" i="13"/>
  <c r="H122" i="13"/>
  <c r="H68" i="13"/>
  <c r="H111" i="13"/>
  <c r="G110" i="13"/>
  <c r="G97" i="13"/>
  <c r="G43" i="13"/>
  <c r="G56" i="13"/>
  <c r="G149" i="13"/>
  <c r="H142" i="13"/>
  <c r="H130" i="13"/>
  <c r="H102" i="13"/>
  <c r="H119" i="13"/>
  <c r="H12" i="13"/>
  <c r="H96" i="13"/>
  <c r="G75" i="13"/>
  <c r="G64" i="13"/>
  <c r="H99" i="13"/>
  <c r="G17" i="13"/>
  <c r="G147" i="13"/>
  <c r="H115" i="13"/>
  <c r="G70" i="13"/>
  <c r="H41" i="13"/>
  <c r="G47" i="13"/>
  <c r="G100" i="13"/>
  <c r="H150" i="13"/>
  <c r="G138" i="13"/>
  <c r="G124" i="13"/>
  <c r="G51" i="13"/>
  <c r="G12" i="13"/>
  <c r="H101" i="13"/>
  <c r="H20" i="13"/>
  <c r="G49" i="13"/>
  <c r="G115" i="13"/>
  <c r="H40" i="13"/>
  <c r="H106" i="13"/>
  <c r="G108" i="13"/>
  <c r="G133" i="13"/>
  <c r="G134" i="13"/>
  <c r="G135" i="13"/>
  <c r="G38" i="13"/>
  <c r="G104" i="13"/>
  <c r="H29" i="13"/>
  <c r="H95" i="13"/>
  <c r="G50" i="13"/>
  <c r="G27" i="13"/>
  <c r="G36" i="13"/>
  <c r="G53" i="13"/>
  <c r="G15" i="13"/>
  <c r="G79" i="13"/>
  <c r="G145" i="13"/>
  <c r="H70" i="13"/>
  <c r="H136" i="13"/>
  <c r="H91" i="13"/>
  <c r="H82" i="13"/>
  <c r="H43" i="13"/>
  <c r="H28" i="13"/>
  <c r="G40" i="13"/>
  <c r="G106" i="13"/>
  <c r="H31" i="13"/>
  <c r="H97" i="13"/>
  <c r="H149" i="13"/>
  <c r="H56" i="13"/>
  <c r="H59" i="13"/>
  <c r="H45" i="13"/>
  <c r="G119" i="13"/>
  <c r="H86" i="13"/>
  <c r="H109" i="13"/>
  <c r="G122" i="13"/>
  <c r="G94" i="13"/>
  <c r="H64" i="13"/>
  <c r="H93" i="13"/>
  <c r="H53" i="13"/>
  <c r="G142" i="13"/>
  <c r="H30" i="13"/>
  <c r="H133" i="13"/>
  <c r="H55" i="13"/>
  <c r="G45" i="13"/>
  <c r="H138" i="13"/>
  <c r="H126" i="13"/>
  <c r="H127" i="13"/>
  <c r="H44" i="13"/>
  <c r="H104" i="13"/>
  <c r="G29" i="13"/>
  <c r="H129" i="13"/>
  <c r="G26" i="13"/>
  <c r="H123" i="13"/>
  <c r="H74" i="13"/>
  <c r="H19" i="13"/>
  <c r="G77" i="13"/>
  <c r="G25" i="13"/>
  <c r="G91" i="13"/>
  <c r="H16" i="13"/>
  <c r="H80" i="13"/>
  <c r="H146" i="13"/>
  <c r="G35" i="13"/>
  <c r="G44" i="13"/>
  <c r="G37" i="13"/>
  <c r="G14" i="13"/>
  <c r="G78" i="13"/>
  <c r="G144" i="13"/>
  <c r="H69" i="13"/>
  <c r="H135" i="13"/>
  <c r="H81" i="13"/>
  <c r="H58" i="13"/>
  <c r="H67" i="13"/>
  <c r="H76" i="13"/>
  <c r="G55" i="13"/>
  <c r="G121" i="13"/>
  <c r="H46" i="13"/>
  <c r="H112" i="13"/>
  <c r="G132" i="13"/>
  <c r="G141" i="13"/>
  <c r="G84" i="13"/>
  <c r="G61" i="13"/>
  <c r="G16" i="13"/>
  <c r="G80" i="13"/>
  <c r="G146" i="13"/>
  <c r="H71" i="13"/>
  <c r="H137" i="13"/>
  <c r="G60" i="13"/>
  <c r="G131" i="13"/>
  <c r="H66" i="13"/>
  <c r="G120" i="13"/>
  <c r="G93" i="13"/>
  <c r="H22" i="13"/>
  <c r="H132" i="13"/>
  <c r="H113" i="13"/>
  <c r="H73" i="13"/>
  <c r="G73" i="13"/>
  <c r="H65" i="13"/>
  <c r="G62" i="13"/>
  <c r="G148" i="13"/>
  <c r="G39" i="13"/>
  <c r="G66" i="13"/>
  <c r="H118" i="13"/>
  <c r="H121" i="13"/>
  <c r="G81" i="13"/>
  <c r="H140" i="13"/>
  <c r="G136" i="13"/>
  <c r="H18" i="13"/>
  <c r="G113" i="13"/>
  <c r="G109" i="13"/>
  <c r="H63" i="13"/>
  <c r="G58" i="13"/>
  <c r="H139" i="13"/>
  <c r="H92" i="13"/>
  <c r="H51" i="13"/>
  <c r="G111" i="13"/>
  <c r="G33" i="13"/>
  <c r="G99" i="13"/>
  <c r="H24" i="13"/>
  <c r="H90" i="13"/>
  <c r="G42" i="13"/>
  <c r="G67" i="13"/>
  <c r="G76" i="13"/>
  <c r="G69" i="13"/>
  <c r="G22" i="13"/>
  <c r="G86" i="13"/>
  <c r="H13" i="13"/>
  <c r="H77" i="13"/>
  <c r="H143" i="13"/>
  <c r="H107" i="13"/>
  <c r="H108" i="13"/>
  <c r="H125" i="13"/>
  <c r="H110" i="13"/>
  <c r="G63" i="13"/>
  <c r="G129" i="13"/>
  <c r="H54" i="13"/>
  <c r="H120" i="13"/>
  <c r="H25" i="13"/>
  <c r="H26" i="13"/>
  <c r="G118" i="13"/>
  <c r="G95" i="13"/>
  <c r="G24" i="13"/>
  <c r="G90" i="13"/>
  <c r="H15" i="13"/>
  <c r="H79" i="13"/>
  <c r="H145" i="13"/>
  <c r="H49" i="13"/>
  <c r="G65" i="13"/>
  <c r="H33" i="13"/>
  <c r="G54" i="13"/>
  <c r="G116" i="13"/>
  <c r="G31" i="13"/>
  <c r="G34" i="13"/>
  <c r="H84" i="13"/>
  <c r="G21" i="13"/>
  <c r="G139" i="13"/>
  <c r="H100" i="13"/>
  <c r="G128" i="13"/>
  <c r="G125" i="13"/>
  <c r="G105" i="13"/>
  <c r="G20" i="13"/>
  <c r="G130" i="13"/>
  <c r="G126" i="13"/>
  <c r="H72" i="13"/>
  <c r="H141" i="13"/>
  <c r="H61" i="13"/>
  <c r="H35" i="13"/>
  <c r="H38" i="13"/>
  <c r="G52" i="13"/>
  <c r="G72" i="13"/>
  <c r="G92" i="13"/>
  <c r="G19" i="13"/>
  <c r="H124" i="13"/>
  <c r="H75" i="13"/>
  <c r="G143" i="13"/>
  <c r="G41" i="13"/>
  <c r="G107" i="13"/>
  <c r="H32" i="13"/>
  <c r="H98" i="13"/>
  <c r="G74" i="13"/>
  <c r="G101" i="13"/>
  <c r="G102" i="13"/>
  <c r="G103" i="13"/>
  <c r="G30" i="13"/>
  <c r="G96" i="13"/>
  <c r="H21" i="13"/>
  <c r="H85" i="13"/>
  <c r="G18" i="13"/>
  <c r="H131" i="13"/>
  <c r="H148" i="13"/>
  <c r="G13" i="13"/>
  <c r="H134" i="13"/>
  <c r="G71" i="13"/>
  <c r="G137" i="13"/>
  <c r="H62" i="13"/>
  <c r="H128" i="13"/>
  <c r="H57" i="13"/>
  <c r="G150" i="13"/>
  <c r="G127" i="13"/>
  <c r="G32" i="13"/>
  <c r="G98" i="13"/>
  <c r="H23" i="13"/>
  <c r="H87" i="13"/>
  <c r="H11" i="13"/>
  <c r="G11" i="13"/>
  <c r="D86" i="25"/>
  <c r="D87" i="25" s="1"/>
  <c r="H42" i="13" s="1"/>
  <c r="X172" i="19"/>
  <c r="T168" i="19"/>
  <c r="S173" i="19"/>
  <c r="U169" i="19"/>
  <c r="T174" i="19"/>
  <c r="T197" i="19" l="1"/>
  <c r="T198" i="19"/>
  <c r="H47" i="13"/>
  <c r="H48" i="13"/>
  <c r="Y172" i="19"/>
  <c r="U174" i="19"/>
  <c r="V169" i="19"/>
  <c r="T173" i="19"/>
  <c r="U168" i="19"/>
  <c r="U197" i="19" l="1"/>
  <c r="U198" i="19"/>
  <c r="V174" i="19"/>
  <c r="W169" i="19"/>
  <c r="U173" i="19"/>
  <c r="V168" i="19"/>
  <c r="V197" i="19" l="1"/>
  <c r="V198" i="19"/>
  <c r="W174" i="19"/>
  <c r="X169" i="19"/>
  <c r="W168" i="19"/>
  <c r="V173" i="19"/>
  <c r="W197" i="19" l="1"/>
  <c r="W198" i="19"/>
  <c r="Y169" i="19"/>
  <c r="Y174" i="19" s="1"/>
  <c r="X174" i="19"/>
  <c r="W173" i="19"/>
  <c r="X168" i="19"/>
  <c r="X197" i="19" l="1"/>
  <c r="X198" i="19"/>
  <c r="Y197" i="19"/>
  <c r="Y198" i="19"/>
  <c r="Y168" i="19"/>
  <c r="Y173" i="19" s="1"/>
  <c r="X173" i="19"/>
  <c r="V12" i="6" l="1"/>
  <c r="V11" i="6"/>
  <c r="N12" i="6"/>
  <c r="N11" i="6"/>
  <c r="F12" i="6" l="1"/>
  <c r="AR8" i="9"/>
  <c r="AR10" i="9"/>
  <c r="AS10" i="9" s="1"/>
  <c r="AT10" i="9" s="1"/>
  <c r="AU10" i="9" s="1"/>
  <c r="AV10" i="9" s="1"/>
  <c r="AW10" i="9" s="1"/>
  <c r="AX10" i="9" s="1"/>
  <c r="AY10" i="9" s="1"/>
  <c r="AZ10" i="9" s="1"/>
  <c r="BA10" i="9" s="1"/>
  <c r="BB10" i="9" s="1"/>
  <c r="BC10" i="9" s="1"/>
  <c r="BD10" i="9" s="1"/>
  <c r="BE10" i="9" s="1"/>
  <c r="BF10" i="9" s="1"/>
  <c r="BG10" i="9" s="1"/>
  <c r="BH10" i="9" s="1"/>
  <c r="BI10" i="9" s="1"/>
  <c r="BJ10" i="9" s="1"/>
  <c r="BK10" i="9" s="1"/>
  <c r="BL10" i="9" s="1"/>
  <c r="BM10" i="9" s="1"/>
  <c r="BN10" i="9" s="1"/>
  <c r="BO10" i="9" s="1"/>
  <c r="BP10" i="9" s="1"/>
  <c r="BQ10" i="9" s="1"/>
  <c r="BR10" i="9" s="1"/>
  <c r="BS10" i="9" s="1"/>
  <c r="BT10" i="9" s="1"/>
  <c r="BU10" i="9" s="1"/>
  <c r="D30" i="9"/>
  <c r="A30" i="9" s="1"/>
  <c r="E30" i="9"/>
  <c r="D31" i="9"/>
  <c r="A31" i="9" s="1"/>
  <c r="E31" i="9"/>
  <c r="J170" i="9"/>
  <c r="J171" i="9" s="1"/>
  <c r="J172" i="9" s="1"/>
  <c r="J173" i="9" s="1"/>
  <c r="J174" i="9" s="1"/>
  <c r="J175" i="9" s="1"/>
  <c r="J176" i="9" s="1"/>
  <c r="J177" i="9" s="1"/>
  <c r="J178" i="9" s="1"/>
  <c r="J179" i="9" s="1"/>
  <c r="J156" i="9"/>
  <c r="J157" i="9" s="1"/>
  <c r="J158" i="9" s="1"/>
  <c r="J159" i="9" s="1"/>
  <c r="J160" i="9" s="1"/>
  <c r="J161" i="9" s="1"/>
  <c r="J162" i="9" s="1"/>
  <c r="J163" i="9" s="1"/>
  <c r="J164" i="9" s="1"/>
  <c r="J165" i="9" s="1"/>
  <c r="J166" i="9" s="1"/>
  <c r="J167" i="9" s="1"/>
  <c r="J168" i="9" s="1"/>
  <c r="L8" i="9"/>
  <c r="J23" i="9"/>
  <c r="F3" i="9"/>
  <c r="B8" i="9"/>
  <c r="L10" i="9"/>
  <c r="M10" i="9" s="1"/>
  <c r="N10" i="9" s="1"/>
  <c r="O10" i="9" s="1"/>
  <c r="P10" i="9" s="1"/>
  <c r="Q10" i="9" s="1"/>
  <c r="R10" i="9" s="1"/>
  <c r="S10" i="9" s="1"/>
  <c r="T10" i="9" s="1"/>
  <c r="U10" i="9" s="1"/>
  <c r="V10" i="9" s="1"/>
  <c r="W10" i="9" s="1"/>
  <c r="X10" i="9" s="1"/>
  <c r="Y10" i="9" s="1"/>
  <c r="Z10" i="9" s="1"/>
  <c r="AA10" i="9" s="1"/>
  <c r="AB10" i="9" s="1"/>
  <c r="AC10" i="9" s="1"/>
  <c r="AD10" i="9" s="1"/>
  <c r="AE10" i="9" s="1"/>
  <c r="AF10" i="9" s="1"/>
  <c r="AG10" i="9" s="1"/>
  <c r="AH10" i="9" s="1"/>
  <c r="AI10" i="9" s="1"/>
  <c r="AJ10" i="9" s="1"/>
  <c r="AK10" i="9" s="1"/>
  <c r="AL10" i="9" s="1"/>
  <c r="AM10" i="9" s="1"/>
  <c r="AN10" i="9" s="1"/>
  <c r="AO10" i="9" s="1"/>
  <c r="A23" i="9"/>
  <c r="L168" i="9" l="1"/>
  <c r="AR168" i="9" s="1"/>
  <c r="J180" i="9"/>
  <c r="H242" i="9"/>
  <c r="I242" i="9" s="1"/>
  <c r="H231" i="9"/>
  <c r="I231" i="9" s="1"/>
  <c r="H243" i="9"/>
  <c r="H216" i="9"/>
  <c r="I216" i="9" s="1"/>
  <c r="H202" i="9"/>
  <c r="I202" i="9" s="1"/>
  <c r="H217" i="9"/>
  <c r="H183" i="9"/>
  <c r="I183" i="9" s="1"/>
  <c r="H184" i="9"/>
  <c r="H169" i="9"/>
  <c r="I169" i="9" s="1"/>
  <c r="H171" i="9"/>
  <c r="I171" i="9" s="1"/>
  <c r="H157" i="9"/>
  <c r="I157" i="9" s="1"/>
  <c r="H172" i="9"/>
  <c r="I172" i="9" s="1"/>
  <c r="H158" i="9"/>
  <c r="I158" i="9" s="1"/>
  <c r="AA11" i="6"/>
  <c r="J39" i="9"/>
  <c r="J40" i="9" s="1"/>
  <c r="J41" i="9" s="1"/>
  <c r="J42" i="9" s="1"/>
  <c r="J43" i="9" s="1"/>
  <c r="J44" i="9" s="1"/>
  <c r="J45" i="9" s="1"/>
  <c r="J46" i="9" s="1"/>
  <c r="J47" i="9" s="1"/>
  <c r="J48" i="9" s="1"/>
  <c r="J49" i="9" s="1"/>
  <c r="J50" i="9" s="1"/>
  <c r="J51" i="9" s="1"/>
  <c r="J96" i="9"/>
  <c r="J97" i="9" s="1"/>
  <c r="J98" i="9" s="1"/>
  <c r="J99" i="9" s="1"/>
  <c r="J100" i="9" s="1"/>
  <c r="J101" i="9" s="1"/>
  <c r="J102" i="9" s="1"/>
  <c r="J103" i="9" s="1"/>
  <c r="J104" i="9" s="1"/>
  <c r="J105" i="9" s="1"/>
  <c r="J106" i="9" s="1"/>
  <c r="J107" i="9" s="1"/>
  <c r="J108" i="9" s="1"/>
  <c r="J14" i="9"/>
  <c r="J15" i="9" s="1"/>
  <c r="J16" i="9" s="1"/>
  <c r="J17" i="9" s="1"/>
  <c r="J18" i="9" s="1"/>
  <c r="J19" i="9" s="1"/>
  <c r="J20" i="9" s="1"/>
  <c r="J21" i="9" s="1"/>
  <c r="J22" i="9" s="1"/>
  <c r="L22" i="9" s="1"/>
  <c r="J129" i="9"/>
  <c r="J130" i="9" s="1"/>
  <c r="J131" i="9" s="1"/>
  <c r="J132" i="9" s="1"/>
  <c r="J133" i="9" s="1"/>
  <c r="J134" i="9" s="1"/>
  <c r="J135" i="9" s="1"/>
  <c r="J136" i="9" s="1"/>
  <c r="J137" i="9" s="1"/>
  <c r="J138" i="9" s="1"/>
  <c r="J72" i="9"/>
  <c r="J73" i="9" s="1"/>
  <c r="J74" i="9" s="1"/>
  <c r="J75" i="9" s="1"/>
  <c r="J76" i="9" s="1"/>
  <c r="J77" i="9" s="1"/>
  <c r="J78" i="9" s="1"/>
  <c r="J79" i="9" s="1"/>
  <c r="J80" i="9" s="1"/>
  <c r="J110" i="9"/>
  <c r="J111" i="9" s="1"/>
  <c r="J112" i="9" s="1"/>
  <c r="J113" i="9" s="1"/>
  <c r="J114" i="9" s="1"/>
  <c r="J115" i="9" s="1"/>
  <c r="J116" i="9" s="1"/>
  <c r="J117" i="9" s="1"/>
  <c r="J118" i="9" s="1"/>
  <c r="J119" i="9" s="1"/>
  <c r="J120" i="9" s="1"/>
  <c r="J121" i="9" s="1"/>
  <c r="J122" i="9" s="1"/>
  <c r="J53" i="9"/>
  <c r="J54" i="9" s="1"/>
  <c r="J55" i="9" s="1"/>
  <c r="J56" i="9" s="1"/>
  <c r="J57" i="9" s="1"/>
  <c r="J58" i="9" s="1"/>
  <c r="J59" i="9" s="1"/>
  <c r="J60" i="9" s="1"/>
  <c r="J61" i="9" s="1"/>
  <c r="J62" i="9" s="1"/>
  <c r="J63" i="9" s="1"/>
  <c r="J64" i="9" s="1"/>
  <c r="J65" i="9" s="1"/>
  <c r="J24" i="9"/>
  <c r="J25" i="9" s="1"/>
  <c r="J26" i="9" s="1"/>
  <c r="J27" i="9" s="1"/>
  <c r="J28" i="9" s="1"/>
  <c r="J29" i="9" s="1"/>
  <c r="J30" i="9" s="1"/>
  <c r="J31" i="9" s="1"/>
  <c r="J32" i="9" s="1"/>
  <c r="J82" i="9"/>
  <c r="J83" i="9" s="1"/>
  <c r="J84" i="9" s="1"/>
  <c r="J85" i="9" s="1"/>
  <c r="J86" i="9" s="1"/>
  <c r="J87" i="9" s="1"/>
  <c r="J88" i="9" s="1"/>
  <c r="J89" i="9" s="1"/>
  <c r="J90" i="9" s="1"/>
  <c r="J140" i="9"/>
  <c r="J141" i="9" s="1"/>
  <c r="J142" i="9" s="1"/>
  <c r="J143" i="9" s="1"/>
  <c r="J144" i="9" s="1"/>
  <c r="J145" i="9" s="1"/>
  <c r="J146" i="9" s="1"/>
  <c r="J147" i="9" s="1"/>
  <c r="J148" i="9" s="1"/>
  <c r="J149" i="9" s="1"/>
  <c r="H124" i="9"/>
  <c r="H109" i="9"/>
  <c r="I109" i="9" s="1"/>
  <c r="H150" i="9"/>
  <c r="I150" i="9" s="1"/>
  <c r="H91" i="9"/>
  <c r="I91" i="9" s="1"/>
  <c r="H123" i="9"/>
  <c r="I123" i="9" s="1"/>
  <c r="H151" i="9"/>
  <c r="H139" i="9"/>
  <c r="I139" i="9" s="1"/>
  <c r="H92" i="9"/>
  <c r="S11" i="6"/>
  <c r="K11" i="6"/>
  <c r="C11" i="6"/>
  <c r="G67" i="9"/>
  <c r="H67" i="9" s="1"/>
  <c r="G66" i="9"/>
  <c r="H66" i="9" s="1"/>
  <c r="I66" i="9" s="1"/>
  <c r="G34" i="9"/>
  <c r="H34" i="9" s="1"/>
  <c r="G81" i="9"/>
  <c r="H81" i="9" s="1"/>
  <c r="I81" i="9" s="1"/>
  <c r="I51" i="9"/>
  <c r="G52" i="9"/>
  <c r="H52" i="9" s="1"/>
  <c r="I52" i="9" s="1"/>
  <c r="G23" i="9"/>
  <c r="H23" i="9" s="1"/>
  <c r="I23" i="9" s="1"/>
  <c r="L138" i="9" l="1"/>
  <c r="R90" i="9"/>
  <c r="AB90" i="9"/>
  <c r="W90" i="9"/>
  <c r="Q90" i="9"/>
  <c r="AA90" i="9"/>
  <c r="X90" i="9"/>
  <c r="AF90" i="9"/>
  <c r="O90" i="9"/>
  <c r="Z90" i="9"/>
  <c r="AJ90" i="9"/>
  <c r="AE90" i="9"/>
  <c r="Y90" i="9"/>
  <c r="P90" i="9"/>
  <c r="AO90" i="9"/>
  <c r="AH90" i="9"/>
  <c r="M90" i="9"/>
  <c r="AM90" i="9"/>
  <c r="S90" i="9"/>
  <c r="U90" i="9"/>
  <c r="AC90" i="9"/>
  <c r="AK90" i="9"/>
  <c r="T90" i="9"/>
  <c r="N90" i="9"/>
  <c r="AI90" i="9"/>
  <c r="V90" i="9"/>
  <c r="AN90" i="9"/>
  <c r="AD90" i="9"/>
  <c r="L90" i="9"/>
  <c r="AL90" i="9"/>
  <c r="AG90" i="9"/>
  <c r="O168" i="9"/>
  <c r="P168" i="9" s="1"/>
  <c r="M168" i="9"/>
  <c r="T122" i="9"/>
  <c r="V122" i="9"/>
  <c r="AF122" i="9"/>
  <c r="S122" i="9"/>
  <c r="U122" i="9"/>
  <c r="L122" i="9"/>
  <c r="N122" i="9"/>
  <c r="AB122" i="9"/>
  <c r="AD122" i="9"/>
  <c r="AN122" i="9"/>
  <c r="AA122" i="9"/>
  <c r="O122" i="9"/>
  <c r="AH122" i="9"/>
  <c r="AJ122" i="9"/>
  <c r="AL122" i="9"/>
  <c r="Q122" i="9"/>
  <c r="AI122" i="9"/>
  <c r="M122" i="9"/>
  <c r="AG122" i="9"/>
  <c r="W122" i="9"/>
  <c r="AO122" i="9"/>
  <c r="P122" i="9"/>
  <c r="X122" i="9"/>
  <c r="AC122" i="9"/>
  <c r="AE122" i="9"/>
  <c r="R122" i="9"/>
  <c r="Y122" i="9"/>
  <c r="AK122" i="9"/>
  <c r="AM122" i="9"/>
  <c r="Z122" i="9"/>
  <c r="AS168" i="9"/>
  <c r="AT168" i="9" s="1"/>
  <c r="N168" i="9"/>
  <c r="AH149" i="9"/>
  <c r="AF149" i="9"/>
  <c r="S149" i="9"/>
  <c r="AK149" i="9"/>
  <c r="Z149" i="9"/>
  <c r="AI149" i="9"/>
  <c r="AN149" i="9"/>
  <c r="AA149" i="9"/>
  <c r="N149" i="9"/>
  <c r="Y149" i="9"/>
  <c r="V149" i="9"/>
  <c r="O149" i="9"/>
  <c r="Q149" i="9"/>
  <c r="L149" i="9"/>
  <c r="U149" i="9"/>
  <c r="W149" i="9"/>
  <c r="T149" i="9"/>
  <c r="AE149" i="9"/>
  <c r="AG149" i="9"/>
  <c r="AB149" i="9"/>
  <c r="AD149" i="9"/>
  <c r="X149" i="9"/>
  <c r="AC149" i="9"/>
  <c r="AM149" i="9"/>
  <c r="AO149" i="9"/>
  <c r="AJ149" i="9"/>
  <c r="AL149" i="9"/>
  <c r="P149" i="9"/>
  <c r="R149" i="9"/>
  <c r="M149" i="9"/>
  <c r="L108" i="9"/>
  <c r="AR22" i="9"/>
  <c r="M22" i="9"/>
  <c r="N22" i="9" s="1"/>
  <c r="P32" i="9"/>
  <c r="U32" i="9"/>
  <c r="AB32" i="9"/>
  <c r="S32" i="9"/>
  <c r="AG32" i="9"/>
  <c r="AI32" i="9"/>
  <c r="AM32" i="9"/>
  <c r="AE32" i="9"/>
  <c r="AN32" i="9"/>
  <c r="AJ32" i="9"/>
  <c r="W32" i="9"/>
  <c r="Y32" i="9"/>
  <c r="AF32" i="9"/>
  <c r="N32" i="9"/>
  <c r="Q32" i="9"/>
  <c r="T32" i="9"/>
  <c r="AO32" i="9"/>
  <c r="AA32" i="9"/>
  <c r="M32" i="9"/>
  <c r="O32" i="9"/>
  <c r="AL32" i="9"/>
  <c r="V32" i="9"/>
  <c r="AD32" i="9"/>
  <c r="L32" i="9"/>
  <c r="AR32" i="9" s="1"/>
  <c r="AH32" i="9"/>
  <c r="AK32" i="9"/>
  <c r="Z32" i="9"/>
  <c r="X32" i="9"/>
  <c r="R32" i="9"/>
  <c r="AC32" i="9"/>
  <c r="L51" i="9"/>
  <c r="AR51" i="9" s="1"/>
  <c r="AJ65" i="9"/>
  <c r="W65" i="9"/>
  <c r="AF65" i="9"/>
  <c r="AH65" i="9"/>
  <c r="M65" i="9"/>
  <c r="AE65" i="9"/>
  <c r="AI65" i="9"/>
  <c r="S65" i="9"/>
  <c r="AC65" i="9"/>
  <c r="X65" i="9"/>
  <c r="AK65" i="9"/>
  <c r="AN65" i="9"/>
  <c r="L65" i="9"/>
  <c r="AA65" i="9"/>
  <c r="V65" i="9"/>
  <c r="O65" i="9"/>
  <c r="T65" i="9"/>
  <c r="Z65" i="9"/>
  <c r="U65" i="9"/>
  <c r="AM65" i="9"/>
  <c r="Q65" i="9"/>
  <c r="AD65" i="9"/>
  <c r="Y65" i="9"/>
  <c r="AG65" i="9"/>
  <c r="N65" i="9"/>
  <c r="AO65" i="9"/>
  <c r="AL65" i="9"/>
  <c r="R65" i="9"/>
  <c r="AB65" i="9"/>
  <c r="P65" i="9"/>
  <c r="L80" i="9"/>
  <c r="J181" i="9"/>
  <c r="L231" i="9"/>
  <c r="AR231" i="9" s="1"/>
  <c r="L202" i="9"/>
  <c r="M202" i="9" s="1"/>
  <c r="AP202" i="9" s="1"/>
  <c r="L158" i="9"/>
  <c r="AR158" i="9" s="1"/>
  <c r="Z172" i="9"/>
  <c r="AK172" i="9"/>
  <c r="S172" i="9"/>
  <c r="AB172" i="9"/>
  <c r="Q172" i="9"/>
  <c r="X172" i="9"/>
  <c r="AH172" i="9"/>
  <c r="Y172" i="9"/>
  <c r="AL172" i="9"/>
  <c r="AJ172" i="9"/>
  <c r="R172" i="9"/>
  <c r="AM172" i="9"/>
  <c r="AC172" i="9"/>
  <c r="V172" i="9"/>
  <c r="AG172" i="9"/>
  <c r="AE172" i="9"/>
  <c r="T172" i="9"/>
  <c r="P172" i="9"/>
  <c r="U172" i="9"/>
  <c r="W172" i="9"/>
  <c r="AN172" i="9"/>
  <c r="AF172" i="9"/>
  <c r="L172" i="9"/>
  <c r="AR172" i="9" s="1"/>
  <c r="O172" i="9"/>
  <c r="AA172" i="9"/>
  <c r="M172" i="9"/>
  <c r="AI172" i="9"/>
  <c r="N172" i="9"/>
  <c r="AO172" i="9"/>
  <c r="AD172" i="9"/>
  <c r="L157" i="9"/>
  <c r="AR157" i="9" s="1"/>
  <c r="L169" i="9"/>
  <c r="AF171" i="9"/>
  <c r="AM171" i="9"/>
  <c r="AE171" i="9"/>
  <c r="S171" i="9"/>
  <c r="W171" i="9"/>
  <c r="Y171" i="9"/>
  <c r="O171" i="9"/>
  <c r="AN171" i="9"/>
  <c r="N171" i="9"/>
  <c r="AL171" i="9"/>
  <c r="AD171" i="9"/>
  <c r="AI171" i="9"/>
  <c r="AG171" i="9"/>
  <c r="Z171" i="9"/>
  <c r="P171" i="9"/>
  <c r="Q171" i="9"/>
  <c r="R171" i="9"/>
  <c r="AK171" i="9"/>
  <c r="AJ171" i="9"/>
  <c r="AC171" i="9"/>
  <c r="X171" i="9"/>
  <c r="AH171" i="9"/>
  <c r="U171" i="9"/>
  <c r="V171" i="9"/>
  <c r="AA171" i="9"/>
  <c r="M171" i="9"/>
  <c r="L171" i="9"/>
  <c r="AR171" i="9" s="1"/>
  <c r="T171" i="9"/>
  <c r="AO171" i="9"/>
  <c r="AB171" i="9"/>
  <c r="L109" i="9"/>
  <c r="L139" i="9"/>
  <c r="M139" i="9" s="1"/>
  <c r="AP139" i="9" s="1"/>
  <c r="L81" i="9"/>
  <c r="M81" i="9" s="1"/>
  <c r="AP81" i="9" s="1"/>
  <c r="L52" i="9"/>
  <c r="AR52" i="9" s="1"/>
  <c r="L23" i="9"/>
  <c r="M23" i="9" s="1"/>
  <c r="AP23" i="9" s="1"/>
  <c r="AS32" i="9" l="1"/>
  <c r="AT32" i="9" s="1"/>
  <c r="AU32" i="9" s="1"/>
  <c r="AV32" i="9" s="1"/>
  <c r="AW32" i="9" s="1"/>
  <c r="AX32" i="9" s="1"/>
  <c r="AY32" i="9" s="1"/>
  <c r="AZ32" i="9" s="1"/>
  <c r="BA32" i="9" s="1"/>
  <c r="BB32" i="9" s="1"/>
  <c r="BC32" i="9" s="1"/>
  <c r="BD32" i="9" s="1"/>
  <c r="BE32" i="9" s="1"/>
  <c r="BF32" i="9" s="1"/>
  <c r="BG32" i="9" s="1"/>
  <c r="BH32" i="9" s="1"/>
  <c r="BI32" i="9" s="1"/>
  <c r="BJ32" i="9" s="1"/>
  <c r="BK32" i="9" s="1"/>
  <c r="BL32" i="9" s="1"/>
  <c r="BM32" i="9" s="1"/>
  <c r="BN32" i="9" s="1"/>
  <c r="BO32" i="9" s="1"/>
  <c r="BP32" i="9" s="1"/>
  <c r="BQ32" i="9" s="1"/>
  <c r="BR32" i="9" s="1"/>
  <c r="BS32" i="9" s="1"/>
  <c r="BT32" i="9" s="1"/>
  <c r="BU32" i="9" s="1"/>
  <c r="M51" i="9"/>
  <c r="N51" i="9" s="1"/>
  <c r="AP149" i="9"/>
  <c r="AR149" i="9"/>
  <c r="AS149" i="9" s="1"/>
  <c r="AT149" i="9" s="1"/>
  <c r="AU149" i="9" s="1"/>
  <c r="AV149" i="9" s="1"/>
  <c r="AW149" i="9" s="1"/>
  <c r="AX149" i="9" s="1"/>
  <c r="AY149" i="9" s="1"/>
  <c r="AZ149" i="9" s="1"/>
  <c r="BA149" i="9" s="1"/>
  <c r="BB149" i="9" s="1"/>
  <c r="BC149" i="9" s="1"/>
  <c r="BD149" i="9" s="1"/>
  <c r="BE149" i="9" s="1"/>
  <c r="BF149" i="9" s="1"/>
  <c r="BG149" i="9" s="1"/>
  <c r="BH149" i="9" s="1"/>
  <c r="BI149" i="9" s="1"/>
  <c r="BJ149" i="9" s="1"/>
  <c r="BK149" i="9" s="1"/>
  <c r="BL149" i="9" s="1"/>
  <c r="BM149" i="9" s="1"/>
  <c r="BN149" i="9" s="1"/>
  <c r="BO149" i="9" s="1"/>
  <c r="BP149" i="9" s="1"/>
  <c r="BQ149" i="9" s="1"/>
  <c r="BR149" i="9" s="1"/>
  <c r="BS149" i="9" s="1"/>
  <c r="BT149" i="9" s="1"/>
  <c r="BU149" i="9" s="1"/>
  <c r="AU168" i="9"/>
  <c r="AV168" i="9" s="1"/>
  <c r="Q168" i="9"/>
  <c r="R168" i="9" s="1"/>
  <c r="M108" i="9"/>
  <c r="AR108" i="9"/>
  <c r="AP122" i="9"/>
  <c r="AR122" i="9"/>
  <c r="AS122" i="9" s="1"/>
  <c r="AT122" i="9" s="1"/>
  <c r="AU122" i="9" s="1"/>
  <c r="AV122" i="9" s="1"/>
  <c r="AW122" i="9" s="1"/>
  <c r="AX122" i="9" s="1"/>
  <c r="AY122" i="9" s="1"/>
  <c r="AZ122" i="9" s="1"/>
  <c r="BA122" i="9" s="1"/>
  <c r="BB122" i="9" s="1"/>
  <c r="BC122" i="9" s="1"/>
  <c r="BD122" i="9" s="1"/>
  <c r="BE122" i="9" s="1"/>
  <c r="BF122" i="9" s="1"/>
  <c r="BG122" i="9" s="1"/>
  <c r="BH122" i="9" s="1"/>
  <c r="BI122" i="9" s="1"/>
  <c r="BJ122" i="9" s="1"/>
  <c r="BK122" i="9" s="1"/>
  <c r="BL122" i="9" s="1"/>
  <c r="BM122" i="9" s="1"/>
  <c r="BN122" i="9" s="1"/>
  <c r="BO122" i="9" s="1"/>
  <c r="BP122" i="9" s="1"/>
  <c r="BQ122" i="9" s="1"/>
  <c r="BR122" i="9" s="1"/>
  <c r="BS122" i="9" s="1"/>
  <c r="BT122" i="9" s="1"/>
  <c r="BU122" i="9" s="1"/>
  <c r="AP90" i="9"/>
  <c r="AR90" i="9"/>
  <c r="AS90" i="9" s="1"/>
  <c r="AT90" i="9" s="1"/>
  <c r="AU90" i="9" s="1"/>
  <c r="AV90" i="9" s="1"/>
  <c r="AW90" i="9" s="1"/>
  <c r="AX90" i="9" s="1"/>
  <c r="AY90" i="9" s="1"/>
  <c r="AZ90" i="9" s="1"/>
  <c r="BA90" i="9" s="1"/>
  <c r="BB90" i="9" s="1"/>
  <c r="BC90" i="9" s="1"/>
  <c r="BD90" i="9" s="1"/>
  <c r="BE90" i="9" s="1"/>
  <c r="BF90" i="9" s="1"/>
  <c r="BG90" i="9" s="1"/>
  <c r="BH90" i="9" s="1"/>
  <c r="BI90" i="9" s="1"/>
  <c r="BJ90" i="9" s="1"/>
  <c r="BK90" i="9" s="1"/>
  <c r="BL90" i="9" s="1"/>
  <c r="BM90" i="9" s="1"/>
  <c r="BN90" i="9" s="1"/>
  <c r="BO90" i="9" s="1"/>
  <c r="BP90" i="9" s="1"/>
  <c r="BQ90" i="9" s="1"/>
  <c r="BR90" i="9" s="1"/>
  <c r="BS90" i="9" s="1"/>
  <c r="BT90" i="9" s="1"/>
  <c r="BU90" i="9" s="1"/>
  <c r="M138" i="9"/>
  <c r="AR138" i="9"/>
  <c r="M80" i="9"/>
  <c r="N80" i="9" s="1"/>
  <c r="O80" i="9" s="1"/>
  <c r="AS22" i="9"/>
  <c r="AT22" i="9" s="1"/>
  <c r="O22" i="9"/>
  <c r="AP32" i="9"/>
  <c r="AR80" i="9"/>
  <c r="J182" i="9"/>
  <c r="AP65" i="9"/>
  <c r="AR65" i="9"/>
  <c r="AS65" i="9" s="1"/>
  <c r="AT65" i="9" s="1"/>
  <c r="AU65" i="9" s="1"/>
  <c r="AV65" i="9" s="1"/>
  <c r="AW65" i="9" s="1"/>
  <c r="AX65" i="9" s="1"/>
  <c r="AY65" i="9" s="1"/>
  <c r="AZ65" i="9" s="1"/>
  <c r="BA65" i="9" s="1"/>
  <c r="BB65" i="9" s="1"/>
  <c r="BC65" i="9" s="1"/>
  <c r="BD65" i="9" s="1"/>
  <c r="BE65" i="9" s="1"/>
  <c r="BF65" i="9" s="1"/>
  <c r="BG65" i="9" s="1"/>
  <c r="BH65" i="9" s="1"/>
  <c r="BI65" i="9" s="1"/>
  <c r="BJ65" i="9" s="1"/>
  <c r="BK65" i="9" s="1"/>
  <c r="BL65" i="9" s="1"/>
  <c r="BM65" i="9" s="1"/>
  <c r="BN65" i="9" s="1"/>
  <c r="BO65" i="9" s="1"/>
  <c r="BP65" i="9" s="1"/>
  <c r="BQ65" i="9" s="1"/>
  <c r="BR65" i="9" s="1"/>
  <c r="BS65" i="9" s="1"/>
  <c r="BT65" i="9" s="1"/>
  <c r="BU65" i="9" s="1"/>
  <c r="AR202" i="9"/>
  <c r="AS202" i="9" s="1"/>
  <c r="AT202" i="9" s="1"/>
  <c r="AU202" i="9" s="1"/>
  <c r="AV202" i="9" s="1"/>
  <c r="AW202" i="9" s="1"/>
  <c r="AX202" i="9" s="1"/>
  <c r="AY202" i="9" s="1"/>
  <c r="AZ202" i="9" s="1"/>
  <c r="BA202" i="9" s="1"/>
  <c r="BB202" i="9" s="1"/>
  <c r="BC202" i="9" s="1"/>
  <c r="BD202" i="9" s="1"/>
  <c r="BE202" i="9" s="1"/>
  <c r="BF202" i="9" s="1"/>
  <c r="BG202" i="9" s="1"/>
  <c r="BH202" i="9" s="1"/>
  <c r="BI202" i="9" s="1"/>
  <c r="BJ202" i="9" s="1"/>
  <c r="BK202" i="9" s="1"/>
  <c r="BL202" i="9" s="1"/>
  <c r="BM202" i="9" s="1"/>
  <c r="BN202" i="9" s="1"/>
  <c r="BO202" i="9" s="1"/>
  <c r="BP202" i="9" s="1"/>
  <c r="BQ202" i="9" s="1"/>
  <c r="BR202" i="9" s="1"/>
  <c r="BS202" i="9" s="1"/>
  <c r="BT202" i="9" s="1"/>
  <c r="BU202" i="9" s="1"/>
  <c r="M231" i="9"/>
  <c r="AS231" i="9" s="1"/>
  <c r="AT231" i="9" s="1"/>
  <c r="AU231" i="9" s="1"/>
  <c r="AV231" i="9" s="1"/>
  <c r="AW231" i="9" s="1"/>
  <c r="AX231" i="9" s="1"/>
  <c r="AY231" i="9" s="1"/>
  <c r="AZ231" i="9" s="1"/>
  <c r="BA231" i="9" s="1"/>
  <c r="BB231" i="9" s="1"/>
  <c r="BC231" i="9" s="1"/>
  <c r="BD231" i="9" s="1"/>
  <c r="BE231" i="9" s="1"/>
  <c r="BF231" i="9" s="1"/>
  <c r="BG231" i="9" s="1"/>
  <c r="BH231" i="9" s="1"/>
  <c r="BI231" i="9" s="1"/>
  <c r="BJ231" i="9" s="1"/>
  <c r="BK231" i="9" s="1"/>
  <c r="BL231" i="9" s="1"/>
  <c r="BM231" i="9" s="1"/>
  <c r="BN231" i="9" s="1"/>
  <c r="BO231" i="9" s="1"/>
  <c r="BP231" i="9" s="1"/>
  <c r="BQ231" i="9" s="1"/>
  <c r="BR231" i="9" s="1"/>
  <c r="BS231" i="9" s="1"/>
  <c r="BT231" i="9" s="1"/>
  <c r="BU231" i="9" s="1"/>
  <c r="M157" i="9"/>
  <c r="N157" i="9" s="1"/>
  <c r="O157" i="9" s="1"/>
  <c r="AS171" i="9"/>
  <c r="AT171" i="9" s="1"/>
  <c r="AU171" i="9" s="1"/>
  <c r="AV171" i="9" s="1"/>
  <c r="AW171" i="9" s="1"/>
  <c r="AX171" i="9" s="1"/>
  <c r="AY171" i="9" s="1"/>
  <c r="AZ171" i="9" s="1"/>
  <c r="BA171" i="9" s="1"/>
  <c r="BB171" i="9" s="1"/>
  <c r="BC171" i="9" s="1"/>
  <c r="BD171" i="9" s="1"/>
  <c r="BE171" i="9" s="1"/>
  <c r="BF171" i="9" s="1"/>
  <c r="BG171" i="9" s="1"/>
  <c r="BH171" i="9" s="1"/>
  <c r="BI171" i="9" s="1"/>
  <c r="BJ171" i="9" s="1"/>
  <c r="BK171" i="9" s="1"/>
  <c r="BL171" i="9" s="1"/>
  <c r="BM171" i="9" s="1"/>
  <c r="BN171" i="9" s="1"/>
  <c r="BO171" i="9" s="1"/>
  <c r="BP171" i="9" s="1"/>
  <c r="BQ171" i="9" s="1"/>
  <c r="BR171" i="9" s="1"/>
  <c r="BS171" i="9" s="1"/>
  <c r="BT171" i="9" s="1"/>
  <c r="BU171" i="9" s="1"/>
  <c r="M158" i="9"/>
  <c r="N158" i="9" s="1"/>
  <c r="AS172" i="9"/>
  <c r="AT172" i="9" s="1"/>
  <c r="AU172" i="9" s="1"/>
  <c r="AV172" i="9" s="1"/>
  <c r="AW172" i="9" s="1"/>
  <c r="AX172" i="9" s="1"/>
  <c r="AY172" i="9" s="1"/>
  <c r="AZ172" i="9" s="1"/>
  <c r="BA172" i="9" s="1"/>
  <c r="BB172" i="9" s="1"/>
  <c r="BC172" i="9" s="1"/>
  <c r="BD172" i="9" s="1"/>
  <c r="BE172" i="9" s="1"/>
  <c r="BF172" i="9" s="1"/>
  <c r="BG172" i="9" s="1"/>
  <c r="BH172" i="9" s="1"/>
  <c r="BI172" i="9" s="1"/>
  <c r="BJ172" i="9" s="1"/>
  <c r="BK172" i="9" s="1"/>
  <c r="BL172" i="9" s="1"/>
  <c r="BM172" i="9" s="1"/>
  <c r="BN172" i="9" s="1"/>
  <c r="BO172" i="9" s="1"/>
  <c r="BP172" i="9" s="1"/>
  <c r="BQ172" i="9" s="1"/>
  <c r="BR172" i="9" s="1"/>
  <c r="BS172" i="9" s="1"/>
  <c r="BT172" i="9" s="1"/>
  <c r="BU172" i="9" s="1"/>
  <c r="M169" i="9"/>
  <c r="AP169" i="9" s="1"/>
  <c r="AR169" i="9"/>
  <c r="AP172" i="9"/>
  <c r="AP171" i="9"/>
  <c r="AR139" i="9"/>
  <c r="AS139" i="9" s="1"/>
  <c r="AT139" i="9" s="1"/>
  <c r="AU139" i="9" s="1"/>
  <c r="AV139" i="9" s="1"/>
  <c r="AW139" i="9" s="1"/>
  <c r="AX139" i="9" s="1"/>
  <c r="AY139" i="9" s="1"/>
  <c r="AZ139" i="9" s="1"/>
  <c r="BA139" i="9" s="1"/>
  <c r="BB139" i="9" s="1"/>
  <c r="BC139" i="9" s="1"/>
  <c r="BD139" i="9" s="1"/>
  <c r="BE139" i="9" s="1"/>
  <c r="BF139" i="9" s="1"/>
  <c r="BG139" i="9" s="1"/>
  <c r="BH139" i="9" s="1"/>
  <c r="BI139" i="9" s="1"/>
  <c r="BJ139" i="9" s="1"/>
  <c r="BK139" i="9" s="1"/>
  <c r="BL139" i="9" s="1"/>
  <c r="BM139" i="9" s="1"/>
  <c r="BN139" i="9" s="1"/>
  <c r="BO139" i="9" s="1"/>
  <c r="BP139" i="9" s="1"/>
  <c r="BQ139" i="9" s="1"/>
  <c r="BR139" i="9" s="1"/>
  <c r="BS139" i="9" s="1"/>
  <c r="BT139" i="9" s="1"/>
  <c r="BU139" i="9" s="1"/>
  <c r="M109" i="9"/>
  <c r="AP109" i="9" s="1"/>
  <c r="AR109" i="9"/>
  <c r="AR81" i="9"/>
  <c r="AS81" i="9" s="1"/>
  <c r="AT81" i="9" s="1"/>
  <c r="AU81" i="9" s="1"/>
  <c r="AV81" i="9" s="1"/>
  <c r="AW81" i="9" s="1"/>
  <c r="AX81" i="9" s="1"/>
  <c r="AY81" i="9" s="1"/>
  <c r="AZ81" i="9" s="1"/>
  <c r="BA81" i="9" s="1"/>
  <c r="BB81" i="9" s="1"/>
  <c r="BC81" i="9" s="1"/>
  <c r="BD81" i="9" s="1"/>
  <c r="BE81" i="9" s="1"/>
  <c r="BF81" i="9" s="1"/>
  <c r="BG81" i="9" s="1"/>
  <c r="BH81" i="9" s="1"/>
  <c r="BI81" i="9" s="1"/>
  <c r="BJ81" i="9" s="1"/>
  <c r="BK81" i="9" s="1"/>
  <c r="BL81" i="9" s="1"/>
  <c r="BM81" i="9" s="1"/>
  <c r="BN81" i="9" s="1"/>
  <c r="BO81" i="9" s="1"/>
  <c r="BP81" i="9" s="1"/>
  <c r="BQ81" i="9" s="1"/>
  <c r="BR81" i="9" s="1"/>
  <c r="BS81" i="9" s="1"/>
  <c r="BT81" i="9" s="1"/>
  <c r="BU81" i="9" s="1"/>
  <c r="AR23" i="9"/>
  <c r="AS23" i="9" s="1"/>
  <c r="AT23" i="9" s="1"/>
  <c r="AU23" i="9" s="1"/>
  <c r="AV23" i="9" s="1"/>
  <c r="AW23" i="9" s="1"/>
  <c r="AX23" i="9" s="1"/>
  <c r="AY23" i="9" s="1"/>
  <c r="AZ23" i="9" s="1"/>
  <c r="BA23" i="9" s="1"/>
  <c r="BB23" i="9" s="1"/>
  <c r="BC23" i="9" s="1"/>
  <c r="BD23" i="9" s="1"/>
  <c r="BE23" i="9" s="1"/>
  <c r="BF23" i="9" s="1"/>
  <c r="BG23" i="9" s="1"/>
  <c r="BH23" i="9" s="1"/>
  <c r="BI23" i="9" s="1"/>
  <c r="BJ23" i="9" s="1"/>
  <c r="BK23" i="9" s="1"/>
  <c r="BL23" i="9" s="1"/>
  <c r="BM23" i="9" s="1"/>
  <c r="BN23" i="9" s="1"/>
  <c r="BO23" i="9" s="1"/>
  <c r="BP23" i="9" s="1"/>
  <c r="BQ23" i="9" s="1"/>
  <c r="BR23" i="9" s="1"/>
  <c r="BS23" i="9" s="1"/>
  <c r="BT23" i="9" s="1"/>
  <c r="BU23" i="9" s="1"/>
  <c r="M52" i="9"/>
  <c r="AS52" i="9" s="1"/>
  <c r="AT52" i="9" s="1"/>
  <c r="AU52" i="9" s="1"/>
  <c r="AV52" i="9" s="1"/>
  <c r="AW52" i="9" s="1"/>
  <c r="AX52" i="9" s="1"/>
  <c r="AY52" i="9" s="1"/>
  <c r="AZ52" i="9" s="1"/>
  <c r="BA52" i="9" s="1"/>
  <c r="BB52" i="9" s="1"/>
  <c r="BC52" i="9" s="1"/>
  <c r="BD52" i="9" s="1"/>
  <c r="BE52" i="9" s="1"/>
  <c r="BF52" i="9" s="1"/>
  <c r="BG52" i="9" s="1"/>
  <c r="BH52" i="9" s="1"/>
  <c r="BI52" i="9" s="1"/>
  <c r="BJ52" i="9" s="1"/>
  <c r="BK52" i="9" s="1"/>
  <c r="BL52" i="9" s="1"/>
  <c r="BM52" i="9" s="1"/>
  <c r="BN52" i="9" s="1"/>
  <c r="BO52" i="9" s="1"/>
  <c r="BP52" i="9" s="1"/>
  <c r="BQ52" i="9" s="1"/>
  <c r="BR52" i="9" s="1"/>
  <c r="BS52" i="9" s="1"/>
  <c r="BT52" i="9" s="1"/>
  <c r="BU52" i="9" s="1"/>
  <c r="O51" i="9" l="1"/>
  <c r="AS51" i="9"/>
  <c r="AT51" i="9" s="1"/>
  <c r="AS108" i="9"/>
  <c r="AS80" i="9"/>
  <c r="AT80" i="9" s="1"/>
  <c r="AU80" i="9" s="1"/>
  <c r="AW168" i="9"/>
  <c r="AX168" i="9" s="1"/>
  <c r="AS138" i="9"/>
  <c r="N108" i="9"/>
  <c r="S168" i="9"/>
  <c r="T168" i="9" s="1"/>
  <c r="N138" i="9"/>
  <c r="P22" i="9"/>
  <c r="Q22" i="9" s="1"/>
  <c r="R22" i="9" s="1"/>
  <c r="P80" i="9"/>
  <c r="Q80" i="9" s="1"/>
  <c r="AI182" i="9"/>
  <c r="M182" i="9"/>
  <c r="AM182" i="9"/>
  <c r="AO182" i="9"/>
  <c r="L182" i="9"/>
  <c r="U182" i="9"/>
  <c r="P182" i="9"/>
  <c r="R182" i="9"/>
  <c r="AK182" i="9"/>
  <c r="AF182" i="9"/>
  <c r="AJ182" i="9"/>
  <c r="AN182" i="9"/>
  <c r="O182" i="9"/>
  <c r="S182" i="9"/>
  <c r="Y182" i="9"/>
  <c r="AE182" i="9"/>
  <c r="Q182" i="9"/>
  <c r="V182" i="9"/>
  <c r="AA182" i="9"/>
  <c r="AG182" i="9"/>
  <c r="T182" i="9"/>
  <c r="AC182" i="9"/>
  <c r="X182" i="9"/>
  <c r="Z182" i="9"/>
  <c r="AB182" i="9"/>
  <c r="AH182" i="9"/>
  <c r="AD182" i="9"/>
  <c r="N182" i="9"/>
  <c r="W182" i="9"/>
  <c r="AL182" i="9"/>
  <c r="P51" i="9"/>
  <c r="AU22" i="9"/>
  <c r="AP231" i="9"/>
  <c r="O158" i="9"/>
  <c r="AS157" i="9"/>
  <c r="AT157" i="9" s="1"/>
  <c r="AU157" i="9" s="1"/>
  <c r="AS158" i="9"/>
  <c r="AT158" i="9" s="1"/>
  <c r="P157" i="9"/>
  <c r="Q157" i="9" s="1"/>
  <c r="AS169" i="9"/>
  <c r="AT169" i="9" s="1"/>
  <c r="AU169" i="9" s="1"/>
  <c r="AV169" i="9" s="1"/>
  <c r="AW169" i="9" s="1"/>
  <c r="AX169" i="9" s="1"/>
  <c r="AY169" i="9" s="1"/>
  <c r="AZ169" i="9" s="1"/>
  <c r="BA169" i="9" s="1"/>
  <c r="BB169" i="9" s="1"/>
  <c r="BC169" i="9" s="1"/>
  <c r="BD169" i="9" s="1"/>
  <c r="BE169" i="9" s="1"/>
  <c r="BF169" i="9" s="1"/>
  <c r="BG169" i="9" s="1"/>
  <c r="BH169" i="9" s="1"/>
  <c r="BI169" i="9" s="1"/>
  <c r="BJ169" i="9" s="1"/>
  <c r="BK169" i="9" s="1"/>
  <c r="BL169" i="9" s="1"/>
  <c r="BM169" i="9" s="1"/>
  <c r="BN169" i="9" s="1"/>
  <c r="BO169" i="9" s="1"/>
  <c r="BP169" i="9" s="1"/>
  <c r="BQ169" i="9" s="1"/>
  <c r="BR169" i="9" s="1"/>
  <c r="BS169" i="9" s="1"/>
  <c r="BT169" i="9" s="1"/>
  <c r="BU169" i="9" s="1"/>
  <c r="AS109" i="9"/>
  <c r="AT109" i="9" s="1"/>
  <c r="AU109" i="9" s="1"/>
  <c r="AV109" i="9" s="1"/>
  <c r="AW109" i="9" s="1"/>
  <c r="AX109" i="9" s="1"/>
  <c r="AY109" i="9" s="1"/>
  <c r="AZ109" i="9" s="1"/>
  <c r="BA109" i="9" s="1"/>
  <c r="BB109" i="9" s="1"/>
  <c r="BC109" i="9" s="1"/>
  <c r="BD109" i="9" s="1"/>
  <c r="BE109" i="9" s="1"/>
  <c r="BF109" i="9" s="1"/>
  <c r="BG109" i="9" s="1"/>
  <c r="BH109" i="9" s="1"/>
  <c r="BI109" i="9" s="1"/>
  <c r="BJ109" i="9" s="1"/>
  <c r="BK109" i="9" s="1"/>
  <c r="BL109" i="9" s="1"/>
  <c r="BM109" i="9" s="1"/>
  <c r="BN109" i="9" s="1"/>
  <c r="BO109" i="9" s="1"/>
  <c r="BP109" i="9" s="1"/>
  <c r="BQ109" i="9" s="1"/>
  <c r="BR109" i="9" s="1"/>
  <c r="BS109" i="9" s="1"/>
  <c r="BT109" i="9" s="1"/>
  <c r="BU109" i="9" s="1"/>
  <c r="AP52" i="9"/>
  <c r="AU51" i="9" l="1"/>
  <c r="AV51" i="9" s="1"/>
  <c r="AY168" i="9"/>
  <c r="AT108" i="9"/>
  <c r="AT138" i="9"/>
  <c r="O138" i="9"/>
  <c r="P138" i="9" s="1"/>
  <c r="Q138" i="9" s="1"/>
  <c r="R138" i="9" s="1"/>
  <c r="O108" i="9"/>
  <c r="AZ168" i="9"/>
  <c r="U168" i="9"/>
  <c r="V168" i="9" s="1"/>
  <c r="W168" i="9" s="1"/>
  <c r="X168" i="9" s="1"/>
  <c r="Y168" i="9" s="1"/>
  <c r="Z168" i="9" s="1"/>
  <c r="AA168" i="9" s="1"/>
  <c r="AB168" i="9" s="1"/>
  <c r="AC168" i="9" s="1"/>
  <c r="AD168" i="9" s="1"/>
  <c r="AE168" i="9" s="1"/>
  <c r="AF168" i="9" s="1"/>
  <c r="AG168" i="9" s="1"/>
  <c r="AH168" i="9" s="1"/>
  <c r="AI168" i="9" s="1"/>
  <c r="AJ168" i="9" s="1"/>
  <c r="AK168" i="9" s="1"/>
  <c r="AL168" i="9" s="1"/>
  <c r="AM168" i="9" s="1"/>
  <c r="AN168" i="9" s="1"/>
  <c r="AO168" i="9" s="1"/>
  <c r="AP168" i="9" s="1"/>
  <c r="S22" i="9"/>
  <c r="T22" i="9" s="1"/>
  <c r="U22" i="9" s="1"/>
  <c r="AP182" i="9"/>
  <c r="AR182" i="9"/>
  <c r="AS182" i="9" s="1"/>
  <c r="AT182" i="9" s="1"/>
  <c r="AU182" i="9" s="1"/>
  <c r="AV182" i="9" s="1"/>
  <c r="AW182" i="9" s="1"/>
  <c r="AX182" i="9" s="1"/>
  <c r="AY182" i="9" s="1"/>
  <c r="AZ182" i="9" s="1"/>
  <c r="BA182" i="9" s="1"/>
  <c r="BB182" i="9" s="1"/>
  <c r="BC182" i="9" s="1"/>
  <c r="BD182" i="9" s="1"/>
  <c r="BE182" i="9" s="1"/>
  <c r="BF182" i="9" s="1"/>
  <c r="BG182" i="9" s="1"/>
  <c r="BH182" i="9" s="1"/>
  <c r="BI182" i="9" s="1"/>
  <c r="BJ182" i="9" s="1"/>
  <c r="BK182" i="9" s="1"/>
  <c r="BL182" i="9" s="1"/>
  <c r="BM182" i="9" s="1"/>
  <c r="BN182" i="9" s="1"/>
  <c r="BO182" i="9" s="1"/>
  <c r="BP182" i="9" s="1"/>
  <c r="BQ182" i="9" s="1"/>
  <c r="BR182" i="9" s="1"/>
  <c r="BS182" i="9" s="1"/>
  <c r="BT182" i="9" s="1"/>
  <c r="BU182" i="9" s="1"/>
  <c r="Q51" i="9"/>
  <c r="R80" i="9"/>
  <c r="AV80" i="9"/>
  <c r="AW80" i="9" s="1"/>
  <c r="AV22" i="9"/>
  <c r="AW22" i="9" s="1"/>
  <c r="AX22" i="9" s="1"/>
  <c r="AU158" i="9"/>
  <c r="P158" i="9"/>
  <c r="AV157" i="9"/>
  <c r="AW157" i="9" s="1"/>
  <c r="R157" i="9"/>
  <c r="S157" i="9" s="1"/>
  <c r="T157" i="9" s="1"/>
  <c r="U157" i="9" s="1"/>
  <c r="V157" i="9" s="1"/>
  <c r="AW51" i="9" l="1"/>
  <c r="BA168" i="9"/>
  <c r="BB168" i="9" s="1"/>
  <c r="BC168" i="9" s="1"/>
  <c r="BD168" i="9" s="1"/>
  <c r="BE168" i="9" s="1"/>
  <c r="BF168" i="9" s="1"/>
  <c r="BG168" i="9" s="1"/>
  <c r="BH168" i="9" s="1"/>
  <c r="BI168" i="9" s="1"/>
  <c r="BJ168" i="9" s="1"/>
  <c r="BK168" i="9" s="1"/>
  <c r="BL168" i="9" s="1"/>
  <c r="BM168" i="9" s="1"/>
  <c r="BN168" i="9" s="1"/>
  <c r="BO168" i="9" s="1"/>
  <c r="BP168" i="9" s="1"/>
  <c r="BQ168" i="9" s="1"/>
  <c r="BR168" i="9" s="1"/>
  <c r="BS168" i="9" s="1"/>
  <c r="BT168" i="9" s="1"/>
  <c r="BU168" i="9" s="1"/>
  <c r="AX80" i="9"/>
  <c r="S138" i="9"/>
  <c r="T138" i="9" s="1"/>
  <c r="U138" i="9" s="1"/>
  <c r="V138" i="9" s="1"/>
  <c r="W138" i="9" s="1"/>
  <c r="X138" i="9" s="1"/>
  <c r="Y138" i="9" s="1"/>
  <c r="Z138" i="9" s="1"/>
  <c r="AA138" i="9" s="1"/>
  <c r="AB138" i="9" s="1"/>
  <c r="AC138" i="9" s="1"/>
  <c r="AD138" i="9" s="1"/>
  <c r="AE138" i="9" s="1"/>
  <c r="AF138" i="9" s="1"/>
  <c r="AG138" i="9" s="1"/>
  <c r="AH138" i="9" s="1"/>
  <c r="AI138" i="9" s="1"/>
  <c r="AJ138" i="9" s="1"/>
  <c r="AK138" i="9" s="1"/>
  <c r="AL138" i="9" s="1"/>
  <c r="AM138" i="9" s="1"/>
  <c r="AN138" i="9" s="1"/>
  <c r="AO138" i="9" s="1"/>
  <c r="AP138" i="9" s="1"/>
  <c r="AY22" i="9"/>
  <c r="AZ22" i="9" s="1"/>
  <c r="BA22" i="9" s="1"/>
  <c r="AU108" i="9"/>
  <c r="AU138" i="9"/>
  <c r="AV138" i="9" s="1"/>
  <c r="AW138" i="9" s="1"/>
  <c r="AX138" i="9" s="1"/>
  <c r="P108" i="9"/>
  <c r="S80" i="9"/>
  <c r="T80" i="9" s="1"/>
  <c r="U80" i="9" s="1"/>
  <c r="V80" i="9" s="1"/>
  <c r="W80" i="9" s="1"/>
  <c r="X80" i="9" s="1"/>
  <c r="Y80" i="9" s="1"/>
  <c r="Z80" i="9" s="1"/>
  <c r="AA80" i="9" s="1"/>
  <c r="AB80" i="9" s="1"/>
  <c r="AC80" i="9" s="1"/>
  <c r="AD80" i="9" s="1"/>
  <c r="AE80" i="9" s="1"/>
  <c r="AF80" i="9" s="1"/>
  <c r="AG80" i="9" s="1"/>
  <c r="AH80" i="9" s="1"/>
  <c r="R51" i="9"/>
  <c r="S51" i="9" s="1"/>
  <c r="V22" i="9"/>
  <c r="W22" i="9" s="1"/>
  <c r="X22" i="9" s="1"/>
  <c r="Y22" i="9" s="1"/>
  <c r="Z22" i="9" s="1"/>
  <c r="AA22" i="9" s="1"/>
  <c r="AB22" i="9" s="1"/>
  <c r="AC22" i="9" s="1"/>
  <c r="AD22" i="9" s="1"/>
  <c r="AE22" i="9" s="1"/>
  <c r="AF22" i="9" s="1"/>
  <c r="AG22" i="9" s="1"/>
  <c r="AH22" i="9" s="1"/>
  <c r="AI22" i="9" s="1"/>
  <c r="AJ22" i="9" s="1"/>
  <c r="AK22" i="9" s="1"/>
  <c r="AL22" i="9" s="1"/>
  <c r="AM22" i="9" s="1"/>
  <c r="AN22" i="9" s="1"/>
  <c r="AO22" i="9" s="1"/>
  <c r="AP22" i="9" s="1"/>
  <c r="AV158" i="9"/>
  <c r="Q158" i="9"/>
  <c r="R158" i="9" s="1"/>
  <c r="S158" i="9" s="1"/>
  <c r="AX157" i="9"/>
  <c r="AY157" i="9" s="1"/>
  <c r="AZ157" i="9" s="1"/>
  <c r="BA157" i="9" s="1"/>
  <c r="BB157" i="9" s="1"/>
  <c r="W157" i="9"/>
  <c r="AY138" i="9" l="1"/>
  <c r="AZ138" i="9" s="1"/>
  <c r="BA138" i="9" s="1"/>
  <c r="BB138" i="9" s="1"/>
  <c r="BC138" i="9" s="1"/>
  <c r="BD138" i="9" s="1"/>
  <c r="BE138" i="9" s="1"/>
  <c r="BF138" i="9" s="1"/>
  <c r="BG138" i="9" s="1"/>
  <c r="BH138" i="9" s="1"/>
  <c r="BI138" i="9" s="1"/>
  <c r="BJ138" i="9" s="1"/>
  <c r="BK138" i="9" s="1"/>
  <c r="BL138" i="9" s="1"/>
  <c r="BM138" i="9" s="1"/>
  <c r="BN138" i="9" s="1"/>
  <c r="BO138" i="9" s="1"/>
  <c r="BP138" i="9" s="1"/>
  <c r="BQ138" i="9" s="1"/>
  <c r="BR138" i="9" s="1"/>
  <c r="BS138" i="9" s="1"/>
  <c r="BT138" i="9" s="1"/>
  <c r="BU138" i="9" s="1"/>
  <c r="Q108" i="9"/>
  <c r="R108" i="9" s="1"/>
  <c r="S108" i="9" s="1"/>
  <c r="T108" i="9" s="1"/>
  <c r="U108" i="9" s="1"/>
  <c r="V108" i="9" s="1"/>
  <c r="W108" i="9" s="1"/>
  <c r="X108" i="9" s="1"/>
  <c r="Y108" i="9" s="1"/>
  <c r="Z108" i="9" s="1"/>
  <c r="AA108" i="9" s="1"/>
  <c r="AB108" i="9" s="1"/>
  <c r="AC108" i="9" s="1"/>
  <c r="AD108" i="9" s="1"/>
  <c r="AE108" i="9" s="1"/>
  <c r="AF108" i="9" s="1"/>
  <c r="AG108" i="9" s="1"/>
  <c r="AH108" i="9" s="1"/>
  <c r="AI108" i="9" s="1"/>
  <c r="AJ108" i="9" s="1"/>
  <c r="AK108" i="9" s="1"/>
  <c r="AL108" i="9" s="1"/>
  <c r="AM108" i="9" s="1"/>
  <c r="AN108" i="9" s="1"/>
  <c r="AO108" i="9" s="1"/>
  <c r="AP108" i="9" s="1"/>
  <c r="AV108" i="9"/>
  <c r="AI80" i="9"/>
  <c r="AJ80" i="9" s="1"/>
  <c r="AK80" i="9" s="1"/>
  <c r="AL80" i="9" s="1"/>
  <c r="AM80" i="9" s="1"/>
  <c r="AN80" i="9" s="1"/>
  <c r="AO80" i="9" s="1"/>
  <c r="AP80" i="9" s="1"/>
  <c r="T51" i="9"/>
  <c r="AX51" i="9"/>
  <c r="AY51" i="9" s="1"/>
  <c r="AY80" i="9"/>
  <c r="AZ80" i="9" s="1"/>
  <c r="BA80" i="9" s="1"/>
  <c r="BB80" i="9" s="1"/>
  <c r="BC80" i="9" s="1"/>
  <c r="BD80" i="9" s="1"/>
  <c r="BE80" i="9" s="1"/>
  <c r="BF80" i="9" s="1"/>
  <c r="BG80" i="9" s="1"/>
  <c r="BH80" i="9" s="1"/>
  <c r="BI80" i="9" s="1"/>
  <c r="BJ80" i="9" s="1"/>
  <c r="BK80" i="9" s="1"/>
  <c r="BL80" i="9" s="1"/>
  <c r="BM80" i="9" s="1"/>
  <c r="BN80" i="9" s="1"/>
  <c r="BB22" i="9"/>
  <c r="BC22" i="9" s="1"/>
  <c r="BD22" i="9" s="1"/>
  <c r="BE22" i="9" s="1"/>
  <c r="BF22" i="9" s="1"/>
  <c r="BG22" i="9" s="1"/>
  <c r="BH22" i="9" s="1"/>
  <c r="BI22" i="9" s="1"/>
  <c r="BJ22" i="9" s="1"/>
  <c r="BK22" i="9" s="1"/>
  <c r="BL22" i="9" s="1"/>
  <c r="BM22" i="9" s="1"/>
  <c r="BN22" i="9" s="1"/>
  <c r="BO22" i="9" s="1"/>
  <c r="BP22" i="9" s="1"/>
  <c r="BQ22" i="9" s="1"/>
  <c r="BR22" i="9" s="1"/>
  <c r="BS22" i="9" s="1"/>
  <c r="BT22" i="9" s="1"/>
  <c r="BU22" i="9" s="1"/>
  <c r="AW158" i="9"/>
  <c r="AX158" i="9" s="1"/>
  <c r="AY158" i="9" s="1"/>
  <c r="T158" i="9"/>
  <c r="U158" i="9" s="1"/>
  <c r="V158" i="9" s="1"/>
  <c r="W158" i="9" s="1"/>
  <c r="X158" i="9" s="1"/>
  <c r="Y158" i="9" s="1"/>
  <c r="Z158" i="9" s="1"/>
  <c r="AA158" i="9" s="1"/>
  <c r="AB158" i="9" s="1"/>
  <c r="AC158" i="9" s="1"/>
  <c r="AD158" i="9" s="1"/>
  <c r="AE158" i="9" s="1"/>
  <c r="AF158" i="9" s="1"/>
  <c r="AG158" i="9" s="1"/>
  <c r="AH158" i="9" s="1"/>
  <c r="AI158" i="9" s="1"/>
  <c r="AJ158" i="9" s="1"/>
  <c r="AK158" i="9" s="1"/>
  <c r="AL158" i="9" s="1"/>
  <c r="AM158" i="9" s="1"/>
  <c r="AN158" i="9" s="1"/>
  <c r="AO158" i="9" s="1"/>
  <c r="AP158" i="9" s="1"/>
  <c r="X157" i="9"/>
  <c r="BC157" i="9"/>
  <c r="AW108" i="9" l="1"/>
  <c r="AX108" i="9" s="1"/>
  <c r="AY108" i="9" s="1"/>
  <c r="AZ108" i="9" s="1"/>
  <c r="BA108" i="9" s="1"/>
  <c r="BB108" i="9" s="1"/>
  <c r="BC108" i="9" s="1"/>
  <c r="BD108" i="9" s="1"/>
  <c r="BE108" i="9" s="1"/>
  <c r="BF108" i="9" s="1"/>
  <c r="BG108" i="9" s="1"/>
  <c r="BH108" i="9" s="1"/>
  <c r="BI108" i="9" s="1"/>
  <c r="BJ108" i="9" s="1"/>
  <c r="BK108" i="9" s="1"/>
  <c r="BL108" i="9" s="1"/>
  <c r="BM108" i="9" s="1"/>
  <c r="BN108" i="9" s="1"/>
  <c r="BO108" i="9" s="1"/>
  <c r="BP108" i="9" s="1"/>
  <c r="BQ108" i="9" s="1"/>
  <c r="BR108" i="9" s="1"/>
  <c r="BS108" i="9" s="1"/>
  <c r="BT108" i="9" s="1"/>
  <c r="BU108" i="9" s="1"/>
  <c r="BO80" i="9"/>
  <c r="BP80" i="9" s="1"/>
  <c r="BQ80" i="9" s="1"/>
  <c r="BR80" i="9" s="1"/>
  <c r="BS80" i="9" s="1"/>
  <c r="BT80" i="9" s="1"/>
  <c r="BU80" i="9" s="1"/>
  <c r="AZ51" i="9"/>
  <c r="U51" i="9"/>
  <c r="V51" i="9" s="1"/>
  <c r="W51" i="9" s="1"/>
  <c r="X51" i="9" s="1"/>
  <c r="Y51" i="9" s="1"/>
  <c r="Z51" i="9" s="1"/>
  <c r="AA51" i="9" s="1"/>
  <c r="AB51" i="9" s="1"/>
  <c r="AC51" i="9" s="1"/>
  <c r="AD51" i="9" s="1"/>
  <c r="AE51" i="9" s="1"/>
  <c r="AF51" i="9" s="1"/>
  <c r="AG51" i="9" s="1"/>
  <c r="AH51" i="9" s="1"/>
  <c r="AI51" i="9" s="1"/>
  <c r="AJ51" i="9" s="1"/>
  <c r="AK51" i="9" s="1"/>
  <c r="AL51" i="9" s="1"/>
  <c r="AM51" i="9" s="1"/>
  <c r="AN51" i="9" s="1"/>
  <c r="AO51" i="9" s="1"/>
  <c r="AP51" i="9" s="1"/>
  <c r="AZ158" i="9"/>
  <c r="BA158" i="9" s="1"/>
  <c r="BB158" i="9" s="1"/>
  <c r="BC158" i="9" s="1"/>
  <c r="BD158" i="9" s="1"/>
  <c r="BE158" i="9" s="1"/>
  <c r="BF158" i="9" s="1"/>
  <c r="BG158" i="9" s="1"/>
  <c r="BH158" i="9" s="1"/>
  <c r="BI158" i="9" s="1"/>
  <c r="BJ158" i="9" s="1"/>
  <c r="BK158" i="9" s="1"/>
  <c r="BL158" i="9" s="1"/>
  <c r="BM158" i="9" s="1"/>
  <c r="BN158" i="9" s="1"/>
  <c r="BO158" i="9" s="1"/>
  <c r="BP158" i="9" s="1"/>
  <c r="BQ158" i="9" s="1"/>
  <c r="BR158" i="9" s="1"/>
  <c r="BS158" i="9" s="1"/>
  <c r="BT158" i="9" s="1"/>
  <c r="BU158" i="9" s="1"/>
  <c r="Y157" i="9"/>
  <c r="Z157" i="9" s="1"/>
  <c r="BD157" i="9"/>
  <c r="BA51" i="9" l="1"/>
  <c r="BB51" i="9" s="1"/>
  <c r="BC51" i="9" s="1"/>
  <c r="BD51" i="9" s="1"/>
  <c r="BE51" i="9" s="1"/>
  <c r="BF51" i="9" s="1"/>
  <c r="BG51" i="9" s="1"/>
  <c r="BH51" i="9" s="1"/>
  <c r="BI51" i="9" s="1"/>
  <c r="BJ51" i="9" s="1"/>
  <c r="BK51" i="9" s="1"/>
  <c r="BL51" i="9" s="1"/>
  <c r="BM51" i="9" s="1"/>
  <c r="BN51" i="9" s="1"/>
  <c r="BO51" i="9" s="1"/>
  <c r="BP51" i="9" s="1"/>
  <c r="BQ51" i="9" s="1"/>
  <c r="BR51" i="9" s="1"/>
  <c r="BS51" i="9" s="1"/>
  <c r="BT51" i="9" s="1"/>
  <c r="BU51" i="9" s="1"/>
  <c r="BE157" i="9"/>
  <c r="BF157" i="9" s="1"/>
  <c r="AA157" i="9"/>
  <c r="AB157" i="9" s="1"/>
  <c r="AC157" i="9" s="1"/>
  <c r="BG157" i="9" l="1"/>
  <c r="BH157" i="9" s="1"/>
  <c r="BI157" i="9" s="1"/>
  <c r="AD157" i="9"/>
  <c r="AE157" i="9" l="1"/>
  <c r="BJ157" i="9"/>
  <c r="BK157" i="9" l="1"/>
  <c r="AF157" i="9"/>
  <c r="AG157" i="9" s="1"/>
  <c r="AH157" i="9" s="1"/>
  <c r="BL157" i="9" l="1"/>
  <c r="BM157" i="9" s="1"/>
  <c r="BN157" i="9" s="1"/>
  <c r="AI157" i="9"/>
  <c r="AJ157" i="9" l="1"/>
  <c r="AK157" i="9" s="1"/>
  <c r="AL157" i="9" s="1"/>
  <c r="AM157" i="9" s="1"/>
  <c r="BO157" i="9"/>
  <c r="BP157" i="9" l="1"/>
  <c r="BQ157" i="9" s="1"/>
  <c r="BR157" i="9" s="1"/>
  <c r="BS157" i="9" s="1"/>
  <c r="AN157" i="9"/>
  <c r="AO157" i="9" s="1"/>
  <c r="AP157" i="9" s="1"/>
  <c r="BT157" i="9" l="1"/>
  <c r="BU157" i="9" s="1"/>
  <c r="B23" i="9" l="1"/>
  <c r="B34" i="9" s="1"/>
  <c r="B13" i="9"/>
  <c r="D25" i="9"/>
  <c r="D26" i="9"/>
  <c r="D27" i="9"/>
  <c r="D28" i="9"/>
  <c r="D29" i="9"/>
  <c r="D24" i="9"/>
  <c r="D15" i="9"/>
  <c r="D16" i="9"/>
  <c r="D17" i="9"/>
  <c r="D18" i="9"/>
  <c r="D19" i="9"/>
  <c r="D14" i="9"/>
  <c r="E25" i="9"/>
  <c r="E26" i="9"/>
  <c r="E27" i="9"/>
  <c r="E28" i="9"/>
  <c r="E29" i="9"/>
  <c r="E24" i="9"/>
  <c r="B33" i="9" l="1"/>
  <c r="A14" i="9"/>
  <c r="A28" i="9"/>
  <c r="A18" i="9"/>
  <c r="A25" i="9"/>
  <c r="A16" i="9"/>
  <c r="A15" i="9"/>
  <c r="A19" i="9"/>
  <c r="A17" i="9"/>
  <c r="A24" i="9"/>
  <c r="A27" i="9"/>
  <c r="A26" i="9"/>
  <c r="A29" i="9"/>
  <c r="O6" i="6" l="1"/>
  <c r="H14" i="6" l="1"/>
  <c r="M29" i="31" l="1"/>
  <c r="C5" i="5"/>
  <c r="U8" i="5" l="1"/>
  <c r="U3" i="5"/>
  <c r="J15" i="31"/>
  <c r="J60" i="31" s="1"/>
  <c r="J15" i="30"/>
  <c r="D9" i="25"/>
  <c r="G2" i="33"/>
  <c r="K7" i="56"/>
  <c r="D91" i="25"/>
  <c r="D52" i="25"/>
  <c r="I14" i="19"/>
  <c r="I14" i="29"/>
  <c r="O2" i="13"/>
  <c r="J15" i="48"/>
  <c r="A134" i="26"/>
  <c r="B22" i="53"/>
  <c r="A1" i="26"/>
  <c r="A35" i="26"/>
  <c r="A70" i="26"/>
  <c r="A103" i="26"/>
  <c r="C38" i="5"/>
  <c r="B21" i="53"/>
  <c r="A34" i="26"/>
  <c r="A102" i="26"/>
  <c r="A69" i="26"/>
  <c r="A2" i="26"/>
  <c r="J15" i="40"/>
  <c r="J15" i="52"/>
  <c r="J15" i="35"/>
  <c r="J281" i="31" l="1"/>
  <c r="K213" i="31"/>
  <c r="K155" i="31"/>
  <c r="M155" i="31" s="1"/>
  <c r="K147" i="31"/>
  <c r="M147" i="31" s="1"/>
  <c r="K216" i="31"/>
  <c r="K131" i="31"/>
  <c r="M131" i="31" s="1"/>
  <c r="K280" i="31"/>
  <c r="K173" i="31"/>
  <c r="M173" i="31" s="1"/>
  <c r="M175" i="31" s="1"/>
  <c r="E133" i="33" s="1"/>
  <c r="J282" i="31"/>
  <c r="K214" i="31"/>
  <c r="K121" i="31"/>
  <c r="M121" i="31" s="1"/>
  <c r="K144" i="31"/>
  <c r="M144" i="31" s="1"/>
  <c r="K217" i="31"/>
  <c r="K146" i="31"/>
  <c r="M146" i="31" s="1"/>
  <c r="K282" i="31"/>
  <c r="J280" i="31"/>
  <c r="K112" i="31"/>
  <c r="M112" i="31" s="1"/>
  <c r="K132" i="31"/>
  <c r="M132" i="31" s="1"/>
  <c r="K104" i="31"/>
  <c r="M104" i="31" s="1"/>
  <c r="M15" i="31"/>
  <c r="W248" i="31" s="1"/>
  <c r="J278" i="31"/>
  <c r="J276" i="31"/>
  <c r="J275" i="31"/>
  <c r="K107" i="31"/>
  <c r="M107" i="31" s="1"/>
  <c r="K100" i="31"/>
  <c r="M100" i="31" s="1"/>
  <c r="K113" i="31"/>
  <c r="M113" i="31" s="1"/>
  <c r="K99" i="31"/>
  <c r="M99" i="31" s="1"/>
  <c r="K119" i="31"/>
  <c r="M119" i="31" s="1"/>
  <c r="K105" i="31"/>
  <c r="M105" i="31" s="1"/>
  <c r="K140" i="31"/>
  <c r="M140" i="31" s="1"/>
  <c r="K278" i="31"/>
  <c r="K276" i="31"/>
  <c r="K218" i="31"/>
  <c r="K139" i="31"/>
  <c r="M139" i="31" s="1"/>
  <c r="K108" i="31"/>
  <c r="M108" i="31" s="1"/>
  <c r="K117" i="31"/>
  <c r="M117" i="31" s="1"/>
  <c r="K120" i="31"/>
  <c r="M120" i="31" s="1"/>
  <c r="K134" i="31"/>
  <c r="M134" i="31" s="1"/>
  <c r="K159" i="31"/>
  <c r="M159" i="31" s="1"/>
  <c r="K281" i="31"/>
  <c r="K143" i="31"/>
  <c r="M143" i="31" s="1"/>
  <c r="J21" i="31"/>
  <c r="M6" i="31" s="1"/>
  <c r="N6" i="31" s="1"/>
  <c r="K133" i="31"/>
  <c r="M133" i="31" s="1"/>
  <c r="K157" i="31"/>
  <c r="M157" i="31" s="1"/>
  <c r="K215" i="31"/>
  <c r="K116" i="31"/>
  <c r="M116" i="31" s="1"/>
  <c r="K152" i="31"/>
  <c r="K277" i="31"/>
  <c r="J22" i="31"/>
  <c r="K153" i="31"/>
  <c r="M153" i="31" s="1"/>
  <c r="K274" i="31"/>
  <c r="K275" i="31"/>
  <c r="J274" i="31"/>
  <c r="J277" i="31"/>
  <c r="K154" i="31"/>
  <c r="M154" i="31" s="1"/>
  <c r="K138" i="31"/>
  <c r="M138" i="31" s="1"/>
  <c r="J279" i="31"/>
  <c r="K145" i="31"/>
  <c r="M145" i="31" s="1"/>
  <c r="K101" i="31"/>
  <c r="M101" i="31" s="1"/>
  <c r="K156" i="31"/>
  <c r="M156" i="31" s="1"/>
  <c r="K118" i="31"/>
  <c r="M118" i="31" s="1"/>
  <c r="K106" i="31"/>
  <c r="M106" i="31" s="1"/>
  <c r="K279" i="31"/>
  <c r="J207" i="19"/>
  <c r="J114" i="19"/>
  <c r="J105" i="19"/>
  <c r="J108" i="19"/>
  <c r="I21" i="19"/>
  <c r="J210" i="19"/>
  <c r="J212" i="19"/>
  <c r="J209" i="19"/>
  <c r="I32" i="19"/>
  <c r="J208" i="19"/>
  <c r="J213" i="19"/>
  <c r="J104" i="19"/>
  <c r="J211" i="19"/>
  <c r="J106" i="19"/>
  <c r="J89" i="19"/>
  <c r="J74" i="19"/>
  <c r="L74" i="19" s="1"/>
  <c r="J73" i="19"/>
  <c r="L73" i="19" s="1"/>
  <c r="J206" i="19"/>
  <c r="J62" i="19"/>
  <c r="L62" i="19" s="1"/>
  <c r="J90" i="19"/>
  <c r="L90" i="19" s="1"/>
  <c r="J97" i="19"/>
  <c r="L97" i="19" s="1"/>
  <c r="J96" i="19"/>
  <c r="L96" i="19" s="1"/>
  <c r="J70" i="19"/>
  <c r="L70" i="19" s="1"/>
  <c r="J85" i="19"/>
  <c r="L85" i="19" s="1"/>
  <c r="J72" i="19"/>
  <c r="L72" i="19" s="1"/>
  <c r="J60" i="19"/>
  <c r="L60" i="19" s="1"/>
  <c r="J107" i="19"/>
  <c r="D22" i="25" s="1"/>
  <c r="J61" i="19"/>
  <c r="L61" i="19" s="1"/>
  <c r="J71" i="19"/>
  <c r="L71" i="19" s="1"/>
  <c r="J59" i="19"/>
  <c r="L59" i="19" s="1"/>
  <c r="J95" i="19"/>
  <c r="J137" i="19"/>
  <c r="L137" i="19" s="1"/>
  <c r="L139" i="19" s="1"/>
  <c r="J84" i="19"/>
  <c r="J58" i="19"/>
  <c r="L58" i="19" s="1"/>
  <c r="J91" i="19"/>
  <c r="L91" i="19" s="1"/>
  <c r="L14" i="19"/>
  <c r="J94" i="19"/>
  <c r="L94" i="19" s="1"/>
  <c r="J69" i="19"/>
  <c r="L69" i="19" s="1"/>
  <c r="O118" i="19"/>
  <c r="J116" i="19" s="1"/>
  <c r="L116" i="19" s="1"/>
  <c r="I207" i="19"/>
  <c r="J66" i="19"/>
  <c r="L66" i="19" s="1"/>
  <c r="I206" i="19"/>
  <c r="I213" i="19"/>
  <c r="I20" i="19"/>
  <c r="I46" i="19" s="1"/>
  <c r="I212" i="19"/>
  <c r="I209" i="19"/>
  <c r="I211" i="19"/>
  <c r="I210" i="19"/>
  <c r="J103" i="19"/>
  <c r="I208" i="19"/>
  <c r="J22" i="48"/>
  <c r="K277" i="48"/>
  <c r="K280" i="48"/>
  <c r="K276" i="48"/>
  <c r="K275" i="48"/>
  <c r="K278" i="48"/>
  <c r="K281" i="48"/>
  <c r="J60" i="48"/>
  <c r="K279" i="48"/>
  <c r="K282" i="48"/>
  <c r="M15" i="48"/>
  <c r="K152" i="48"/>
  <c r="K213" i="48"/>
  <c r="K132" i="48"/>
  <c r="M132" i="48" s="1"/>
  <c r="K104" i="48"/>
  <c r="M104" i="48" s="1"/>
  <c r="K157" i="48"/>
  <c r="M157" i="48" s="1"/>
  <c r="K274" i="48"/>
  <c r="K215" i="48"/>
  <c r="K216" i="48"/>
  <c r="K217" i="48"/>
  <c r="K153" i="48"/>
  <c r="M153" i="48" s="1"/>
  <c r="K133" i="48"/>
  <c r="M133" i="48" s="1"/>
  <c r="K99" i="48"/>
  <c r="M99" i="48" s="1"/>
  <c r="K105" i="48"/>
  <c r="M105" i="48" s="1"/>
  <c r="K113" i="48"/>
  <c r="M113" i="48" s="1"/>
  <c r="K107" i="48"/>
  <c r="M107" i="48" s="1"/>
  <c r="K154" i="48"/>
  <c r="M154" i="48" s="1"/>
  <c r="K144" i="48"/>
  <c r="K118" i="48"/>
  <c r="M118" i="48" s="1"/>
  <c r="K121" i="48"/>
  <c r="M121" i="48" s="1"/>
  <c r="K117" i="48"/>
  <c r="M117" i="48" s="1"/>
  <c r="K101" i="48"/>
  <c r="M101" i="48" s="1"/>
  <c r="K100" i="48"/>
  <c r="M100" i="48" s="1"/>
  <c r="K147" i="48"/>
  <c r="M147" i="48" s="1"/>
  <c r="K108" i="48"/>
  <c r="M108" i="48" s="1"/>
  <c r="K134" i="48"/>
  <c r="M134" i="48" s="1"/>
  <c r="K145" i="48"/>
  <c r="M145" i="48" s="1"/>
  <c r="K120" i="48"/>
  <c r="M120" i="48" s="1"/>
  <c r="K112" i="48"/>
  <c r="M112" i="48" s="1"/>
  <c r="K146" i="48"/>
  <c r="M146" i="48" s="1"/>
  <c r="K214" i="48"/>
  <c r="K131" i="48"/>
  <c r="M131" i="48" s="1"/>
  <c r="K140" i="48"/>
  <c r="M140" i="48" s="1"/>
  <c r="K139" i="48"/>
  <c r="M139" i="48" s="1"/>
  <c r="K159" i="48"/>
  <c r="M159" i="48" s="1"/>
  <c r="K173" i="48"/>
  <c r="M173" i="48" s="1"/>
  <c r="M175" i="48" s="1"/>
  <c r="K155" i="48"/>
  <c r="M155" i="48" s="1"/>
  <c r="K138" i="48"/>
  <c r="M138" i="48" s="1"/>
  <c r="K143" i="48"/>
  <c r="M143" i="48" s="1"/>
  <c r="J21" i="48"/>
  <c r="J275" i="48"/>
  <c r="J281" i="48"/>
  <c r="J282" i="48"/>
  <c r="J278" i="48"/>
  <c r="K116" i="48"/>
  <c r="M116" i="48" s="1"/>
  <c r="K218" i="48"/>
  <c r="K106" i="48"/>
  <c r="M106" i="48" s="1"/>
  <c r="J279" i="48"/>
  <c r="J277" i="48"/>
  <c r="K156" i="48"/>
  <c r="M156" i="48" s="1"/>
  <c r="J280" i="48"/>
  <c r="J274" i="48"/>
  <c r="J276" i="48"/>
  <c r="K119" i="48"/>
  <c r="M119" i="48" s="1"/>
  <c r="F105" i="33"/>
  <c r="F87" i="33"/>
  <c r="F146" i="33"/>
  <c r="F175" i="33"/>
  <c r="F132" i="33"/>
  <c r="F75" i="33"/>
  <c r="F118" i="33"/>
  <c r="F161" i="33"/>
  <c r="F103" i="33"/>
  <c r="F73" i="33"/>
  <c r="D54" i="25"/>
  <c r="D55" i="25" s="1"/>
  <c r="K257" i="35"/>
  <c r="K256" i="35"/>
  <c r="K263" i="35"/>
  <c r="K260" i="35"/>
  <c r="K259" i="35"/>
  <c r="J74" i="35"/>
  <c r="K262" i="35"/>
  <c r="M15" i="35"/>
  <c r="K255" i="35"/>
  <c r="J22" i="35"/>
  <c r="K258" i="35"/>
  <c r="K261" i="35"/>
  <c r="K252" i="35"/>
  <c r="K117" i="35"/>
  <c r="M117" i="35" s="1"/>
  <c r="K101" i="35"/>
  <c r="M101" i="35" s="1"/>
  <c r="K102" i="35"/>
  <c r="M102" i="35" s="1"/>
  <c r="K141" i="35"/>
  <c r="M141" i="35" s="1"/>
  <c r="K145" i="35"/>
  <c r="M145" i="35" s="1"/>
  <c r="K91" i="35"/>
  <c r="M91" i="35" s="1"/>
  <c r="K130" i="35"/>
  <c r="M130" i="35" s="1"/>
  <c r="K103" i="35"/>
  <c r="M103" i="35" s="1"/>
  <c r="K93" i="35"/>
  <c r="M93" i="35" s="1"/>
  <c r="J71" i="35"/>
  <c r="K71" i="35" s="1"/>
  <c r="M71" i="35" s="1"/>
  <c r="K128" i="35"/>
  <c r="K90" i="35"/>
  <c r="M90" i="35" s="1"/>
  <c r="K123" i="35"/>
  <c r="M123" i="35" s="1"/>
  <c r="K100" i="35"/>
  <c r="M100" i="35" s="1"/>
  <c r="K138" i="35"/>
  <c r="M138" i="35" s="1"/>
  <c r="K124" i="35"/>
  <c r="M124" i="35" s="1"/>
  <c r="K142" i="35"/>
  <c r="M142" i="35" s="1"/>
  <c r="K137" i="35"/>
  <c r="M137" i="35" s="1"/>
  <c r="J73" i="35"/>
  <c r="K73" i="35" s="1"/>
  <c r="M73" i="35" s="1"/>
  <c r="K159" i="35"/>
  <c r="M159" i="35" s="1"/>
  <c r="M161" i="35" s="1"/>
  <c r="K129" i="35"/>
  <c r="M129" i="35" s="1"/>
  <c r="K136" i="35"/>
  <c r="K116" i="35"/>
  <c r="M116" i="35" s="1"/>
  <c r="J72" i="35"/>
  <c r="K72" i="35" s="1"/>
  <c r="M72" i="35" s="1"/>
  <c r="K140" i="35"/>
  <c r="M140" i="35" s="1"/>
  <c r="K127" i="35"/>
  <c r="K143" i="35"/>
  <c r="M143" i="35" s="1"/>
  <c r="K105" i="35"/>
  <c r="M105" i="35" s="1"/>
  <c r="K104" i="35"/>
  <c r="M104" i="35" s="1"/>
  <c r="K89" i="35"/>
  <c r="M89" i="35" s="1"/>
  <c r="K131" i="35"/>
  <c r="M131" i="35" s="1"/>
  <c r="K97" i="35"/>
  <c r="M97" i="35" s="1"/>
  <c r="K118" i="35"/>
  <c r="M118" i="35" s="1"/>
  <c r="K115" i="35"/>
  <c r="M115" i="35" s="1"/>
  <c r="J261" i="35"/>
  <c r="J257" i="35"/>
  <c r="J263" i="35"/>
  <c r="J260" i="35"/>
  <c r="K122" i="35"/>
  <c r="M122" i="35" s="1"/>
  <c r="J255" i="35"/>
  <c r="J70" i="35"/>
  <c r="K70" i="35" s="1"/>
  <c r="M70" i="35" s="1"/>
  <c r="K144" i="35"/>
  <c r="M144" i="35" s="1"/>
  <c r="J256" i="35"/>
  <c r="J259" i="35"/>
  <c r="J252" i="35"/>
  <c r="J258" i="35"/>
  <c r="J262" i="35"/>
  <c r="K139" i="35"/>
  <c r="M139" i="35" s="1"/>
  <c r="K92" i="35"/>
  <c r="M92" i="35" s="1"/>
  <c r="J21" i="35"/>
  <c r="J51" i="35" s="1"/>
  <c r="M5" i="35" s="1"/>
  <c r="S188" i="13"/>
  <c r="S71" i="13"/>
  <c r="P101" i="13"/>
  <c r="V218" i="13"/>
  <c r="W71" i="13"/>
  <c r="S101" i="13"/>
  <c r="M71" i="13"/>
  <c r="U159" i="13"/>
  <c r="P218" i="13"/>
  <c r="T188" i="13"/>
  <c r="Y218" i="13"/>
  <c r="R43" i="13"/>
  <c r="O101" i="13"/>
  <c r="N43" i="13"/>
  <c r="N188" i="13"/>
  <c r="U43" i="13"/>
  <c r="P188" i="13"/>
  <c r="W188" i="13"/>
  <c r="O71" i="13"/>
  <c r="V188" i="13"/>
  <c r="X159" i="13"/>
  <c r="P130" i="13"/>
  <c r="Z188" i="13"/>
  <c r="Y188" i="13"/>
  <c r="U15" i="13"/>
  <c r="V71" i="13"/>
  <c r="S218" i="13"/>
  <c r="X43" i="13"/>
  <c r="Y71" i="13"/>
  <c r="N159" i="13"/>
  <c r="X101" i="13"/>
  <c r="P43" i="13"/>
  <c r="V130" i="13"/>
  <c r="W159" i="13"/>
  <c r="O218" i="13"/>
  <c r="V159" i="13"/>
  <c r="X188" i="13"/>
  <c r="N71" i="13"/>
  <c r="V43" i="13"/>
  <c r="O130" i="13"/>
  <c r="Y43" i="13"/>
  <c r="W218" i="13"/>
  <c r="Q188" i="13"/>
  <c r="R71" i="13"/>
  <c r="R159" i="13"/>
  <c r="U188" i="13"/>
  <c r="S130" i="13"/>
  <c r="O43" i="13"/>
  <c r="X71" i="13"/>
  <c r="S43" i="13"/>
  <c r="M43" i="13"/>
  <c r="U218" i="13"/>
  <c r="T71" i="13"/>
  <c r="Q43" i="13"/>
  <c r="W130" i="13"/>
  <c r="M188" i="13"/>
  <c r="Y101" i="13"/>
  <c r="T159" i="13"/>
  <c r="Q218" i="13"/>
  <c r="T15" i="13"/>
  <c r="V15" i="13"/>
  <c r="X15" i="13"/>
  <c r="Q101" i="13"/>
  <c r="Q130" i="13"/>
  <c r="N218" i="13"/>
  <c r="S15" i="13"/>
  <c r="T43" i="13"/>
  <c r="T130" i="13"/>
  <c r="M101" i="13"/>
  <c r="M15" i="13"/>
  <c r="U71" i="13"/>
  <c r="M159" i="13"/>
  <c r="Z218" i="13"/>
  <c r="O159" i="13"/>
  <c r="R130" i="13"/>
  <c r="X130" i="13"/>
  <c r="P15" i="13"/>
  <c r="R188" i="13"/>
  <c r="Z159" i="13"/>
  <c r="Q15" i="13"/>
  <c r="O15" i="13"/>
  <c r="Y159" i="13"/>
  <c r="M218" i="13"/>
  <c r="S159" i="13"/>
  <c r="Y15" i="13"/>
  <c r="Z15" i="13"/>
  <c r="N101" i="13"/>
  <c r="T218" i="13"/>
  <c r="Z71" i="13"/>
  <c r="O188" i="13"/>
  <c r="Z101" i="13"/>
  <c r="T101" i="13"/>
  <c r="Q159" i="13"/>
  <c r="R218" i="13"/>
  <c r="Q71" i="13"/>
  <c r="U130" i="13"/>
  <c r="P71" i="13"/>
  <c r="X218" i="13"/>
  <c r="V101" i="13"/>
  <c r="N15" i="13"/>
  <c r="Z43" i="13"/>
  <c r="J20" i="13"/>
  <c r="M130" i="13"/>
  <c r="Z130" i="13"/>
  <c r="R101" i="13"/>
  <c r="W15" i="13"/>
  <c r="W101" i="13"/>
  <c r="U101" i="13"/>
  <c r="W43" i="13"/>
  <c r="P159" i="13"/>
  <c r="K20" i="13"/>
  <c r="R15" i="13"/>
  <c r="N130" i="13"/>
  <c r="Y130" i="13"/>
  <c r="L15" i="13"/>
  <c r="L71" i="13"/>
  <c r="L218" i="13"/>
  <c r="L188" i="13"/>
  <c r="L101" i="13"/>
  <c r="L43" i="13"/>
  <c r="L130" i="13"/>
  <c r="L159" i="13"/>
  <c r="K253" i="40"/>
  <c r="K254" i="40"/>
  <c r="K259" i="40"/>
  <c r="K255" i="40"/>
  <c r="K251" i="40"/>
  <c r="K252" i="40"/>
  <c r="K257" i="40"/>
  <c r="K256" i="40"/>
  <c r="J22" i="40"/>
  <c r="K261" i="40"/>
  <c r="K260" i="40"/>
  <c r="K258" i="40"/>
  <c r="K127" i="40"/>
  <c r="M127" i="40" s="1"/>
  <c r="K250" i="40"/>
  <c r="K136" i="40"/>
  <c r="M136" i="40" s="1"/>
  <c r="K103" i="40"/>
  <c r="M103" i="40" s="1"/>
  <c r="K89" i="40"/>
  <c r="M89" i="40" s="1"/>
  <c r="K129" i="40"/>
  <c r="M129" i="40" s="1"/>
  <c r="K120" i="40"/>
  <c r="M120" i="40" s="1"/>
  <c r="K100" i="40"/>
  <c r="M100" i="40" s="1"/>
  <c r="K138" i="40"/>
  <c r="M138" i="40" s="1"/>
  <c r="K98" i="40"/>
  <c r="M98" i="40" s="1"/>
  <c r="K140" i="40"/>
  <c r="M140" i="40" s="1"/>
  <c r="K87" i="40"/>
  <c r="M87" i="40" s="1"/>
  <c r="K135" i="40"/>
  <c r="M135" i="40" s="1"/>
  <c r="K141" i="40"/>
  <c r="M141" i="40" s="1"/>
  <c r="K143" i="40"/>
  <c r="M143" i="40" s="1"/>
  <c r="K95" i="40"/>
  <c r="M95" i="40" s="1"/>
  <c r="K88" i="40"/>
  <c r="M88" i="40" s="1"/>
  <c r="K122" i="40"/>
  <c r="M122" i="40" s="1"/>
  <c r="K139" i="40"/>
  <c r="M139" i="40" s="1"/>
  <c r="K157" i="40"/>
  <c r="M157" i="40" s="1"/>
  <c r="M159" i="40" s="1"/>
  <c r="K101" i="40"/>
  <c r="M101" i="40" s="1"/>
  <c r="K99" i="40"/>
  <c r="M99" i="40" s="1"/>
  <c r="K90" i="40"/>
  <c r="M90" i="40" s="1"/>
  <c r="K102" i="40"/>
  <c r="M102" i="40" s="1"/>
  <c r="K114" i="40"/>
  <c r="M114" i="40" s="1"/>
  <c r="K128" i="40"/>
  <c r="M128" i="40" s="1"/>
  <c r="K134" i="40"/>
  <c r="K126" i="40"/>
  <c r="K115" i="40"/>
  <c r="M115" i="40" s="1"/>
  <c r="K137" i="40"/>
  <c r="M137" i="40" s="1"/>
  <c r="K142" i="40"/>
  <c r="M142" i="40" s="1"/>
  <c r="M15" i="40"/>
  <c r="K125" i="40"/>
  <c r="K116" i="40"/>
  <c r="M116" i="40" s="1"/>
  <c r="K121" i="40"/>
  <c r="M121" i="40" s="1"/>
  <c r="J259" i="40"/>
  <c r="J251" i="40"/>
  <c r="J21" i="40"/>
  <c r="J51" i="40" s="1"/>
  <c r="J257" i="40"/>
  <c r="J255" i="40"/>
  <c r="J258" i="40"/>
  <c r="J250" i="40"/>
  <c r="J253" i="40"/>
  <c r="K91" i="40"/>
  <c r="M91" i="40" s="1"/>
  <c r="J252" i="40"/>
  <c r="J254" i="40"/>
  <c r="J260" i="40"/>
  <c r="K113" i="40"/>
  <c r="M113" i="40" s="1"/>
  <c r="J261" i="40"/>
  <c r="J256" i="40"/>
  <c r="J22" i="52"/>
  <c r="K258" i="52"/>
  <c r="K254" i="52"/>
  <c r="K260" i="52"/>
  <c r="K257" i="52"/>
  <c r="K255" i="52"/>
  <c r="K253" i="52"/>
  <c r="K251" i="52"/>
  <c r="K259" i="52"/>
  <c r="K261" i="52"/>
  <c r="K252" i="52"/>
  <c r="K256" i="52"/>
  <c r="K140" i="52"/>
  <c r="M140" i="52" s="1"/>
  <c r="K88" i="52"/>
  <c r="M88" i="52" s="1"/>
  <c r="K91" i="52"/>
  <c r="M91" i="52" s="1"/>
  <c r="K138" i="52"/>
  <c r="M138" i="52" s="1"/>
  <c r="K139" i="52"/>
  <c r="M139" i="52" s="1"/>
  <c r="K98" i="52"/>
  <c r="M98" i="52" s="1"/>
  <c r="K127" i="52"/>
  <c r="M127" i="52" s="1"/>
  <c r="K116" i="52"/>
  <c r="M116" i="52" s="1"/>
  <c r="K100" i="52"/>
  <c r="M100" i="52" s="1"/>
  <c r="K115" i="52"/>
  <c r="M115" i="52" s="1"/>
  <c r="K129" i="52"/>
  <c r="M129" i="52" s="1"/>
  <c r="K102" i="52"/>
  <c r="M102" i="52" s="1"/>
  <c r="K99" i="52"/>
  <c r="M99" i="52" s="1"/>
  <c r="K103" i="52"/>
  <c r="M103" i="52" s="1"/>
  <c r="K114" i="52"/>
  <c r="M114" i="52" s="1"/>
  <c r="K142" i="52"/>
  <c r="M142" i="52" s="1"/>
  <c r="K143" i="52"/>
  <c r="M143" i="52" s="1"/>
  <c r="K250" i="52"/>
  <c r="K113" i="52"/>
  <c r="M113" i="52" s="1"/>
  <c r="K122" i="52"/>
  <c r="M122" i="52" s="1"/>
  <c r="K121" i="52"/>
  <c r="M121" i="52" s="1"/>
  <c r="K95" i="52"/>
  <c r="M95" i="52" s="1"/>
  <c r="K135" i="52"/>
  <c r="M135" i="52" s="1"/>
  <c r="K125" i="52"/>
  <c r="K89" i="52"/>
  <c r="M89" i="52" s="1"/>
  <c r="K101" i="52"/>
  <c r="M101" i="52" s="1"/>
  <c r="K136" i="52"/>
  <c r="M136" i="52" s="1"/>
  <c r="K126" i="52"/>
  <c r="K120" i="52"/>
  <c r="M120" i="52" s="1"/>
  <c r="K87" i="52"/>
  <c r="M87" i="52" s="1"/>
  <c r="M15" i="52"/>
  <c r="K157" i="52"/>
  <c r="M157" i="52" s="1"/>
  <c r="M159" i="52" s="1"/>
  <c r="K137" i="52"/>
  <c r="M137" i="52" s="1"/>
  <c r="K134" i="52"/>
  <c r="J21" i="52"/>
  <c r="J51" i="52" s="1"/>
  <c r="J258" i="52"/>
  <c r="J253" i="52"/>
  <c r="J260" i="52"/>
  <c r="J254" i="52"/>
  <c r="J255" i="52"/>
  <c r="J261" i="52"/>
  <c r="K141" i="52"/>
  <c r="M141" i="52" s="1"/>
  <c r="J251" i="52"/>
  <c r="J257" i="52"/>
  <c r="J252" i="52"/>
  <c r="J256" i="52"/>
  <c r="K128" i="52"/>
  <c r="M128" i="52" s="1"/>
  <c r="J250" i="52"/>
  <c r="J259" i="52"/>
  <c r="K90" i="52"/>
  <c r="M90" i="52" s="1"/>
  <c r="J213" i="29"/>
  <c r="I21" i="29"/>
  <c r="J209" i="29"/>
  <c r="J114" i="29"/>
  <c r="J106" i="29"/>
  <c r="J211" i="29"/>
  <c r="I32" i="29"/>
  <c r="J207" i="29"/>
  <c r="J210" i="29"/>
  <c r="J108" i="29"/>
  <c r="J104" i="29"/>
  <c r="J105" i="29"/>
  <c r="J212" i="29"/>
  <c r="J208" i="29"/>
  <c r="J91" i="29"/>
  <c r="L91" i="29" s="1"/>
  <c r="J206" i="29"/>
  <c r="J89" i="29"/>
  <c r="J72" i="29"/>
  <c r="L72" i="29" s="1"/>
  <c r="J71" i="29"/>
  <c r="L71" i="29" s="1"/>
  <c r="J90" i="29"/>
  <c r="L90" i="29" s="1"/>
  <c r="J70" i="29"/>
  <c r="L70" i="29" s="1"/>
  <c r="J59" i="29"/>
  <c r="L59" i="29" s="1"/>
  <c r="J85" i="29"/>
  <c r="L85" i="29" s="1"/>
  <c r="J96" i="29"/>
  <c r="L96" i="29" s="1"/>
  <c r="J60" i="29"/>
  <c r="L60" i="29" s="1"/>
  <c r="J73" i="29"/>
  <c r="L73" i="29" s="1"/>
  <c r="J74" i="29"/>
  <c r="L74" i="29" s="1"/>
  <c r="J66" i="29"/>
  <c r="L66" i="29" s="1"/>
  <c r="J107" i="29"/>
  <c r="D104" i="25" s="1"/>
  <c r="J61" i="29"/>
  <c r="L61" i="29" s="1"/>
  <c r="L14" i="29"/>
  <c r="J137" i="29"/>
  <c r="L137" i="29" s="1"/>
  <c r="L139" i="29" s="1"/>
  <c r="J62" i="29"/>
  <c r="L62" i="29" s="1"/>
  <c r="O118" i="29"/>
  <c r="J116" i="29" s="1"/>
  <c r="L116" i="29" s="1"/>
  <c r="J94" i="29"/>
  <c r="L94" i="29" s="1"/>
  <c r="J97" i="29"/>
  <c r="L97" i="29" s="1"/>
  <c r="J69" i="29"/>
  <c r="L69" i="29" s="1"/>
  <c r="I210" i="29"/>
  <c r="I208" i="29"/>
  <c r="I212" i="29"/>
  <c r="J58" i="29"/>
  <c r="L58" i="29" s="1"/>
  <c r="I207" i="29"/>
  <c r="I213" i="29"/>
  <c r="J95" i="29"/>
  <c r="J84" i="29"/>
  <c r="I211" i="29"/>
  <c r="J103" i="29"/>
  <c r="I20" i="29"/>
  <c r="I46" i="29" s="1"/>
  <c r="I206" i="29"/>
  <c r="I209" i="29"/>
  <c r="K258" i="30"/>
  <c r="K255" i="30"/>
  <c r="K261" i="30"/>
  <c r="K256" i="30"/>
  <c r="K253" i="30"/>
  <c r="J22" i="30"/>
  <c r="K260" i="30"/>
  <c r="M15" i="30"/>
  <c r="K252" i="30"/>
  <c r="K254" i="30"/>
  <c r="K251" i="30"/>
  <c r="K259" i="30"/>
  <c r="K257" i="30"/>
  <c r="K121" i="30"/>
  <c r="M121" i="30" s="1"/>
  <c r="K120" i="30"/>
  <c r="M120" i="30" s="1"/>
  <c r="K250" i="30"/>
  <c r="K98" i="30"/>
  <c r="M98" i="30" s="1"/>
  <c r="K136" i="30"/>
  <c r="M136" i="30" s="1"/>
  <c r="K126" i="30"/>
  <c r="K142" i="30"/>
  <c r="M142" i="30" s="1"/>
  <c r="K143" i="30"/>
  <c r="M143" i="30" s="1"/>
  <c r="K90" i="30"/>
  <c r="M90" i="30" s="1"/>
  <c r="K87" i="30"/>
  <c r="M87" i="30" s="1"/>
  <c r="K128" i="30"/>
  <c r="M128" i="30" s="1"/>
  <c r="K114" i="30"/>
  <c r="M114" i="30" s="1"/>
  <c r="K116" i="30"/>
  <c r="M116" i="30" s="1"/>
  <c r="K140" i="30"/>
  <c r="M140" i="30" s="1"/>
  <c r="K127" i="30"/>
  <c r="M127" i="30" s="1"/>
  <c r="K99" i="30"/>
  <c r="M99" i="30" s="1"/>
  <c r="K135" i="30"/>
  <c r="M135" i="30" s="1"/>
  <c r="K115" i="30"/>
  <c r="M115" i="30" s="1"/>
  <c r="K100" i="30"/>
  <c r="M100" i="30" s="1"/>
  <c r="K101" i="30"/>
  <c r="M101" i="30" s="1"/>
  <c r="K122" i="30"/>
  <c r="M122" i="30" s="1"/>
  <c r="K88" i="30"/>
  <c r="M88" i="30" s="1"/>
  <c r="K139" i="30"/>
  <c r="M139" i="30" s="1"/>
  <c r="K129" i="30"/>
  <c r="M129" i="30" s="1"/>
  <c r="K91" i="30"/>
  <c r="M91" i="30" s="1"/>
  <c r="K89" i="30"/>
  <c r="M89" i="30" s="1"/>
  <c r="K141" i="30"/>
  <c r="M141" i="30" s="1"/>
  <c r="K125" i="30"/>
  <c r="K138" i="30"/>
  <c r="M138" i="30" s="1"/>
  <c r="K137" i="30"/>
  <c r="M137" i="30" s="1"/>
  <c r="K102" i="30"/>
  <c r="M102" i="30" s="1"/>
  <c r="K95" i="30"/>
  <c r="M95" i="30" s="1"/>
  <c r="K134" i="30"/>
  <c r="J255" i="30"/>
  <c r="K103" i="30"/>
  <c r="M103" i="30" s="1"/>
  <c r="J257" i="30"/>
  <c r="J254" i="30"/>
  <c r="J260" i="30"/>
  <c r="J259" i="30"/>
  <c r="J250" i="30"/>
  <c r="J261" i="30"/>
  <c r="K113" i="30"/>
  <c r="M113" i="30" s="1"/>
  <c r="K157" i="30"/>
  <c r="M157" i="30" s="1"/>
  <c r="J258" i="30"/>
  <c r="J253" i="30"/>
  <c r="J21" i="30"/>
  <c r="J51" i="30" s="1"/>
  <c r="J251" i="30"/>
  <c r="J252" i="30"/>
  <c r="J256" i="30"/>
  <c r="F161" i="9" l="1"/>
  <c r="F175" i="9" s="1"/>
  <c r="G175" i="9" s="1"/>
  <c r="H175" i="9" s="1"/>
  <c r="I175" i="9" s="1"/>
  <c r="F194" i="9"/>
  <c r="F208" i="9" s="1"/>
  <c r="G208" i="9" s="1"/>
  <c r="H208" i="9" s="1"/>
  <c r="I208" i="9" s="1"/>
  <c r="F199" i="9"/>
  <c r="G199" i="9" s="1"/>
  <c r="H199" i="9" s="1"/>
  <c r="I199" i="9" s="1"/>
  <c r="F16" i="9"/>
  <c r="F26" i="9" s="1"/>
  <c r="G26" i="9" s="1"/>
  <c r="H26" i="9" s="1"/>
  <c r="I26" i="9" s="1"/>
  <c r="F104" i="9"/>
  <c r="G104" i="9" s="1"/>
  <c r="H104" i="9" s="1"/>
  <c r="I104" i="9" s="1"/>
  <c r="X248" i="31"/>
  <c r="F193" i="9"/>
  <c r="G193" i="9" s="1"/>
  <c r="H193" i="9" s="1"/>
  <c r="I193" i="9" s="1"/>
  <c r="F77" i="9"/>
  <c r="G77" i="9" s="1"/>
  <c r="H77" i="9" s="1"/>
  <c r="I77" i="9" s="1"/>
  <c r="F43" i="9"/>
  <c r="G43" i="9" s="1"/>
  <c r="H43" i="9" s="1"/>
  <c r="I43" i="9" s="1"/>
  <c r="F100" i="9"/>
  <c r="F114" i="9" s="1"/>
  <c r="G114" i="9" s="1"/>
  <c r="H114" i="9" s="1"/>
  <c r="I114" i="9" s="1"/>
  <c r="M9" i="31"/>
  <c r="N9" i="31" s="1"/>
  <c r="J217" i="31" s="1"/>
  <c r="M217" i="31" s="1"/>
  <c r="J63" i="31"/>
  <c r="M10" i="31"/>
  <c r="N10" i="31" s="1"/>
  <c r="J90" i="31" s="1"/>
  <c r="K63" i="31"/>
  <c r="M7" i="31"/>
  <c r="N7" i="31" s="1"/>
  <c r="K71" i="31" s="1"/>
  <c r="M71" i="31" s="1"/>
  <c r="M5" i="31"/>
  <c r="N5" i="31" s="1"/>
  <c r="M8" i="31"/>
  <c r="N8" i="31" s="1"/>
  <c r="K72" i="31" s="1"/>
  <c r="M72" i="31" s="1"/>
  <c r="F225" i="9"/>
  <c r="F236" i="9" s="1"/>
  <c r="G236" i="9" s="1"/>
  <c r="H236" i="9" s="1"/>
  <c r="I236" i="9" s="1"/>
  <c r="Z248" i="31"/>
  <c r="N248" i="31"/>
  <c r="V248" i="31"/>
  <c r="F130" i="9"/>
  <c r="G130" i="9" s="1"/>
  <c r="H130" i="9" s="1"/>
  <c r="I130" i="9" s="1"/>
  <c r="Y248" i="31"/>
  <c r="L248" i="31"/>
  <c r="M248" i="31"/>
  <c r="M136" i="31"/>
  <c r="E129" i="33" s="1"/>
  <c r="F129" i="33" s="1"/>
  <c r="Q248" i="31"/>
  <c r="R248" i="31"/>
  <c r="P248" i="31"/>
  <c r="S248" i="31"/>
  <c r="K178" i="31"/>
  <c r="M178" i="31" s="1"/>
  <c r="U248" i="31"/>
  <c r="T248" i="31"/>
  <c r="F129" i="9"/>
  <c r="G129" i="9" s="1"/>
  <c r="H129" i="9" s="1"/>
  <c r="I129" i="9" s="1"/>
  <c r="O248" i="31"/>
  <c r="F137" i="9"/>
  <c r="F148" i="9" s="1"/>
  <c r="G148" i="9" s="1"/>
  <c r="H148" i="9" s="1"/>
  <c r="I148" i="9" s="1"/>
  <c r="F136" i="9"/>
  <c r="G136" i="9" s="1"/>
  <c r="H136" i="9" s="1"/>
  <c r="I136" i="9" s="1"/>
  <c r="K283" i="31"/>
  <c r="K284" i="31" s="1"/>
  <c r="F135" i="9"/>
  <c r="F146" i="9" s="1"/>
  <c r="G146" i="9" s="1"/>
  <c r="H146" i="9" s="1"/>
  <c r="I146" i="9" s="1"/>
  <c r="F132" i="9"/>
  <c r="K161" i="31"/>
  <c r="M161" i="31" s="1"/>
  <c r="K181" i="31"/>
  <c r="M181" i="31" s="1"/>
  <c r="J283" i="31"/>
  <c r="J284" i="31" s="1"/>
  <c r="K179" i="31"/>
  <c r="M179" i="31" s="1"/>
  <c r="M152" i="31"/>
  <c r="O258" i="31"/>
  <c r="O132" i="13" s="1"/>
  <c r="R258" i="31"/>
  <c r="R132" i="13" s="1"/>
  <c r="W258" i="31"/>
  <c r="W132" i="13" s="1"/>
  <c r="Y258" i="31"/>
  <c r="Y132" i="13" s="1"/>
  <c r="L258" i="31"/>
  <c r="L132" i="13" s="1"/>
  <c r="P258" i="31"/>
  <c r="P132" i="13" s="1"/>
  <c r="U258" i="31"/>
  <c r="U132" i="13" s="1"/>
  <c r="S258" i="31"/>
  <c r="S132" i="13" s="1"/>
  <c r="Z258" i="31"/>
  <c r="Z132" i="13" s="1"/>
  <c r="M258" i="31"/>
  <c r="M132" i="13" s="1"/>
  <c r="T258" i="31"/>
  <c r="T132" i="13" s="1"/>
  <c r="Q258" i="31"/>
  <c r="Q132" i="13" s="1"/>
  <c r="N258" i="31"/>
  <c r="N132" i="13" s="1"/>
  <c r="V258" i="31"/>
  <c r="V132" i="13" s="1"/>
  <c r="X258" i="31"/>
  <c r="X132" i="13" s="1"/>
  <c r="K180" i="31"/>
  <c r="M180" i="31" s="1"/>
  <c r="F134" i="9"/>
  <c r="F133" i="9"/>
  <c r="K148" i="31"/>
  <c r="K149" i="31" s="1"/>
  <c r="M149" i="31" s="1"/>
  <c r="F131" i="9"/>
  <c r="F142" i="9" s="1"/>
  <c r="G142" i="9" s="1"/>
  <c r="H142" i="9" s="1"/>
  <c r="I142" i="9" s="1"/>
  <c r="M148" i="31"/>
  <c r="F101" i="9"/>
  <c r="G101" i="9" s="1"/>
  <c r="H101" i="9" s="1"/>
  <c r="I101" i="9" s="1"/>
  <c r="F15" i="9"/>
  <c r="G15" i="9" s="1"/>
  <c r="H15" i="9" s="1"/>
  <c r="I15" i="9" s="1"/>
  <c r="F105" i="9"/>
  <c r="G105" i="9" s="1"/>
  <c r="H105" i="9" s="1"/>
  <c r="I105" i="9" s="1"/>
  <c r="F163" i="9"/>
  <c r="G163" i="9" s="1"/>
  <c r="H163" i="9" s="1"/>
  <c r="I163" i="9" s="1"/>
  <c r="M136" i="48"/>
  <c r="E172" i="33" s="1"/>
  <c r="F172" i="33" s="1"/>
  <c r="F226" i="9"/>
  <c r="G226" i="9" s="1"/>
  <c r="H226" i="9" s="1"/>
  <c r="I226" i="9" s="1"/>
  <c r="F162" i="9"/>
  <c r="F176" i="9" s="1"/>
  <c r="G176" i="9" s="1"/>
  <c r="H176" i="9" s="1"/>
  <c r="I176" i="9" s="1"/>
  <c r="F195" i="9"/>
  <c r="G195" i="9" s="1"/>
  <c r="H195" i="9" s="1"/>
  <c r="I195" i="9" s="1"/>
  <c r="F21" i="9"/>
  <c r="F31" i="9" s="1"/>
  <c r="G31" i="9" s="1"/>
  <c r="H31" i="9" s="1"/>
  <c r="I31" i="9" s="1"/>
  <c r="F47" i="9"/>
  <c r="G47" i="9" s="1"/>
  <c r="H47" i="9" s="1"/>
  <c r="I47" i="9" s="1"/>
  <c r="F97" i="9"/>
  <c r="G97" i="9" s="1"/>
  <c r="H97" i="9" s="1"/>
  <c r="I97" i="9" s="1"/>
  <c r="F20" i="9"/>
  <c r="G20" i="9" s="1"/>
  <c r="H20" i="9" s="1"/>
  <c r="I20" i="9" s="1"/>
  <c r="F18" i="9"/>
  <c r="G18" i="9" s="1"/>
  <c r="H18" i="9" s="1"/>
  <c r="I18" i="9" s="1"/>
  <c r="F103" i="9"/>
  <c r="G103" i="9" s="1"/>
  <c r="H103" i="9" s="1"/>
  <c r="I103" i="9" s="1"/>
  <c r="F197" i="9"/>
  <c r="F211" i="9" s="1"/>
  <c r="G211" i="9" s="1"/>
  <c r="H211" i="9" s="1"/>
  <c r="I211" i="9" s="1"/>
  <c r="F160" i="9"/>
  <c r="F174" i="9" s="1"/>
  <c r="G174" i="9" s="1"/>
  <c r="H174" i="9" s="1"/>
  <c r="I174" i="9" s="1"/>
  <c r="F44" i="9"/>
  <c r="G44" i="9" s="1"/>
  <c r="H44" i="9" s="1"/>
  <c r="I44" i="9" s="1"/>
  <c r="F196" i="9"/>
  <c r="G196" i="9" s="1"/>
  <c r="H196" i="9" s="1"/>
  <c r="I196" i="9" s="1"/>
  <c r="F76" i="9"/>
  <c r="G76" i="9" s="1"/>
  <c r="H76" i="9" s="1"/>
  <c r="I76" i="9" s="1"/>
  <c r="F79" i="9"/>
  <c r="F89" i="9" s="1"/>
  <c r="G89" i="9" s="1"/>
  <c r="H89" i="9" s="1"/>
  <c r="I89" i="9" s="1"/>
  <c r="F42" i="9"/>
  <c r="G42" i="9" s="1"/>
  <c r="H42" i="9" s="1"/>
  <c r="I42" i="9" s="1"/>
  <c r="F191" i="9"/>
  <c r="F205" i="9" s="1"/>
  <c r="G205" i="9" s="1"/>
  <c r="H205" i="9" s="1"/>
  <c r="I205" i="9" s="1"/>
  <c r="AA218" i="13"/>
  <c r="F166" i="9"/>
  <c r="F180" i="9" s="1"/>
  <c r="G180" i="9" s="1"/>
  <c r="H180" i="9" s="1"/>
  <c r="I180" i="9" s="1"/>
  <c r="F106" i="9"/>
  <c r="F120" i="9" s="1"/>
  <c r="G120" i="9" s="1"/>
  <c r="H120" i="9" s="1"/>
  <c r="I120" i="9" s="1"/>
  <c r="F73" i="9"/>
  <c r="F83" i="9" s="1"/>
  <c r="G83" i="9" s="1"/>
  <c r="H83" i="9" s="1"/>
  <c r="I83" i="9" s="1"/>
  <c r="F46" i="9"/>
  <c r="F60" i="9" s="1"/>
  <c r="G60" i="9" s="1"/>
  <c r="H60" i="9" s="1"/>
  <c r="I60" i="9" s="1"/>
  <c r="F198" i="9"/>
  <c r="F212" i="9" s="1"/>
  <c r="G212" i="9" s="1"/>
  <c r="H212" i="9" s="1"/>
  <c r="I212" i="9" s="1"/>
  <c r="F224" i="9"/>
  <c r="G224" i="9" s="1"/>
  <c r="H224" i="9" s="1"/>
  <c r="I224" i="9" s="1"/>
  <c r="F222" i="9"/>
  <c r="G222" i="9" s="1"/>
  <c r="H222" i="9" s="1"/>
  <c r="I222" i="9" s="1"/>
  <c r="O127" i="52"/>
  <c r="M125" i="52"/>
  <c r="F200" i="9"/>
  <c r="N189" i="19"/>
  <c r="S189" i="19"/>
  <c r="E74" i="33"/>
  <c r="O189" i="19"/>
  <c r="K189" i="19"/>
  <c r="W189" i="19"/>
  <c r="Y189" i="19"/>
  <c r="M189" i="19"/>
  <c r="Q189" i="19"/>
  <c r="X189" i="19"/>
  <c r="V189" i="19"/>
  <c r="R189" i="19"/>
  <c r="P189" i="19"/>
  <c r="T189" i="19"/>
  <c r="L189" i="19"/>
  <c r="U189" i="19"/>
  <c r="M10" i="30"/>
  <c r="N10" i="30" s="1"/>
  <c r="M7" i="30"/>
  <c r="N7" i="30" s="1"/>
  <c r="M9" i="30"/>
  <c r="N9" i="30" s="1"/>
  <c r="M8" i="30"/>
  <c r="N8" i="30" s="1"/>
  <c r="M5" i="30"/>
  <c r="M6" i="30"/>
  <c r="N6" i="30" s="1"/>
  <c r="W225" i="52"/>
  <c r="L225" i="52"/>
  <c r="X225" i="52"/>
  <c r="V225" i="52"/>
  <c r="Q225" i="52"/>
  <c r="R225" i="52"/>
  <c r="Y225" i="52"/>
  <c r="O225" i="52"/>
  <c r="U225" i="52"/>
  <c r="N225" i="52"/>
  <c r="Z225" i="52"/>
  <c r="T225" i="52"/>
  <c r="P225" i="52"/>
  <c r="M225" i="52"/>
  <c r="S225" i="52"/>
  <c r="L225" i="40"/>
  <c r="W225" i="40"/>
  <c r="Q225" i="40"/>
  <c r="O225" i="40"/>
  <c r="P225" i="40"/>
  <c r="M225" i="40"/>
  <c r="T225" i="40"/>
  <c r="X225" i="40"/>
  <c r="U225" i="40"/>
  <c r="S225" i="40"/>
  <c r="Z225" i="40"/>
  <c r="Y225" i="40"/>
  <c r="N225" i="40"/>
  <c r="R225" i="40"/>
  <c r="V225" i="40"/>
  <c r="AA71" i="13"/>
  <c r="F164" i="9"/>
  <c r="M136" i="35"/>
  <c r="K147" i="35"/>
  <c r="J63" i="48"/>
  <c r="K63" i="48"/>
  <c r="M9" i="48"/>
  <c r="N9" i="48" s="1"/>
  <c r="M7" i="48"/>
  <c r="N7" i="48" s="1"/>
  <c r="M10" i="48"/>
  <c r="N10" i="48" s="1"/>
  <c r="M6" i="48"/>
  <c r="N6" i="48" s="1"/>
  <c r="M8" i="48"/>
  <c r="N8" i="48" s="1"/>
  <c r="M5" i="48"/>
  <c r="F19" i="9"/>
  <c r="X190" i="19"/>
  <c r="L190" i="19"/>
  <c r="S190" i="19"/>
  <c r="U190" i="19"/>
  <c r="Y190" i="19"/>
  <c r="O190" i="19"/>
  <c r="T190" i="19"/>
  <c r="W190" i="19"/>
  <c r="P190" i="19"/>
  <c r="V190" i="19"/>
  <c r="M190" i="19"/>
  <c r="R190" i="19"/>
  <c r="N190" i="19"/>
  <c r="Q190" i="19"/>
  <c r="K190" i="19"/>
  <c r="D28" i="25" s="1"/>
  <c r="L95" i="19"/>
  <c r="L98" i="19" s="1"/>
  <c r="J98" i="19"/>
  <c r="J99" i="19" s="1"/>
  <c r="L99" i="19" s="1"/>
  <c r="J92" i="19"/>
  <c r="L89" i="19"/>
  <c r="F99" i="9"/>
  <c r="L95" i="29"/>
  <c r="L98" i="29" s="1"/>
  <c r="J98" i="29"/>
  <c r="J99" i="29" s="1"/>
  <c r="L99" i="29" s="1"/>
  <c r="F45" i="9"/>
  <c r="F49" i="9"/>
  <c r="AA15" i="13"/>
  <c r="J264" i="35"/>
  <c r="J265" i="35" s="1"/>
  <c r="F156" i="9"/>
  <c r="F167" i="9"/>
  <c r="K283" i="48"/>
  <c r="K284" i="48" s="1"/>
  <c r="F17" i="9"/>
  <c r="S234" i="52"/>
  <c r="V234" i="52"/>
  <c r="L234" i="52"/>
  <c r="N234" i="52"/>
  <c r="R234" i="52"/>
  <c r="Y234" i="52"/>
  <c r="M234" i="52"/>
  <c r="W234" i="52"/>
  <c r="Z234" i="52"/>
  <c r="U234" i="52"/>
  <c r="P234" i="52"/>
  <c r="Q234" i="52"/>
  <c r="X234" i="52"/>
  <c r="T234" i="52"/>
  <c r="O234" i="52"/>
  <c r="E88" i="33"/>
  <c r="O127" i="40"/>
  <c r="M125" i="40"/>
  <c r="O127" i="30"/>
  <c r="M125" i="30"/>
  <c r="F41" i="9"/>
  <c r="F75" i="9"/>
  <c r="V190" i="29"/>
  <c r="N190" i="29"/>
  <c r="P190" i="29"/>
  <c r="X190" i="29"/>
  <c r="O190" i="29"/>
  <c r="L190" i="29"/>
  <c r="T190" i="29"/>
  <c r="S190" i="29"/>
  <c r="W190" i="29"/>
  <c r="M190" i="29"/>
  <c r="U190" i="29"/>
  <c r="Y190" i="29"/>
  <c r="Q190" i="29"/>
  <c r="R190" i="29"/>
  <c r="K190" i="29"/>
  <c r="D110" i="25" s="1"/>
  <c r="K130" i="52"/>
  <c r="K131" i="52" s="1"/>
  <c r="M131" i="52" s="1"/>
  <c r="M126" i="52"/>
  <c r="I214" i="29"/>
  <c r="I215" i="29" s="1"/>
  <c r="F72" i="9"/>
  <c r="D97" i="25"/>
  <c r="L89" i="29"/>
  <c r="J92" i="29"/>
  <c r="F40" i="9"/>
  <c r="M9" i="52"/>
  <c r="N9" i="52" s="1"/>
  <c r="M7" i="52"/>
  <c r="N7" i="52" s="1"/>
  <c r="M10" i="52"/>
  <c r="N10" i="52" s="1"/>
  <c r="M6" i="52"/>
  <c r="N6" i="52" s="1"/>
  <c r="M5" i="52"/>
  <c r="M8" i="52"/>
  <c r="N8" i="52" s="1"/>
  <c r="M126" i="40"/>
  <c r="K130" i="40"/>
  <c r="K131" i="40" s="1"/>
  <c r="M131" i="40" s="1"/>
  <c r="Q234" i="40"/>
  <c r="V234" i="40"/>
  <c r="S234" i="40"/>
  <c r="X234" i="40"/>
  <c r="L234" i="40"/>
  <c r="U234" i="40"/>
  <c r="Y234" i="40"/>
  <c r="W234" i="40"/>
  <c r="T234" i="40"/>
  <c r="Z234" i="40"/>
  <c r="M234" i="40"/>
  <c r="R234" i="40"/>
  <c r="O234" i="40"/>
  <c r="P234" i="40"/>
  <c r="N234" i="40"/>
  <c r="E162" i="33"/>
  <c r="J86" i="31"/>
  <c r="J214" i="31"/>
  <c r="M214" i="31" s="1"/>
  <c r="K86" i="31"/>
  <c r="M86" i="31" s="1"/>
  <c r="K70" i="31"/>
  <c r="M70" i="31" s="1"/>
  <c r="AA43" i="13"/>
  <c r="M11" i="35"/>
  <c r="N5" i="35"/>
  <c r="M127" i="35"/>
  <c r="O129" i="35"/>
  <c r="J283" i="48"/>
  <c r="K178" i="48"/>
  <c r="M178" i="48" s="1"/>
  <c r="F221" i="9"/>
  <c r="Z258" i="48"/>
  <c r="Z220" i="13" s="1"/>
  <c r="E176" i="33"/>
  <c r="S258" i="48"/>
  <c r="S220" i="13" s="1"/>
  <c r="P258" i="48"/>
  <c r="P220" i="13" s="1"/>
  <c r="R258" i="48"/>
  <c r="R220" i="13" s="1"/>
  <c r="U258" i="48"/>
  <c r="U220" i="13" s="1"/>
  <c r="N258" i="48"/>
  <c r="N220" i="13" s="1"/>
  <c r="W258" i="48"/>
  <c r="W220" i="13" s="1"/>
  <c r="Y258" i="48"/>
  <c r="Y220" i="13" s="1"/>
  <c r="M258" i="48"/>
  <c r="M220" i="13" s="1"/>
  <c r="O258" i="48"/>
  <c r="O220" i="13" s="1"/>
  <c r="T258" i="48"/>
  <c r="T220" i="13" s="1"/>
  <c r="V258" i="48"/>
  <c r="V220" i="13" s="1"/>
  <c r="Q258" i="48"/>
  <c r="Q220" i="13" s="1"/>
  <c r="L258" i="48"/>
  <c r="L220" i="13" s="1"/>
  <c r="X258" i="48"/>
  <c r="X220" i="13" s="1"/>
  <c r="K130" i="30"/>
  <c r="K131" i="30" s="1"/>
  <c r="M131" i="30" s="1"/>
  <c r="M126" i="30"/>
  <c r="M6" i="40"/>
  <c r="N6" i="40" s="1"/>
  <c r="M7" i="40"/>
  <c r="N7" i="40" s="1"/>
  <c r="M10" i="40"/>
  <c r="N10" i="40" s="1"/>
  <c r="M9" i="40"/>
  <c r="N9" i="40" s="1"/>
  <c r="M8" i="40"/>
  <c r="N8" i="40" s="1"/>
  <c r="M5" i="40"/>
  <c r="E119" i="33"/>
  <c r="M159" i="30"/>
  <c r="K262" i="30"/>
  <c r="V225" i="30"/>
  <c r="Y225" i="30"/>
  <c r="R225" i="30"/>
  <c r="S225" i="30"/>
  <c r="N225" i="30"/>
  <c r="L225" i="30"/>
  <c r="T225" i="30"/>
  <c r="W225" i="30"/>
  <c r="M225" i="30"/>
  <c r="Z225" i="30"/>
  <c r="X225" i="30"/>
  <c r="Q225" i="30"/>
  <c r="U225" i="30"/>
  <c r="P225" i="30"/>
  <c r="O225" i="30"/>
  <c r="AA130" i="13"/>
  <c r="F165" i="9"/>
  <c r="M128" i="35"/>
  <c r="K132" i="35"/>
  <c r="K133" i="35" s="1"/>
  <c r="M133" i="35" s="1"/>
  <c r="Z227" i="35"/>
  <c r="T227" i="35"/>
  <c r="Q227" i="35"/>
  <c r="O227" i="35"/>
  <c r="L227" i="35"/>
  <c r="Y227" i="35"/>
  <c r="U227" i="35"/>
  <c r="X227" i="35"/>
  <c r="S227" i="35"/>
  <c r="R227" i="35"/>
  <c r="N227" i="35"/>
  <c r="V227" i="35"/>
  <c r="P227" i="35"/>
  <c r="M227" i="35"/>
  <c r="W227" i="35"/>
  <c r="K179" i="48"/>
  <c r="M179" i="48" s="1"/>
  <c r="F223" i="9"/>
  <c r="T184" i="19"/>
  <c r="L184" i="19"/>
  <c r="U184" i="19"/>
  <c r="P184" i="19"/>
  <c r="V184" i="19"/>
  <c r="Q184" i="19"/>
  <c r="O184" i="19"/>
  <c r="R184" i="19"/>
  <c r="K184" i="19"/>
  <c r="N184" i="19"/>
  <c r="X184" i="19"/>
  <c r="S184" i="19"/>
  <c r="M184" i="19"/>
  <c r="W184" i="19"/>
  <c r="Y184" i="19"/>
  <c r="F107" i="9"/>
  <c r="K7" i="29"/>
  <c r="L7" i="29" s="1"/>
  <c r="K9" i="29"/>
  <c r="L9" i="29" s="1"/>
  <c r="I53" i="29" s="1"/>
  <c r="J53" i="29" s="1"/>
  <c r="L53" i="29" s="1"/>
  <c r="K6" i="29"/>
  <c r="L6" i="29" s="1"/>
  <c r="K8" i="29"/>
  <c r="L8" i="29" s="1"/>
  <c r="K5" i="29"/>
  <c r="F78" i="9"/>
  <c r="L189" i="29"/>
  <c r="K189" i="29"/>
  <c r="E104" i="33"/>
  <c r="U189" i="29"/>
  <c r="Q189" i="29"/>
  <c r="M189" i="29"/>
  <c r="V189" i="29"/>
  <c r="S189" i="29"/>
  <c r="X189" i="29"/>
  <c r="R189" i="29"/>
  <c r="N189" i="29"/>
  <c r="Y189" i="29"/>
  <c r="O189" i="29"/>
  <c r="T189" i="29"/>
  <c r="W189" i="29"/>
  <c r="P189" i="29"/>
  <c r="J214" i="29"/>
  <c r="J215" i="29" s="1"/>
  <c r="M134" i="52"/>
  <c r="K145" i="52"/>
  <c r="K262" i="52"/>
  <c r="F192" i="9"/>
  <c r="M134" i="40"/>
  <c r="K145" i="40"/>
  <c r="AA101" i="13"/>
  <c r="K180" i="48"/>
  <c r="M180" i="48" s="1"/>
  <c r="F227" i="9"/>
  <c r="F229" i="9"/>
  <c r="I214" i="19"/>
  <c r="F14" i="9"/>
  <c r="D15" i="25"/>
  <c r="J214" i="19"/>
  <c r="J262" i="52"/>
  <c r="J263" i="52" s="1"/>
  <c r="J266" i="52" s="1"/>
  <c r="F39" i="9"/>
  <c r="F133" i="33"/>
  <c r="T248" i="48"/>
  <c r="V248" i="48"/>
  <c r="X248" i="48"/>
  <c r="L248" i="48"/>
  <c r="Y248" i="48"/>
  <c r="M248" i="48"/>
  <c r="U248" i="48"/>
  <c r="Q248" i="48"/>
  <c r="W248" i="48"/>
  <c r="P248" i="48"/>
  <c r="N248" i="48"/>
  <c r="R248" i="48"/>
  <c r="S248" i="48"/>
  <c r="Z248" i="48"/>
  <c r="O248" i="48"/>
  <c r="J86" i="29"/>
  <c r="L84" i="29"/>
  <c r="L86" i="29" s="1"/>
  <c r="AA159" i="13"/>
  <c r="L236" i="35"/>
  <c r="M236" i="35"/>
  <c r="E147" i="33"/>
  <c r="F190" i="9"/>
  <c r="K9" i="19"/>
  <c r="L9" i="19" s="1"/>
  <c r="I53" i="19" s="1"/>
  <c r="J53" i="19" s="1"/>
  <c r="L53" i="19" s="1"/>
  <c r="K7" i="19"/>
  <c r="L7" i="19" s="1"/>
  <c r="K5" i="19"/>
  <c r="K6" i="19"/>
  <c r="L6" i="19" s="1"/>
  <c r="K8" i="19"/>
  <c r="L8" i="19" s="1"/>
  <c r="F102" i="9"/>
  <c r="M134" i="30"/>
  <c r="K145" i="30"/>
  <c r="F98" i="9"/>
  <c r="J262" i="30"/>
  <c r="J263" i="30" s="1"/>
  <c r="J266" i="30" s="1"/>
  <c r="F96" i="9"/>
  <c r="J110" i="29"/>
  <c r="F74" i="9"/>
  <c r="X184" i="29"/>
  <c r="U184" i="29"/>
  <c r="N184" i="29"/>
  <c r="M184" i="29"/>
  <c r="Y184" i="29"/>
  <c r="T184" i="29"/>
  <c r="P184" i="29"/>
  <c r="K184" i="29"/>
  <c r="O184" i="29"/>
  <c r="W184" i="29"/>
  <c r="Q184" i="29"/>
  <c r="R184" i="29"/>
  <c r="S184" i="29"/>
  <c r="V184" i="29"/>
  <c r="L184" i="29"/>
  <c r="F48" i="9"/>
  <c r="F50" i="9"/>
  <c r="J262" i="40"/>
  <c r="F189" i="9"/>
  <c r="K262" i="40"/>
  <c r="K263" i="40" s="1"/>
  <c r="K266" i="40" s="1"/>
  <c r="AA188" i="13"/>
  <c r="F159" i="9"/>
  <c r="K264" i="35"/>
  <c r="K265" i="35" s="1"/>
  <c r="K181" i="48"/>
  <c r="M181" i="48" s="1"/>
  <c r="F228" i="9"/>
  <c r="M144" i="48"/>
  <c r="M148" i="48" s="1"/>
  <c r="K148" i="48"/>
  <c r="K149" i="48" s="1"/>
  <c r="M149" i="48" s="1"/>
  <c r="K161" i="48"/>
  <c r="M152" i="48"/>
  <c r="J110" i="19"/>
  <c r="J86" i="19"/>
  <c r="L84" i="19"/>
  <c r="L86" i="19" s="1"/>
  <c r="G161" i="9" l="1"/>
  <c r="H161" i="9" s="1"/>
  <c r="I161" i="9" s="1"/>
  <c r="L161" i="9" s="1"/>
  <c r="M161" i="9" s="1"/>
  <c r="N161" i="9" s="1"/>
  <c r="G194" i="9"/>
  <c r="H194" i="9" s="1"/>
  <c r="I194" i="9" s="1"/>
  <c r="L194" i="9" s="1"/>
  <c r="M194" i="9" s="1"/>
  <c r="F213" i="9"/>
  <c r="G213" i="9" s="1"/>
  <c r="H213" i="9" s="1"/>
  <c r="I213" i="9" s="1"/>
  <c r="AM213" i="9" s="1"/>
  <c r="G16" i="9"/>
  <c r="H16" i="9" s="1"/>
  <c r="I16" i="9" s="1"/>
  <c r="L16" i="9" s="1"/>
  <c r="F118" i="9"/>
  <c r="G118" i="9" s="1"/>
  <c r="H118" i="9" s="1"/>
  <c r="I118" i="9" s="1"/>
  <c r="AC118" i="9" s="1"/>
  <c r="F57" i="9"/>
  <c r="G57" i="9" s="1"/>
  <c r="H57" i="9" s="1"/>
  <c r="I57" i="9" s="1"/>
  <c r="Y57" i="9" s="1"/>
  <c r="F87" i="9"/>
  <c r="G87" i="9" s="1"/>
  <c r="H87" i="9" s="1"/>
  <c r="I87" i="9" s="1"/>
  <c r="AG87" i="9" s="1"/>
  <c r="F207" i="9"/>
  <c r="G207" i="9" s="1"/>
  <c r="H207" i="9" s="1"/>
  <c r="I207" i="9" s="1"/>
  <c r="X207" i="9" s="1"/>
  <c r="G100" i="9"/>
  <c r="H100" i="9" s="1"/>
  <c r="I100" i="9" s="1"/>
  <c r="L100" i="9" s="1"/>
  <c r="M100" i="9" s="1"/>
  <c r="J89" i="31"/>
  <c r="K89" i="31"/>
  <c r="M89" i="31" s="1"/>
  <c r="K73" i="31"/>
  <c r="M73" i="31" s="1"/>
  <c r="K74" i="31"/>
  <c r="K124" i="31" s="1"/>
  <c r="M124" i="31" s="1"/>
  <c r="K90" i="31"/>
  <c r="J87" i="31"/>
  <c r="J218" i="31"/>
  <c r="M218" i="31" s="1"/>
  <c r="K87" i="31"/>
  <c r="M87" i="31" s="1"/>
  <c r="J215" i="31"/>
  <c r="M215" i="31" s="1"/>
  <c r="K88" i="31"/>
  <c r="M88" i="31" s="1"/>
  <c r="J216" i="31"/>
  <c r="M216" i="31" s="1"/>
  <c r="G225" i="9"/>
  <c r="H225" i="9" s="1"/>
  <c r="I225" i="9" s="1"/>
  <c r="L225" i="9" s="1"/>
  <c r="J88" i="31"/>
  <c r="M11" i="31"/>
  <c r="L28" i="31" s="1"/>
  <c r="M28" i="31" s="1"/>
  <c r="F141" i="9"/>
  <c r="G141" i="9" s="1"/>
  <c r="H141" i="9" s="1"/>
  <c r="I141" i="9" s="1"/>
  <c r="AL141" i="9" s="1"/>
  <c r="G137" i="9"/>
  <c r="H137" i="9" s="1"/>
  <c r="I137" i="9" s="1"/>
  <c r="L137" i="9" s="1"/>
  <c r="AR137" i="9" s="1"/>
  <c r="G135" i="9"/>
  <c r="H135" i="9" s="1"/>
  <c r="I135" i="9" s="1"/>
  <c r="L135" i="9" s="1"/>
  <c r="M135" i="9" s="1"/>
  <c r="F140" i="9"/>
  <c r="G140" i="9" s="1"/>
  <c r="H140" i="9" s="1"/>
  <c r="I140" i="9" s="1"/>
  <c r="Y140" i="9" s="1"/>
  <c r="F147" i="9"/>
  <c r="G147" i="9" s="1"/>
  <c r="H147" i="9" s="1"/>
  <c r="I147" i="9" s="1"/>
  <c r="Q147" i="9" s="1"/>
  <c r="J287" i="31"/>
  <c r="J289" i="31" s="1"/>
  <c r="G131" i="9"/>
  <c r="H131" i="9" s="1"/>
  <c r="I131" i="9" s="1"/>
  <c r="L131" i="9" s="1"/>
  <c r="AR131" i="9" s="1"/>
  <c r="K162" i="31"/>
  <c r="K80" i="31"/>
  <c r="K163" i="31"/>
  <c r="M150" i="31"/>
  <c r="T263" i="31" s="1"/>
  <c r="F177" i="9"/>
  <c r="G177" i="9" s="1"/>
  <c r="H177" i="9" s="1"/>
  <c r="I177" i="9" s="1"/>
  <c r="AH177" i="9" s="1"/>
  <c r="K287" i="31"/>
  <c r="K289" i="31" s="1"/>
  <c r="G132" i="9"/>
  <c r="H132" i="9" s="1"/>
  <c r="I132" i="9" s="1"/>
  <c r="L132" i="9" s="1"/>
  <c r="F143" i="9"/>
  <c r="G143" i="9" s="1"/>
  <c r="H143" i="9" s="1"/>
  <c r="I143" i="9" s="1"/>
  <c r="AA132" i="13"/>
  <c r="F119" i="9"/>
  <c r="G119" i="9" s="1"/>
  <c r="H119" i="9" s="1"/>
  <c r="I119" i="9" s="1"/>
  <c r="AB119" i="9" s="1"/>
  <c r="F25" i="9"/>
  <c r="G25" i="9" s="1"/>
  <c r="H25" i="9" s="1"/>
  <c r="I25" i="9" s="1"/>
  <c r="AL25" i="9" s="1"/>
  <c r="F115" i="9"/>
  <c r="G115" i="9" s="1"/>
  <c r="H115" i="9" s="1"/>
  <c r="I115" i="9" s="1"/>
  <c r="AA115" i="9" s="1"/>
  <c r="F144" i="9"/>
  <c r="G144" i="9" s="1"/>
  <c r="H144" i="9" s="1"/>
  <c r="I144" i="9" s="1"/>
  <c r="G133" i="9"/>
  <c r="H133" i="9" s="1"/>
  <c r="I133" i="9" s="1"/>
  <c r="L133" i="9" s="1"/>
  <c r="AR133" i="9" s="1"/>
  <c r="G134" i="9"/>
  <c r="H134" i="9" s="1"/>
  <c r="I134" i="9" s="1"/>
  <c r="L134" i="9" s="1"/>
  <c r="AR134" i="9" s="1"/>
  <c r="F145" i="9"/>
  <c r="G145" i="9" s="1"/>
  <c r="H145" i="9" s="1"/>
  <c r="I145" i="9" s="1"/>
  <c r="F237" i="9"/>
  <c r="G237" i="9" s="1"/>
  <c r="H237" i="9" s="1"/>
  <c r="I237" i="9" s="1"/>
  <c r="M237" i="9" s="1"/>
  <c r="G162" i="9"/>
  <c r="H162" i="9" s="1"/>
  <c r="I162" i="9" s="1"/>
  <c r="L162" i="9" s="1"/>
  <c r="F111" i="9"/>
  <c r="G111" i="9" s="1"/>
  <c r="H111" i="9" s="1"/>
  <c r="I111" i="9" s="1"/>
  <c r="AI111" i="9" s="1"/>
  <c r="G21" i="9"/>
  <c r="H21" i="9" s="1"/>
  <c r="I21" i="9" s="1"/>
  <c r="L21" i="9" s="1"/>
  <c r="F209" i="9"/>
  <c r="G209" i="9" s="1"/>
  <c r="H209" i="9" s="1"/>
  <c r="I209" i="9" s="1"/>
  <c r="P209" i="9" s="1"/>
  <c r="G198" i="9"/>
  <c r="H198" i="9" s="1"/>
  <c r="I198" i="9" s="1"/>
  <c r="L198" i="9" s="1"/>
  <c r="M198" i="9" s="1"/>
  <c r="F61" i="9"/>
  <c r="G61" i="9" s="1"/>
  <c r="H61" i="9" s="1"/>
  <c r="I61" i="9" s="1"/>
  <c r="Z61" i="9" s="1"/>
  <c r="F210" i="9"/>
  <c r="G210" i="9" s="1"/>
  <c r="H210" i="9" s="1"/>
  <c r="I210" i="9" s="1"/>
  <c r="M210" i="9" s="1"/>
  <c r="T73" i="13"/>
  <c r="F28" i="9"/>
  <c r="G28" i="9" s="1"/>
  <c r="H28" i="9" s="1"/>
  <c r="I28" i="9" s="1"/>
  <c r="Q28" i="9" s="1"/>
  <c r="F30" i="9"/>
  <c r="G30" i="9" s="1"/>
  <c r="H30" i="9" s="1"/>
  <c r="I30" i="9" s="1"/>
  <c r="AJ30" i="9" s="1"/>
  <c r="G197" i="9"/>
  <c r="H197" i="9" s="1"/>
  <c r="I197" i="9" s="1"/>
  <c r="L197" i="9" s="1"/>
  <c r="V73" i="13"/>
  <c r="F58" i="9"/>
  <c r="G58" i="9" s="1"/>
  <c r="H58" i="9" s="1"/>
  <c r="I58" i="9" s="1"/>
  <c r="S58" i="9" s="1"/>
  <c r="Q73" i="13"/>
  <c r="G106" i="9"/>
  <c r="H106" i="9" s="1"/>
  <c r="I106" i="9" s="1"/>
  <c r="L106" i="9" s="1"/>
  <c r="M106" i="9" s="1"/>
  <c r="G160" i="9"/>
  <c r="H160" i="9" s="1"/>
  <c r="I160" i="9" s="1"/>
  <c r="L160" i="9" s="1"/>
  <c r="AR160" i="9" s="1"/>
  <c r="F117" i="9"/>
  <c r="G117" i="9" s="1"/>
  <c r="H117" i="9" s="1"/>
  <c r="I117" i="9" s="1"/>
  <c r="AL117" i="9" s="1"/>
  <c r="G46" i="9"/>
  <c r="H46" i="9" s="1"/>
  <c r="I46" i="9" s="1"/>
  <c r="L46" i="9" s="1"/>
  <c r="M46" i="9" s="1"/>
  <c r="V17" i="13"/>
  <c r="G166" i="9"/>
  <c r="H166" i="9" s="1"/>
  <c r="I166" i="9" s="1"/>
  <c r="L166" i="9" s="1"/>
  <c r="U73" i="13"/>
  <c r="X73" i="13"/>
  <c r="W73" i="13"/>
  <c r="N73" i="13"/>
  <c r="F233" i="9"/>
  <c r="G233" i="9" s="1"/>
  <c r="H233" i="9" s="1"/>
  <c r="I233" i="9" s="1"/>
  <c r="AE233" i="9" s="1"/>
  <c r="F235" i="9"/>
  <c r="G235" i="9" s="1"/>
  <c r="H235" i="9" s="1"/>
  <c r="I235" i="9" s="1"/>
  <c r="AF235" i="9" s="1"/>
  <c r="G79" i="9"/>
  <c r="H79" i="9" s="1"/>
  <c r="I79" i="9" s="1"/>
  <c r="L79" i="9" s="1"/>
  <c r="M79" i="9" s="1"/>
  <c r="L100" i="19"/>
  <c r="L195" i="19" s="1"/>
  <c r="G191" i="9"/>
  <c r="H191" i="9" s="1"/>
  <c r="I191" i="9" s="1"/>
  <c r="L191" i="9" s="1"/>
  <c r="J268" i="30"/>
  <c r="L100" i="29"/>
  <c r="M195" i="29" s="1"/>
  <c r="R17" i="13"/>
  <c r="O17" i="13"/>
  <c r="M130" i="52"/>
  <c r="M132" i="52" s="1"/>
  <c r="M239" i="52" s="1"/>
  <c r="K263" i="52"/>
  <c r="Z17" i="13"/>
  <c r="K268" i="35"/>
  <c r="K270" i="35" s="1"/>
  <c r="G73" i="9"/>
  <c r="H73" i="9" s="1"/>
  <c r="I73" i="9" s="1"/>
  <c r="L73" i="9" s="1"/>
  <c r="F56" i="9"/>
  <c r="G56" i="9" s="1"/>
  <c r="H56" i="9" s="1"/>
  <c r="I56" i="9" s="1"/>
  <c r="R56" i="9" s="1"/>
  <c r="F86" i="9"/>
  <c r="G86" i="9" s="1"/>
  <c r="H86" i="9" s="1"/>
  <c r="I86" i="9" s="1"/>
  <c r="U86" i="9" s="1"/>
  <c r="J284" i="48"/>
  <c r="J287" i="48" s="1"/>
  <c r="M130" i="30"/>
  <c r="M132" i="30" s="1"/>
  <c r="Z239" i="30" s="1"/>
  <c r="J268" i="35"/>
  <c r="J218" i="29"/>
  <c r="J220" i="29" s="1"/>
  <c r="L199" i="9"/>
  <c r="K72" i="48"/>
  <c r="M72" i="48" s="1"/>
  <c r="J88" i="48"/>
  <c r="J216" i="48"/>
  <c r="M216" i="48" s="1"/>
  <c r="K88" i="48"/>
  <c r="M88" i="48" s="1"/>
  <c r="J74" i="30"/>
  <c r="K62" i="30"/>
  <c r="L103" i="9"/>
  <c r="G72" i="9"/>
  <c r="H72" i="9" s="1"/>
  <c r="I72" i="9" s="1"/>
  <c r="F82" i="9"/>
  <c r="G82" i="9" s="1"/>
  <c r="H82" i="9" s="1"/>
  <c r="I82" i="9" s="1"/>
  <c r="G17" i="9"/>
  <c r="H17" i="9" s="1"/>
  <c r="I17" i="9" s="1"/>
  <c r="F27" i="9"/>
  <c r="G27" i="9" s="1"/>
  <c r="H27" i="9" s="1"/>
  <c r="I27" i="9" s="1"/>
  <c r="F63" i="9"/>
  <c r="G63" i="9" s="1"/>
  <c r="H63" i="9" s="1"/>
  <c r="I63" i="9" s="1"/>
  <c r="G49" i="9"/>
  <c r="H49" i="9" s="1"/>
  <c r="I49" i="9" s="1"/>
  <c r="AA220" i="13"/>
  <c r="AH236" i="9"/>
  <c r="V236" i="9"/>
  <c r="Y236" i="9"/>
  <c r="AJ236" i="9"/>
  <c r="O236" i="9"/>
  <c r="AA236" i="9"/>
  <c r="AB236" i="9"/>
  <c r="Q236" i="9"/>
  <c r="W236" i="9"/>
  <c r="X236" i="9"/>
  <c r="AG236" i="9"/>
  <c r="AN236" i="9"/>
  <c r="AI236" i="9"/>
  <c r="AM236" i="9"/>
  <c r="M236" i="9"/>
  <c r="R236" i="9"/>
  <c r="AL236" i="9"/>
  <c r="P236" i="9"/>
  <c r="AO236" i="9"/>
  <c r="AK236" i="9"/>
  <c r="AF236" i="9"/>
  <c r="AD236" i="9"/>
  <c r="U236" i="9"/>
  <c r="AE236" i="9"/>
  <c r="AC236" i="9"/>
  <c r="T236" i="9"/>
  <c r="N236" i="9"/>
  <c r="S236" i="9"/>
  <c r="L236" i="9"/>
  <c r="Z236" i="9"/>
  <c r="V212" i="9"/>
  <c r="AK212" i="9"/>
  <c r="AN212" i="9"/>
  <c r="AB212" i="9"/>
  <c r="P212" i="9"/>
  <c r="O212" i="9"/>
  <c r="AL212" i="9"/>
  <c r="Q212" i="9"/>
  <c r="AC212" i="9"/>
  <c r="R212" i="9"/>
  <c r="N212" i="9"/>
  <c r="W212" i="9"/>
  <c r="AJ212" i="9"/>
  <c r="AI212" i="9"/>
  <c r="AE212" i="9"/>
  <c r="X212" i="9"/>
  <c r="S212" i="9"/>
  <c r="M212" i="9"/>
  <c r="AO212" i="9"/>
  <c r="U212" i="9"/>
  <c r="AA212" i="9"/>
  <c r="AH212" i="9"/>
  <c r="AD212" i="9"/>
  <c r="Z212" i="9"/>
  <c r="AG212" i="9"/>
  <c r="AM212" i="9"/>
  <c r="Y212" i="9"/>
  <c r="L212" i="9"/>
  <c r="T212" i="9"/>
  <c r="AF212" i="9"/>
  <c r="K59" i="52"/>
  <c r="M59" i="52" s="1"/>
  <c r="J71" i="52"/>
  <c r="K71" i="52" s="1"/>
  <c r="M71" i="52" s="1"/>
  <c r="Q205" i="9"/>
  <c r="AJ205" i="9"/>
  <c r="R205" i="9"/>
  <c r="AH205" i="9"/>
  <c r="AL205" i="9"/>
  <c r="S205" i="9"/>
  <c r="AB205" i="9"/>
  <c r="W205" i="9"/>
  <c r="AM205" i="9"/>
  <c r="X205" i="9"/>
  <c r="P205" i="9"/>
  <c r="AC205" i="9"/>
  <c r="V205" i="9"/>
  <c r="AI205" i="9"/>
  <c r="Y205" i="9"/>
  <c r="O205" i="9"/>
  <c r="AO205" i="9"/>
  <c r="AN205" i="9"/>
  <c r="AE205" i="9"/>
  <c r="N205" i="9"/>
  <c r="M205" i="9"/>
  <c r="AK205" i="9"/>
  <c r="U205" i="9"/>
  <c r="T205" i="9"/>
  <c r="AD205" i="9"/>
  <c r="Z205" i="9"/>
  <c r="AA205" i="9"/>
  <c r="AF205" i="9"/>
  <c r="AG205" i="9"/>
  <c r="L205" i="9"/>
  <c r="AR205" i="9" s="1"/>
  <c r="L43" i="9"/>
  <c r="AR43" i="9" s="1"/>
  <c r="F181" i="9"/>
  <c r="G181" i="9" s="1"/>
  <c r="H181" i="9" s="1"/>
  <c r="I181" i="9" s="1"/>
  <c r="G167" i="9"/>
  <c r="H167" i="9" s="1"/>
  <c r="I167" i="9" s="1"/>
  <c r="F59" i="9"/>
  <c r="G59" i="9" s="1"/>
  <c r="H59" i="9" s="1"/>
  <c r="I59" i="9" s="1"/>
  <c r="G45" i="9"/>
  <c r="H45" i="9" s="1"/>
  <c r="I45" i="9" s="1"/>
  <c r="K90" i="48"/>
  <c r="J90" i="48"/>
  <c r="J218" i="48"/>
  <c r="M218" i="48" s="1"/>
  <c r="K74" i="48"/>
  <c r="M147" i="35"/>
  <c r="K148" i="35"/>
  <c r="K149" i="35"/>
  <c r="K202" i="35"/>
  <c r="M202" i="35" s="1"/>
  <c r="M204" i="35" s="1"/>
  <c r="S208" i="9"/>
  <c r="V208" i="9"/>
  <c r="U208" i="9"/>
  <c r="Y208" i="9"/>
  <c r="Z208" i="9"/>
  <c r="AK208" i="9"/>
  <c r="W208" i="9"/>
  <c r="O208" i="9"/>
  <c r="X208" i="9"/>
  <c r="AE208" i="9"/>
  <c r="AG208" i="9"/>
  <c r="AL208" i="9"/>
  <c r="AB208" i="9"/>
  <c r="AJ208" i="9"/>
  <c r="AM208" i="9"/>
  <c r="R208" i="9"/>
  <c r="N208" i="9"/>
  <c r="M208" i="9"/>
  <c r="Q208" i="9"/>
  <c r="AI208" i="9"/>
  <c r="AF208" i="9"/>
  <c r="AA208" i="9"/>
  <c r="AN208" i="9"/>
  <c r="AH208" i="9"/>
  <c r="P208" i="9"/>
  <c r="AC208" i="9"/>
  <c r="AD208" i="9"/>
  <c r="T208" i="9"/>
  <c r="AO208" i="9"/>
  <c r="L208" i="9"/>
  <c r="M17" i="13"/>
  <c r="L224" i="9"/>
  <c r="M224" i="9" s="1"/>
  <c r="P146" i="9"/>
  <c r="X146" i="9"/>
  <c r="T146" i="9"/>
  <c r="AB146" i="9"/>
  <c r="AN146" i="9"/>
  <c r="N146" i="9"/>
  <c r="Y146" i="9"/>
  <c r="AI146" i="9"/>
  <c r="Q146" i="9"/>
  <c r="AM146" i="9"/>
  <c r="AG146" i="9"/>
  <c r="AO146" i="9"/>
  <c r="W146" i="9"/>
  <c r="M146" i="9"/>
  <c r="AA146" i="9"/>
  <c r="AF146" i="9"/>
  <c r="AK146" i="9"/>
  <c r="R146" i="9"/>
  <c r="U146" i="9"/>
  <c r="S146" i="9"/>
  <c r="V146" i="9"/>
  <c r="Z146" i="9"/>
  <c r="O146" i="9"/>
  <c r="AC146" i="9"/>
  <c r="AD146" i="9"/>
  <c r="AH146" i="9"/>
  <c r="AE146" i="9"/>
  <c r="AJ146" i="9"/>
  <c r="AL146" i="9"/>
  <c r="L146" i="9"/>
  <c r="AR146" i="9" s="1"/>
  <c r="G159" i="9"/>
  <c r="H159" i="9" s="1"/>
  <c r="I159" i="9" s="1"/>
  <c r="F173" i="9"/>
  <c r="G173" i="9" s="1"/>
  <c r="H173" i="9" s="1"/>
  <c r="I173" i="9" s="1"/>
  <c r="J263" i="40"/>
  <c r="L110" i="29"/>
  <c r="E101" i="33" s="1"/>
  <c r="I162" i="29"/>
  <c r="J111" i="29"/>
  <c r="J162" i="29" s="1"/>
  <c r="L162" i="29" s="1"/>
  <c r="L163" i="9"/>
  <c r="AR163" i="9" s="1"/>
  <c r="J268" i="52"/>
  <c r="J215" i="19"/>
  <c r="J218" i="19" s="1"/>
  <c r="J220" i="19" s="1"/>
  <c r="I215" i="19"/>
  <c r="M145" i="40"/>
  <c r="K147" i="40"/>
  <c r="K146" i="40"/>
  <c r="K200" i="40"/>
  <c r="M200" i="40" s="1"/>
  <c r="M202" i="40" s="1"/>
  <c r="P73" i="13"/>
  <c r="R73" i="13"/>
  <c r="J36" i="29"/>
  <c r="I50" i="29"/>
  <c r="J50" i="29" s="1"/>
  <c r="L50" i="29" s="1"/>
  <c r="N5" i="40"/>
  <c r="M11" i="40"/>
  <c r="X148" i="9"/>
  <c r="AL148" i="9"/>
  <c r="AO148" i="9"/>
  <c r="AB148" i="9"/>
  <c r="AI148" i="9"/>
  <c r="W148" i="9"/>
  <c r="AK148" i="9"/>
  <c r="V148" i="9"/>
  <c r="Z148" i="9"/>
  <c r="S148" i="9"/>
  <c r="AE148" i="9"/>
  <c r="AG148" i="9"/>
  <c r="AJ148" i="9"/>
  <c r="AH148" i="9"/>
  <c r="T148" i="9"/>
  <c r="M148" i="9"/>
  <c r="AN148" i="9"/>
  <c r="AD148" i="9"/>
  <c r="N148" i="9"/>
  <c r="AF148" i="9"/>
  <c r="R148" i="9"/>
  <c r="AM148" i="9"/>
  <c r="O148" i="9"/>
  <c r="AC148" i="9"/>
  <c r="Q148" i="9"/>
  <c r="U148" i="9"/>
  <c r="AA148" i="9"/>
  <c r="Y148" i="9"/>
  <c r="P148" i="9"/>
  <c r="L148" i="9"/>
  <c r="AR148" i="9" s="1"/>
  <c r="Z264" i="31"/>
  <c r="N264" i="31"/>
  <c r="M264" i="31"/>
  <c r="S264" i="31"/>
  <c r="L264" i="31"/>
  <c r="X264" i="31"/>
  <c r="W264" i="31"/>
  <c r="R264" i="31"/>
  <c r="T264" i="31"/>
  <c r="V264" i="31"/>
  <c r="Q264" i="31"/>
  <c r="O264" i="31"/>
  <c r="P264" i="31"/>
  <c r="U264" i="31"/>
  <c r="Y264" i="31"/>
  <c r="E131" i="33"/>
  <c r="L130" i="9"/>
  <c r="AR130" i="9" s="1"/>
  <c r="K61" i="52"/>
  <c r="M61" i="52" s="1"/>
  <c r="J73" i="52"/>
  <c r="K73" i="52" s="1"/>
  <c r="M73" i="52" s="1"/>
  <c r="I218" i="29"/>
  <c r="I220" i="29" s="1"/>
  <c r="AI180" i="9"/>
  <c r="Y180" i="9"/>
  <c r="AM180" i="9"/>
  <c r="P180" i="9"/>
  <c r="Z180" i="9"/>
  <c r="O180" i="9"/>
  <c r="AK180" i="9"/>
  <c r="AB180" i="9"/>
  <c r="S180" i="9"/>
  <c r="T180" i="9"/>
  <c r="AC180" i="9"/>
  <c r="X180" i="9"/>
  <c r="AJ180" i="9"/>
  <c r="V180" i="9"/>
  <c r="AE180" i="9"/>
  <c r="AG180" i="9"/>
  <c r="Q180" i="9"/>
  <c r="AD180" i="9"/>
  <c r="AL180" i="9"/>
  <c r="M180" i="9"/>
  <c r="N180" i="9"/>
  <c r="AN180" i="9"/>
  <c r="W180" i="9"/>
  <c r="AH180" i="9"/>
  <c r="U180" i="9"/>
  <c r="AA180" i="9"/>
  <c r="R180" i="9"/>
  <c r="AO180" i="9"/>
  <c r="AF180" i="9"/>
  <c r="L180" i="9"/>
  <c r="AR180" i="9" s="1"/>
  <c r="K287" i="48"/>
  <c r="K289" i="48" s="1"/>
  <c r="F170" i="9"/>
  <c r="G170" i="9" s="1"/>
  <c r="H170" i="9" s="1"/>
  <c r="I170" i="9" s="1"/>
  <c r="G156" i="9"/>
  <c r="H156" i="9" s="1"/>
  <c r="I156" i="9" s="1"/>
  <c r="F29" i="9"/>
  <c r="G29" i="9" s="1"/>
  <c r="H29" i="9" s="1"/>
  <c r="I29" i="9" s="1"/>
  <c r="G19" i="9"/>
  <c r="H19" i="9" s="1"/>
  <c r="I19" i="9" s="1"/>
  <c r="J87" i="48"/>
  <c r="J215" i="48"/>
  <c r="M215" i="48" s="1"/>
  <c r="K71" i="48"/>
  <c r="M71" i="48" s="1"/>
  <c r="K87" i="48"/>
  <c r="M87" i="48" s="1"/>
  <c r="J70" i="30"/>
  <c r="K70" i="30" s="1"/>
  <c r="M70" i="30" s="1"/>
  <c r="K58" i="30"/>
  <c r="M58" i="30" s="1"/>
  <c r="U17" i="13"/>
  <c r="X17" i="13"/>
  <c r="L44" i="9"/>
  <c r="AR44" i="9" s="1"/>
  <c r="N234" i="30"/>
  <c r="R234" i="30"/>
  <c r="P234" i="30"/>
  <c r="M234" i="30"/>
  <c r="U234" i="30"/>
  <c r="L234" i="30"/>
  <c r="O234" i="30"/>
  <c r="S234" i="30"/>
  <c r="Y234" i="30"/>
  <c r="W234" i="30"/>
  <c r="X234" i="30"/>
  <c r="Z234" i="30"/>
  <c r="V234" i="30"/>
  <c r="T234" i="30"/>
  <c r="Q234" i="30"/>
  <c r="L15" i="9"/>
  <c r="AR15" i="9" s="1"/>
  <c r="L226" i="9"/>
  <c r="J85" i="31"/>
  <c r="J213" i="31"/>
  <c r="M213" i="31" s="1"/>
  <c r="N11" i="31"/>
  <c r="K69" i="31"/>
  <c r="K85" i="31"/>
  <c r="M85" i="31" s="1"/>
  <c r="G189" i="9"/>
  <c r="H189" i="9" s="1"/>
  <c r="I189" i="9" s="1"/>
  <c r="F203" i="9"/>
  <c r="G203" i="9" s="1"/>
  <c r="H203" i="9" s="1"/>
  <c r="I203" i="9" s="1"/>
  <c r="S175" i="9"/>
  <c r="AD175" i="9"/>
  <c r="R175" i="9"/>
  <c r="Z175" i="9"/>
  <c r="AI175" i="9"/>
  <c r="Q175" i="9"/>
  <c r="W175" i="9"/>
  <c r="V175" i="9"/>
  <c r="AA175" i="9"/>
  <c r="AM175" i="9"/>
  <c r="AO175" i="9"/>
  <c r="AE175" i="9"/>
  <c r="M175" i="9"/>
  <c r="AN175" i="9"/>
  <c r="U175" i="9"/>
  <c r="Y175" i="9"/>
  <c r="P175" i="9"/>
  <c r="O175" i="9"/>
  <c r="AB175" i="9"/>
  <c r="N175" i="9"/>
  <c r="AC175" i="9"/>
  <c r="X175" i="9"/>
  <c r="AF175" i="9"/>
  <c r="AK175" i="9"/>
  <c r="AJ175" i="9"/>
  <c r="T175" i="9"/>
  <c r="AH175" i="9"/>
  <c r="AG175" i="9"/>
  <c r="AL175" i="9"/>
  <c r="L175" i="9"/>
  <c r="AR175" i="9" s="1"/>
  <c r="F119" i="33"/>
  <c r="L222" i="9"/>
  <c r="AR222" i="9" s="1"/>
  <c r="I162" i="19"/>
  <c r="J111" i="19"/>
  <c r="J162" i="19" s="1"/>
  <c r="L162" i="19" s="1"/>
  <c r="L110" i="19"/>
  <c r="E71" i="33" s="1"/>
  <c r="G48" i="9"/>
  <c r="H48" i="9" s="1"/>
  <c r="I48" i="9" s="1"/>
  <c r="F62" i="9"/>
  <c r="G62" i="9" s="1"/>
  <c r="H62" i="9" s="1"/>
  <c r="I62" i="9" s="1"/>
  <c r="F84" i="9"/>
  <c r="G84" i="9" s="1"/>
  <c r="H84" i="9" s="1"/>
  <c r="I84" i="9" s="1"/>
  <c r="G74" i="9"/>
  <c r="H74" i="9" s="1"/>
  <c r="I74" i="9" s="1"/>
  <c r="AB60" i="9"/>
  <c r="AL60" i="9"/>
  <c r="R60" i="9"/>
  <c r="AG60" i="9"/>
  <c r="M60" i="9"/>
  <c r="T60" i="9"/>
  <c r="V60" i="9"/>
  <c r="AD60" i="9"/>
  <c r="AM60" i="9"/>
  <c r="Q60" i="9"/>
  <c r="AF60" i="9"/>
  <c r="AH60" i="9"/>
  <c r="Z60" i="9"/>
  <c r="AA60" i="9"/>
  <c r="AI60" i="9"/>
  <c r="AJ60" i="9"/>
  <c r="X60" i="9"/>
  <c r="AO60" i="9"/>
  <c r="AK60" i="9"/>
  <c r="U60" i="9"/>
  <c r="P60" i="9"/>
  <c r="O60" i="9"/>
  <c r="N60" i="9"/>
  <c r="Y60" i="9"/>
  <c r="W60" i="9"/>
  <c r="S60" i="9"/>
  <c r="AE60" i="9"/>
  <c r="AC60" i="9"/>
  <c r="AN60" i="9"/>
  <c r="L60" i="9"/>
  <c r="AR60" i="9" s="1"/>
  <c r="E99" i="33"/>
  <c r="G39" i="9"/>
  <c r="H39" i="9" s="1"/>
  <c r="I39" i="9" s="1"/>
  <c r="F53" i="9"/>
  <c r="G53" i="9" s="1"/>
  <c r="H53" i="9" s="1"/>
  <c r="I53" i="9" s="1"/>
  <c r="M145" i="52"/>
  <c r="K146" i="52"/>
  <c r="K147" i="52"/>
  <c r="K200" i="52"/>
  <c r="M200" i="52" s="1"/>
  <c r="M202" i="52" s="1"/>
  <c r="I52" i="29"/>
  <c r="J52" i="29" s="1"/>
  <c r="L52" i="29" s="1"/>
  <c r="J38" i="29"/>
  <c r="L42" i="9"/>
  <c r="M132" i="35"/>
  <c r="M134" i="35" s="1"/>
  <c r="G96" i="9"/>
  <c r="H96" i="9" s="1"/>
  <c r="I96" i="9" s="1"/>
  <c r="F110" i="9"/>
  <c r="G110" i="9" s="1"/>
  <c r="H110" i="9" s="1"/>
  <c r="I110" i="9" s="1"/>
  <c r="AK83" i="9"/>
  <c r="AG83" i="9"/>
  <c r="AD83" i="9"/>
  <c r="AO83" i="9"/>
  <c r="AE83" i="9"/>
  <c r="Z83" i="9"/>
  <c r="AI83" i="9"/>
  <c r="AJ83" i="9"/>
  <c r="Y83" i="9"/>
  <c r="X83" i="9"/>
  <c r="P83" i="9"/>
  <c r="U83" i="9"/>
  <c r="AF83" i="9"/>
  <c r="V83" i="9"/>
  <c r="AH83" i="9"/>
  <c r="AN83" i="9"/>
  <c r="AC83" i="9"/>
  <c r="M83" i="9"/>
  <c r="O83" i="9"/>
  <c r="AL83" i="9"/>
  <c r="AA83" i="9"/>
  <c r="T83" i="9"/>
  <c r="AM83" i="9"/>
  <c r="Q83" i="9"/>
  <c r="W83" i="9"/>
  <c r="N83" i="9"/>
  <c r="R83" i="9"/>
  <c r="AB83" i="9"/>
  <c r="S83" i="9"/>
  <c r="L83" i="9"/>
  <c r="AR83" i="9" s="1"/>
  <c r="K57" i="35"/>
  <c r="J69" i="35"/>
  <c r="K69" i="35" s="1"/>
  <c r="N11" i="35"/>
  <c r="Q17" i="13"/>
  <c r="D27" i="25"/>
  <c r="L17" i="13"/>
  <c r="K268" i="40"/>
  <c r="J38" i="19"/>
  <c r="I52" i="19"/>
  <c r="J52" i="19" s="1"/>
  <c r="L52" i="19" s="1"/>
  <c r="L129" i="9"/>
  <c r="M129" i="9" s="1"/>
  <c r="L18" i="9"/>
  <c r="AC26" i="9"/>
  <c r="AE26" i="9"/>
  <c r="X26" i="9"/>
  <c r="Y26" i="9"/>
  <c r="AB26" i="9"/>
  <c r="AH26" i="9"/>
  <c r="AG26" i="9"/>
  <c r="AA26" i="9"/>
  <c r="M26" i="9"/>
  <c r="AF26" i="9"/>
  <c r="W26" i="9"/>
  <c r="T26" i="9"/>
  <c r="Q26" i="9"/>
  <c r="AN26" i="9"/>
  <c r="AD26" i="9"/>
  <c r="AJ26" i="9"/>
  <c r="P26" i="9"/>
  <c r="AL26" i="9"/>
  <c r="V26" i="9"/>
  <c r="O26" i="9"/>
  <c r="AM26" i="9"/>
  <c r="R26" i="9"/>
  <c r="AK26" i="9"/>
  <c r="Z26" i="9"/>
  <c r="AI26" i="9"/>
  <c r="N26" i="9"/>
  <c r="U26" i="9"/>
  <c r="AO26" i="9"/>
  <c r="S26" i="9"/>
  <c r="L26" i="9"/>
  <c r="AR26" i="9" s="1"/>
  <c r="F206" i="9"/>
  <c r="G206" i="9" s="1"/>
  <c r="H206" i="9" s="1"/>
  <c r="I206" i="9" s="1"/>
  <c r="G192" i="9"/>
  <c r="H192" i="9" s="1"/>
  <c r="I192" i="9" s="1"/>
  <c r="O73" i="13"/>
  <c r="F104" i="33"/>
  <c r="J37" i="29"/>
  <c r="I51" i="29"/>
  <c r="J51" i="29" s="1"/>
  <c r="L51" i="29" s="1"/>
  <c r="K61" i="40"/>
  <c r="M61" i="40" s="1"/>
  <c r="J73" i="40"/>
  <c r="K73" i="40" s="1"/>
  <c r="M73" i="40" s="1"/>
  <c r="L104" i="9"/>
  <c r="M12" i="35"/>
  <c r="L27" i="35"/>
  <c r="M27" i="35" s="1"/>
  <c r="L26" i="35"/>
  <c r="M26" i="35" s="1"/>
  <c r="L28" i="35"/>
  <c r="M28" i="35" s="1"/>
  <c r="L25" i="35"/>
  <c r="M25" i="35" s="1"/>
  <c r="AB120" i="9"/>
  <c r="M120" i="9"/>
  <c r="AI120" i="9"/>
  <c r="X120" i="9"/>
  <c r="AG120" i="9"/>
  <c r="V120" i="9"/>
  <c r="S120" i="9"/>
  <c r="AM120" i="9"/>
  <c r="AF120" i="9"/>
  <c r="R120" i="9"/>
  <c r="AC120" i="9"/>
  <c r="O120" i="9"/>
  <c r="AE120" i="9"/>
  <c r="AO120" i="9"/>
  <c r="AK120" i="9"/>
  <c r="T120" i="9"/>
  <c r="Z120" i="9"/>
  <c r="AD120" i="9"/>
  <c r="AJ120" i="9"/>
  <c r="U120" i="9"/>
  <c r="AA120" i="9"/>
  <c r="N120" i="9"/>
  <c r="AL120" i="9"/>
  <c r="W120" i="9"/>
  <c r="P120" i="9"/>
  <c r="AH120" i="9"/>
  <c r="Y120" i="9"/>
  <c r="Q120" i="9"/>
  <c r="AN120" i="9"/>
  <c r="L120" i="9"/>
  <c r="AR120" i="9" s="1"/>
  <c r="M130" i="40"/>
  <c r="M132" i="40" s="1"/>
  <c r="K60" i="30"/>
  <c r="M60" i="30" s="1"/>
  <c r="J72" i="30"/>
  <c r="K72" i="30" s="1"/>
  <c r="M72" i="30" s="1"/>
  <c r="S17" i="13"/>
  <c r="P17" i="13"/>
  <c r="L105" i="9"/>
  <c r="AR105" i="9" s="1"/>
  <c r="G50" i="9"/>
  <c r="H50" i="9" s="1"/>
  <c r="I50" i="9" s="1"/>
  <c r="F64" i="9"/>
  <c r="G64" i="9" s="1"/>
  <c r="H64" i="9" s="1"/>
  <c r="I64" i="9" s="1"/>
  <c r="J37" i="19"/>
  <c r="I51" i="19"/>
  <c r="J51" i="19" s="1"/>
  <c r="L51" i="19" s="1"/>
  <c r="L77" i="9"/>
  <c r="M77" i="9" s="1"/>
  <c r="F238" i="9"/>
  <c r="G238" i="9" s="1"/>
  <c r="H238" i="9" s="1"/>
  <c r="I238" i="9" s="1"/>
  <c r="G227" i="9"/>
  <c r="H227" i="9" s="1"/>
  <c r="I227" i="9" s="1"/>
  <c r="K58" i="40"/>
  <c r="M58" i="40" s="1"/>
  <c r="J70" i="40"/>
  <c r="K70" i="40" s="1"/>
  <c r="M70" i="40" s="1"/>
  <c r="M150" i="48"/>
  <c r="F239" i="9"/>
  <c r="G239" i="9" s="1"/>
  <c r="H239" i="9" s="1"/>
  <c r="I239" i="9" s="1"/>
  <c r="G228" i="9"/>
  <c r="H228" i="9" s="1"/>
  <c r="I228" i="9" s="1"/>
  <c r="F116" i="9"/>
  <c r="G116" i="9" s="1"/>
  <c r="H116" i="9" s="1"/>
  <c r="I116" i="9" s="1"/>
  <c r="G102" i="9"/>
  <c r="H102" i="9" s="1"/>
  <c r="I102" i="9" s="1"/>
  <c r="J72" i="40"/>
  <c r="K72" i="40" s="1"/>
  <c r="M72" i="40" s="1"/>
  <c r="K60" i="40"/>
  <c r="M60" i="40" s="1"/>
  <c r="L97" i="9"/>
  <c r="M97" i="9" s="1"/>
  <c r="G221" i="9"/>
  <c r="H221" i="9" s="1"/>
  <c r="I221" i="9" s="1"/>
  <c r="F232" i="9"/>
  <c r="G232" i="9" s="1"/>
  <c r="H232" i="9" s="1"/>
  <c r="I232" i="9" s="1"/>
  <c r="F54" i="9"/>
  <c r="G54" i="9" s="1"/>
  <c r="H54" i="9" s="1"/>
  <c r="I54" i="9" s="1"/>
  <c r="G40" i="9"/>
  <c r="H40" i="9" s="1"/>
  <c r="I40" i="9" s="1"/>
  <c r="J89" i="48"/>
  <c r="J217" i="48"/>
  <c r="M217" i="48" s="1"/>
  <c r="K89" i="48"/>
  <c r="M89" i="48" s="1"/>
  <c r="K73" i="48"/>
  <c r="M73" i="48" s="1"/>
  <c r="N5" i="30"/>
  <c r="M11" i="30"/>
  <c r="J36" i="19"/>
  <c r="I50" i="19"/>
  <c r="J50" i="19" s="1"/>
  <c r="L50" i="19" s="1"/>
  <c r="F204" i="9"/>
  <c r="G204" i="9" s="1"/>
  <c r="H204" i="9" s="1"/>
  <c r="I204" i="9" s="1"/>
  <c r="G190" i="9"/>
  <c r="H190" i="9" s="1"/>
  <c r="I190" i="9" s="1"/>
  <c r="F147" i="33"/>
  <c r="F240" i="9"/>
  <c r="G240" i="9" s="1"/>
  <c r="H240" i="9" s="1"/>
  <c r="I240" i="9" s="1"/>
  <c r="G229" i="9"/>
  <c r="H229" i="9" s="1"/>
  <c r="I229" i="9" s="1"/>
  <c r="S73" i="13"/>
  <c r="L73" i="13"/>
  <c r="D109" i="25"/>
  <c r="F121" i="9"/>
  <c r="G121" i="9" s="1"/>
  <c r="H121" i="9" s="1"/>
  <c r="I121" i="9" s="1"/>
  <c r="G107" i="9"/>
  <c r="H107" i="9" s="1"/>
  <c r="I107" i="9" s="1"/>
  <c r="F234" i="9"/>
  <c r="G234" i="9" s="1"/>
  <c r="H234" i="9" s="1"/>
  <c r="I234" i="9" s="1"/>
  <c r="G223" i="9"/>
  <c r="H223" i="9" s="1"/>
  <c r="I223" i="9" s="1"/>
  <c r="K263" i="30"/>
  <c r="K266" i="30" s="1"/>
  <c r="J74" i="40"/>
  <c r="K62" i="40"/>
  <c r="S31" i="9"/>
  <c r="W31" i="9"/>
  <c r="AC31" i="9"/>
  <c r="AK31" i="9"/>
  <c r="U31" i="9"/>
  <c r="AJ31" i="9"/>
  <c r="M31" i="9"/>
  <c r="AH31" i="9"/>
  <c r="V31" i="9"/>
  <c r="AG31" i="9"/>
  <c r="Y31" i="9"/>
  <c r="O31" i="9"/>
  <c r="AB31" i="9"/>
  <c r="X31" i="9"/>
  <c r="R31" i="9"/>
  <c r="AE31" i="9"/>
  <c r="AF31" i="9"/>
  <c r="Q31" i="9"/>
  <c r="AO31" i="9"/>
  <c r="AN31" i="9"/>
  <c r="AA31" i="9"/>
  <c r="N31" i="9"/>
  <c r="P31" i="9"/>
  <c r="AL31" i="9"/>
  <c r="AM31" i="9"/>
  <c r="AI31" i="9"/>
  <c r="Z31" i="9"/>
  <c r="T31" i="9"/>
  <c r="AD31" i="9"/>
  <c r="L31" i="9"/>
  <c r="AR31" i="9" s="1"/>
  <c r="J72" i="52"/>
  <c r="K72" i="52" s="1"/>
  <c r="M72" i="52" s="1"/>
  <c r="K60" i="52"/>
  <c r="M60" i="52" s="1"/>
  <c r="L47" i="9"/>
  <c r="M47" i="9" s="1"/>
  <c r="F85" i="9"/>
  <c r="G85" i="9" s="1"/>
  <c r="H85" i="9" s="1"/>
  <c r="I85" i="9" s="1"/>
  <c r="G75" i="9"/>
  <c r="H75" i="9" s="1"/>
  <c r="I75" i="9" s="1"/>
  <c r="L193" i="9"/>
  <c r="M193" i="9" s="1"/>
  <c r="L196" i="9"/>
  <c r="AR196" i="9" s="1"/>
  <c r="AK114" i="9"/>
  <c r="AB114" i="9"/>
  <c r="U114" i="9"/>
  <c r="W114" i="9"/>
  <c r="AE114" i="9"/>
  <c r="AM114" i="9"/>
  <c r="R114" i="9"/>
  <c r="AH114" i="9"/>
  <c r="AI114" i="9"/>
  <c r="M114" i="9"/>
  <c r="AL114" i="9"/>
  <c r="Q114" i="9"/>
  <c r="S114" i="9"/>
  <c r="AJ114" i="9"/>
  <c r="T114" i="9"/>
  <c r="N114" i="9"/>
  <c r="AG114" i="9"/>
  <c r="X114" i="9"/>
  <c r="AF114" i="9"/>
  <c r="P114" i="9"/>
  <c r="O114" i="9"/>
  <c r="Y114" i="9"/>
  <c r="AD114" i="9"/>
  <c r="AA114" i="9"/>
  <c r="Z114" i="9"/>
  <c r="AO114" i="9"/>
  <c r="AC114" i="9"/>
  <c r="V114" i="9"/>
  <c r="AN114" i="9"/>
  <c r="L114" i="9"/>
  <c r="AR114" i="9" s="1"/>
  <c r="AH176" i="9"/>
  <c r="S176" i="9"/>
  <c r="AF176" i="9"/>
  <c r="AJ176" i="9"/>
  <c r="AB176" i="9"/>
  <c r="N176" i="9"/>
  <c r="R176" i="9"/>
  <c r="AO176" i="9"/>
  <c r="AN176" i="9"/>
  <c r="U176" i="9"/>
  <c r="AE176" i="9"/>
  <c r="AI176" i="9"/>
  <c r="W176" i="9"/>
  <c r="AG176" i="9"/>
  <c r="P176" i="9"/>
  <c r="Z176" i="9"/>
  <c r="AK176" i="9"/>
  <c r="AC176" i="9"/>
  <c r="AD176" i="9"/>
  <c r="O176" i="9"/>
  <c r="Y176" i="9"/>
  <c r="V176" i="9"/>
  <c r="AL176" i="9"/>
  <c r="AM176" i="9"/>
  <c r="T176" i="9"/>
  <c r="Q176" i="9"/>
  <c r="X176" i="9"/>
  <c r="M176" i="9"/>
  <c r="AA176" i="9"/>
  <c r="L176" i="9"/>
  <c r="AR176" i="9" s="1"/>
  <c r="K61" i="30"/>
  <c r="M61" i="30" s="1"/>
  <c r="J73" i="30"/>
  <c r="K73" i="30" s="1"/>
  <c r="M73" i="30" s="1"/>
  <c r="W17" i="13"/>
  <c r="F74" i="33"/>
  <c r="E69" i="33"/>
  <c r="N211" i="9"/>
  <c r="AD211" i="9"/>
  <c r="AC211" i="9"/>
  <c r="AO211" i="9"/>
  <c r="AB211" i="9"/>
  <c r="AK211" i="9"/>
  <c r="U211" i="9"/>
  <c r="AH211" i="9"/>
  <c r="V211" i="9"/>
  <c r="AG211" i="9"/>
  <c r="AF211" i="9"/>
  <c r="W211" i="9"/>
  <c r="R211" i="9"/>
  <c r="Y211" i="9"/>
  <c r="AM211" i="9"/>
  <c r="P211" i="9"/>
  <c r="X211" i="9"/>
  <c r="AN211" i="9"/>
  <c r="AL211" i="9"/>
  <c r="AE211" i="9"/>
  <c r="Z211" i="9"/>
  <c r="Q211" i="9"/>
  <c r="S211" i="9"/>
  <c r="O211" i="9"/>
  <c r="M211" i="9"/>
  <c r="AA211" i="9"/>
  <c r="AI211" i="9"/>
  <c r="T211" i="9"/>
  <c r="AJ211" i="9"/>
  <c r="L211" i="9"/>
  <c r="AR211" i="9" s="1"/>
  <c r="F88" i="9"/>
  <c r="G88" i="9" s="1"/>
  <c r="H88" i="9" s="1"/>
  <c r="I88" i="9" s="1"/>
  <c r="G78" i="9"/>
  <c r="H78" i="9" s="1"/>
  <c r="I78" i="9" s="1"/>
  <c r="K58" i="52"/>
  <c r="M58" i="52" s="1"/>
  <c r="J70" i="52"/>
  <c r="K70" i="52" s="1"/>
  <c r="M70" i="52" s="1"/>
  <c r="L20" i="9"/>
  <c r="L76" i="9"/>
  <c r="M76" i="9" s="1"/>
  <c r="G98" i="9"/>
  <c r="H98" i="9" s="1"/>
  <c r="I98" i="9" s="1"/>
  <c r="F112" i="9"/>
  <c r="G112" i="9" s="1"/>
  <c r="H112" i="9" s="1"/>
  <c r="I112" i="9" s="1"/>
  <c r="K10" i="29"/>
  <c r="L5" i="29"/>
  <c r="G165" i="9"/>
  <c r="H165" i="9" s="1"/>
  <c r="I165" i="9" s="1"/>
  <c r="F179" i="9"/>
  <c r="G179" i="9" s="1"/>
  <c r="H179" i="9" s="1"/>
  <c r="I179" i="9" s="1"/>
  <c r="J74" i="52"/>
  <c r="K62" i="52"/>
  <c r="J86" i="48"/>
  <c r="K70" i="48"/>
  <c r="M70" i="48" s="1"/>
  <c r="K86" i="48"/>
  <c r="M86" i="48" s="1"/>
  <c r="J214" i="48"/>
  <c r="M214" i="48" s="1"/>
  <c r="N17" i="13"/>
  <c r="M145" i="30"/>
  <c r="K146" i="30"/>
  <c r="K147" i="30"/>
  <c r="K200" i="30"/>
  <c r="M200" i="30" s="1"/>
  <c r="M202" i="30" s="1"/>
  <c r="AJ174" i="9"/>
  <c r="Q174" i="9"/>
  <c r="AM174" i="9"/>
  <c r="AB174" i="9"/>
  <c r="AE174" i="9"/>
  <c r="AA174" i="9"/>
  <c r="T174" i="9"/>
  <c r="AC174" i="9"/>
  <c r="W174" i="9"/>
  <c r="N174" i="9"/>
  <c r="AI174" i="9"/>
  <c r="AK174" i="9"/>
  <c r="AO174" i="9"/>
  <c r="Y174" i="9"/>
  <c r="Z174" i="9"/>
  <c r="AG174" i="9"/>
  <c r="V174" i="9"/>
  <c r="AL174" i="9"/>
  <c r="R174" i="9"/>
  <c r="M174" i="9"/>
  <c r="AF174" i="9"/>
  <c r="O174" i="9"/>
  <c r="U174" i="9"/>
  <c r="S174" i="9"/>
  <c r="P174" i="9"/>
  <c r="AH174" i="9"/>
  <c r="AN174" i="9"/>
  <c r="X174" i="9"/>
  <c r="AD174" i="9"/>
  <c r="L174" i="9"/>
  <c r="AR174" i="9" s="1"/>
  <c r="L136" i="9"/>
  <c r="Z73" i="13"/>
  <c r="F178" i="9"/>
  <c r="G178" i="9" s="1"/>
  <c r="H178" i="9" s="1"/>
  <c r="I178" i="9" s="1"/>
  <c r="G164" i="9"/>
  <c r="H164" i="9" s="1"/>
  <c r="I164" i="9" s="1"/>
  <c r="M161" i="48"/>
  <c r="K163" i="48"/>
  <c r="K80" i="48"/>
  <c r="K162" i="48"/>
  <c r="L195" i="9"/>
  <c r="K10" i="19"/>
  <c r="L5" i="19"/>
  <c r="AG89" i="9"/>
  <c r="M89" i="9"/>
  <c r="U89" i="9"/>
  <c r="AE89" i="9"/>
  <c r="AF89" i="9"/>
  <c r="Y89" i="9"/>
  <c r="AK89" i="9"/>
  <c r="O89" i="9"/>
  <c r="AB89" i="9"/>
  <c r="N89" i="9"/>
  <c r="W89" i="9"/>
  <c r="Z89" i="9"/>
  <c r="AI89" i="9"/>
  <c r="R89" i="9"/>
  <c r="AN89" i="9"/>
  <c r="AC89" i="9"/>
  <c r="V89" i="9"/>
  <c r="AH89" i="9"/>
  <c r="L89" i="9"/>
  <c r="AM89" i="9"/>
  <c r="Q89" i="9"/>
  <c r="P89" i="9"/>
  <c r="S89" i="9"/>
  <c r="X89" i="9"/>
  <c r="AD89" i="9"/>
  <c r="AA89" i="9"/>
  <c r="AJ89" i="9"/>
  <c r="AL89" i="9"/>
  <c r="AO89" i="9"/>
  <c r="T89" i="9"/>
  <c r="F24" i="9"/>
  <c r="G24" i="9" s="1"/>
  <c r="H24" i="9" s="1"/>
  <c r="I24" i="9" s="1"/>
  <c r="G14" i="9"/>
  <c r="H14" i="9" s="1"/>
  <c r="I14" i="9" s="1"/>
  <c r="Y73" i="13"/>
  <c r="M73" i="13"/>
  <c r="K59" i="40"/>
  <c r="M59" i="40" s="1"/>
  <c r="J71" i="40"/>
  <c r="K71" i="40" s="1"/>
  <c r="M71" i="40" s="1"/>
  <c r="F176" i="33"/>
  <c r="F162" i="33"/>
  <c r="N5" i="52"/>
  <c r="M11" i="52"/>
  <c r="L101" i="9"/>
  <c r="AR101" i="9" s="1"/>
  <c r="G41" i="9"/>
  <c r="H41" i="9" s="1"/>
  <c r="I41" i="9" s="1"/>
  <c r="F55" i="9"/>
  <c r="G55" i="9" s="1"/>
  <c r="H55" i="9" s="1"/>
  <c r="I55" i="9" s="1"/>
  <c r="AH142" i="9"/>
  <c r="S142" i="9"/>
  <c r="R142" i="9"/>
  <c r="AL142" i="9"/>
  <c r="AE142" i="9"/>
  <c r="Z142" i="9"/>
  <c r="P142" i="9"/>
  <c r="AD142" i="9"/>
  <c r="AG142" i="9"/>
  <c r="O142" i="9"/>
  <c r="N142" i="9"/>
  <c r="AA142" i="9"/>
  <c r="W142" i="9"/>
  <c r="Q142" i="9"/>
  <c r="AJ142" i="9"/>
  <c r="AK142" i="9"/>
  <c r="U142" i="9"/>
  <c r="AF142" i="9"/>
  <c r="M142" i="9"/>
  <c r="AB142" i="9"/>
  <c r="X142" i="9"/>
  <c r="Y142" i="9"/>
  <c r="AI142" i="9"/>
  <c r="AC142" i="9"/>
  <c r="T142" i="9"/>
  <c r="V142" i="9"/>
  <c r="AM142" i="9"/>
  <c r="AN142" i="9"/>
  <c r="AO142" i="9"/>
  <c r="L142" i="9"/>
  <c r="AR142" i="9" s="1"/>
  <c r="F88" i="33"/>
  <c r="G99" i="9"/>
  <c r="H99" i="9" s="1"/>
  <c r="I99" i="9" s="1"/>
  <c r="F113" i="9"/>
  <c r="G113" i="9" s="1"/>
  <c r="H113" i="9" s="1"/>
  <c r="I113" i="9" s="1"/>
  <c r="N5" i="48"/>
  <c r="M11" i="48"/>
  <c r="J71" i="30"/>
  <c r="K71" i="30" s="1"/>
  <c r="M71" i="30" s="1"/>
  <c r="K59" i="30"/>
  <c r="M59" i="30" s="1"/>
  <c r="Y17" i="13"/>
  <c r="T17" i="13"/>
  <c r="F214" i="9"/>
  <c r="G214" i="9" s="1"/>
  <c r="H214" i="9" s="1"/>
  <c r="I214" i="9" s="1"/>
  <c r="G200" i="9"/>
  <c r="H200" i="9" s="1"/>
  <c r="I200" i="9" s="1"/>
  <c r="AD213" i="9" l="1"/>
  <c r="AA213" i="9"/>
  <c r="V213" i="9"/>
  <c r="P213" i="9"/>
  <c r="L213" i="9"/>
  <c r="AR213" i="9" s="1"/>
  <c r="Q213" i="9"/>
  <c r="U213" i="9"/>
  <c r="AB213" i="9"/>
  <c r="AK213" i="9"/>
  <c r="AF213" i="9"/>
  <c r="AO213" i="9"/>
  <c r="R213" i="9"/>
  <c r="M213" i="9"/>
  <c r="AI213" i="9"/>
  <c r="T213" i="9"/>
  <c r="AN213" i="9"/>
  <c r="S213" i="9"/>
  <c r="Z213" i="9"/>
  <c r="AJ213" i="9"/>
  <c r="AH213" i="9"/>
  <c r="AE213" i="9"/>
  <c r="N213" i="9"/>
  <c r="O213" i="9"/>
  <c r="AG213" i="9"/>
  <c r="AC213" i="9"/>
  <c r="W213" i="9"/>
  <c r="Y213" i="9"/>
  <c r="AL213" i="9"/>
  <c r="X213" i="9"/>
  <c r="AF118" i="9"/>
  <c r="AH118" i="9"/>
  <c r="AO118" i="9"/>
  <c r="AI118" i="9"/>
  <c r="R118" i="9"/>
  <c r="O118" i="9"/>
  <c r="Z118" i="9"/>
  <c r="AB118" i="9"/>
  <c r="Y118" i="9"/>
  <c r="W118" i="9"/>
  <c r="AA118" i="9"/>
  <c r="X118" i="9"/>
  <c r="U118" i="9"/>
  <c r="N118" i="9"/>
  <c r="AL118" i="9"/>
  <c r="AM118" i="9"/>
  <c r="M118" i="9"/>
  <c r="AK118" i="9"/>
  <c r="P118" i="9"/>
  <c r="AG118" i="9"/>
  <c r="AE118" i="9"/>
  <c r="V118" i="9"/>
  <c r="L118" i="9"/>
  <c r="AR118" i="9" s="1"/>
  <c r="S118" i="9"/>
  <c r="AD118" i="9"/>
  <c r="T118" i="9"/>
  <c r="Q118" i="9"/>
  <c r="AN118" i="9"/>
  <c r="AJ118" i="9"/>
  <c r="O87" i="9"/>
  <c r="X87" i="9"/>
  <c r="Y87" i="9"/>
  <c r="AI57" i="9"/>
  <c r="O57" i="9"/>
  <c r="AN57" i="9"/>
  <c r="AO57" i="9"/>
  <c r="V87" i="9"/>
  <c r="M87" i="9"/>
  <c r="S57" i="9"/>
  <c r="V57" i="9"/>
  <c r="L57" i="9"/>
  <c r="AR57" i="9" s="1"/>
  <c r="T57" i="9"/>
  <c r="P57" i="9"/>
  <c r="Q57" i="9"/>
  <c r="M57" i="9"/>
  <c r="Z57" i="9"/>
  <c r="S87" i="9"/>
  <c r="Z87" i="9"/>
  <c r="Q87" i="9"/>
  <c r="T87" i="9"/>
  <c r="AC87" i="9"/>
  <c r="W87" i="9"/>
  <c r="AL87" i="9"/>
  <c r="AC57" i="9"/>
  <c r="AL57" i="9"/>
  <c r="AA57" i="9"/>
  <c r="AB57" i="9"/>
  <c r="N57" i="9"/>
  <c r="AD57" i="9"/>
  <c r="U57" i="9"/>
  <c r="AK57" i="9"/>
  <c r="R207" i="9"/>
  <c r="P207" i="9"/>
  <c r="AC207" i="9"/>
  <c r="Q207" i="9"/>
  <c r="AI207" i="9"/>
  <c r="AH207" i="9"/>
  <c r="U207" i="9"/>
  <c r="N207" i="9"/>
  <c r="AB87" i="9"/>
  <c r="P87" i="9"/>
  <c r="AA87" i="9"/>
  <c r="AH87" i="9"/>
  <c r="AK87" i="9"/>
  <c r="L87" i="9"/>
  <c r="AR87" i="9" s="1"/>
  <c r="N87" i="9"/>
  <c r="AI87" i="9"/>
  <c r="AN87" i="9"/>
  <c r="AF87" i="9"/>
  <c r="U87" i="9"/>
  <c r="R57" i="9"/>
  <c r="AH57" i="9"/>
  <c r="AJ57" i="9"/>
  <c r="AG57" i="9"/>
  <c r="W57" i="9"/>
  <c r="AF57" i="9"/>
  <c r="AE57" i="9"/>
  <c r="AM57" i="9"/>
  <c r="X57" i="9"/>
  <c r="AO87" i="9"/>
  <c r="AD87" i="9"/>
  <c r="AJ87" i="9"/>
  <c r="M207" i="9"/>
  <c r="AK207" i="9"/>
  <c r="AO207" i="9"/>
  <c r="AL207" i="9"/>
  <c r="O207" i="9"/>
  <c r="W207" i="9"/>
  <c r="AG207" i="9"/>
  <c r="R87" i="9"/>
  <c r="AE87" i="9"/>
  <c r="AM87" i="9"/>
  <c r="AM207" i="9"/>
  <c r="T207" i="9"/>
  <c r="AN207" i="9"/>
  <c r="Z207" i="9"/>
  <c r="AD207" i="9"/>
  <c r="AB207" i="9"/>
  <c r="V207" i="9"/>
  <c r="AJ207" i="9"/>
  <c r="AE207" i="9"/>
  <c r="AA207" i="9"/>
  <c r="S207" i="9"/>
  <c r="L207" i="9"/>
  <c r="AR207" i="9" s="1"/>
  <c r="Y207" i="9"/>
  <c r="AF207" i="9"/>
  <c r="M74" i="31"/>
  <c r="K125" i="31"/>
  <c r="M125" i="31" s="1"/>
  <c r="Z141" i="9"/>
  <c r="K126" i="31"/>
  <c r="M126" i="31" s="1"/>
  <c r="M91" i="31"/>
  <c r="R261" i="31" s="1"/>
  <c r="R126" i="13" s="1"/>
  <c r="M219" i="31"/>
  <c r="Y251" i="31" s="1"/>
  <c r="AN141" i="9"/>
  <c r="AJ141" i="9"/>
  <c r="AI141" i="9"/>
  <c r="L27" i="31"/>
  <c r="M27" i="31" s="1"/>
  <c r="K35" i="31" s="1"/>
  <c r="M35" i="31" s="1"/>
  <c r="O12" i="31"/>
  <c r="AO141" i="9"/>
  <c r="AH141" i="9"/>
  <c r="X141" i="9"/>
  <c r="Y141" i="9"/>
  <c r="AE141" i="9"/>
  <c r="M12" i="31"/>
  <c r="R141" i="9"/>
  <c r="W141" i="9"/>
  <c r="L25" i="31"/>
  <c r="M25" i="31" s="1"/>
  <c r="K165" i="31" s="1"/>
  <c r="M165" i="31" s="1"/>
  <c r="W254" i="31" s="1"/>
  <c r="AC141" i="9"/>
  <c r="L26" i="31"/>
  <c r="M26" i="31" s="1"/>
  <c r="K166" i="31" s="1"/>
  <c r="M166" i="31" s="1"/>
  <c r="AF141" i="9"/>
  <c r="AB141" i="9"/>
  <c r="AM141" i="9"/>
  <c r="Q141" i="9"/>
  <c r="P141" i="9"/>
  <c r="U141" i="9"/>
  <c r="V141" i="9"/>
  <c r="AA141" i="9"/>
  <c r="N141" i="9"/>
  <c r="S141" i="9"/>
  <c r="L141" i="9"/>
  <c r="AR141" i="9" s="1"/>
  <c r="T141" i="9"/>
  <c r="M141" i="9"/>
  <c r="AD141" i="9"/>
  <c r="AK141" i="9"/>
  <c r="O141" i="9"/>
  <c r="AG141" i="9"/>
  <c r="AG115" i="9"/>
  <c r="Z140" i="9"/>
  <c r="AK140" i="9"/>
  <c r="W140" i="9"/>
  <c r="T140" i="9"/>
  <c r="P140" i="9"/>
  <c r="O140" i="9"/>
  <c r="X140" i="9"/>
  <c r="AO140" i="9"/>
  <c r="V140" i="9"/>
  <c r="AJ115" i="9"/>
  <c r="M140" i="9"/>
  <c r="AJ140" i="9"/>
  <c r="U140" i="9"/>
  <c r="N140" i="9"/>
  <c r="AI140" i="9"/>
  <c r="S140" i="9"/>
  <c r="L140" i="9"/>
  <c r="AR140" i="9" s="1"/>
  <c r="AL140" i="9"/>
  <c r="Q140" i="9"/>
  <c r="AC140" i="9"/>
  <c r="R140" i="9"/>
  <c r="AE140" i="9"/>
  <c r="AD140" i="9"/>
  <c r="AN140" i="9"/>
  <c r="AG140" i="9"/>
  <c r="AB140" i="9"/>
  <c r="AM140" i="9"/>
  <c r="AA140" i="9"/>
  <c r="AF140" i="9"/>
  <c r="AH140" i="9"/>
  <c r="W263" i="31"/>
  <c r="W128" i="13" s="1"/>
  <c r="S263" i="31"/>
  <c r="S128" i="13" s="1"/>
  <c r="K182" i="31"/>
  <c r="M182" i="31" s="1"/>
  <c r="M183" i="31" s="1"/>
  <c r="R265" i="31" s="1"/>
  <c r="AR132" i="9"/>
  <c r="N147" i="9"/>
  <c r="V147" i="9"/>
  <c r="O147" i="9"/>
  <c r="AA147" i="9"/>
  <c r="AN147" i="9"/>
  <c r="U147" i="9"/>
  <c r="P147" i="9"/>
  <c r="AI147" i="9"/>
  <c r="AF147" i="9"/>
  <c r="AE147" i="9"/>
  <c r="AL147" i="9"/>
  <c r="AK147" i="9"/>
  <c r="AB147" i="9"/>
  <c r="M147" i="9"/>
  <c r="AO147" i="9"/>
  <c r="AC147" i="9"/>
  <c r="S147" i="9"/>
  <c r="AM147" i="9"/>
  <c r="AD147" i="9"/>
  <c r="Z147" i="9"/>
  <c r="R147" i="9"/>
  <c r="AJ147" i="9"/>
  <c r="AG147" i="9"/>
  <c r="L147" i="9"/>
  <c r="AR147" i="9" s="1"/>
  <c r="T147" i="9"/>
  <c r="X147" i="9"/>
  <c r="R25" i="9"/>
  <c r="M132" i="9"/>
  <c r="N132" i="9" s="1"/>
  <c r="AH147" i="9"/>
  <c r="Y147" i="9"/>
  <c r="W147" i="9"/>
  <c r="AF25" i="9"/>
  <c r="AO237" i="9"/>
  <c r="AK25" i="9"/>
  <c r="AB25" i="9"/>
  <c r="O25" i="9"/>
  <c r="Q25" i="9"/>
  <c r="Y25" i="9"/>
  <c r="Q111" i="9"/>
  <c r="AI25" i="9"/>
  <c r="V25" i="9"/>
  <c r="AE25" i="9"/>
  <c r="P25" i="9"/>
  <c r="AO25" i="9"/>
  <c r="Z25" i="9"/>
  <c r="AA25" i="9"/>
  <c r="L25" i="9"/>
  <c r="AR25" i="9" s="1"/>
  <c r="AG25" i="9"/>
  <c r="M133" i="9"/>
  <c r="N133" i="9" s="1"/>
  <c r="O133" i="9" s="1"/>
  <c r="AE237" i="9"/>
  <c r="O263" i="31"/>
  <c r="O128" i="13" s="1"/>
  <c r="X263" i="31"/>
  <c r="X128" i="13" s="1"/>
  <c r="AC115" i="9"/>
  <c r="AM237" i="9"/>
  <c r="AH237" i="9"/>
  <c r="U263" i="31"/>
  <c r="U128" i="13" s="1"/>
  <c r="P263" i="31"/>
  <c r="P128" i="13" s="1"/>
  <c r="Y263" i="31"/>
  <c r="Y128" i="13" s="1"/>
  <c r="AK115" i="9"/>
  <c r="AI115" i="9"/>
  <c r="V263" i="31"/>
  <c r="V128" i="13" s="1"/>
  <c r="R263" i="31"/>
  <c r="R128" i="13" s="1"/>
  <c r="M263" i="31"/>
  <c r="M128" i="13" s="1"/>
  <c r="AB115" i="9"/>
  <c r="Q263" i="31"/>
  <c r="Q128" i="13" s="1"/>
  <c r="AO115" i="9"/>
  <c r="L263" i="31"/>
  <c r="L128" i="13" s="1"/>
  <c r="Z263" i="31"/>
  <c r="Z128" i="13" s="1"/>
  <c r="V115" i="9"/>
  <c r="T128" i="13"/>
  <c r="N263" i="31"/>
  <c r="N128" i="13" s="1"/>
  <c r="E130" i="33"/>
  <c r="F130" i="33" s="1"/>
  <c r="AM177" i="9"/>
  <c r="R177" i="9"/>
  <c r="M115" i="9"/>
  <c r="V177" i="9"/>
  <c r="W177" i="9"/>
  <c r="AL177" i="9"/>
  <c r="P177" i="9"/>
  <c r="W25" i="9"/>
  <c r="M25" i="9"/>
  <c r="X25" i="9"/>
  <c r="AH25" i="9"/>
  <c r="U115" i="9"/>
  <c r="W115" i="9"/>
  <c r="AD115" i="9"/>
  <c r="T115" i="9"/>
  <c r="AO111" i="9"/>
  <c r="AE177" i="9"/>
  <c r="T177" i="9"/>
  <c r="AI177" i="9"/>
  <c r="U177" i="9"/>
  <c r="O237" i="9"/>
  <c r="Q177" i="9"/>
  <c r="AN115" i="9"/>
  <c r="AH115" i="9"/>
  <c r="U25" i="9"/>
  <c r="AC25" i="9"/>
  <c r="AN25" i="9"/>
  <c r="N25" i="9"/>
  <c r="N115" i="9"/>
  <c r="S115" i="9"/>
  <c r="O115" i="9"/>
  <c r="AC177" i="9"/>
  <c r="AN177" i="9"/>
  <c r="Y177" i="9"/>
  <c r="AL237" i="9"/>
  <c r="I151" i="9"/>
  <c r="AJ143" i="9"/>
  <c r="Y143" i="9"/>
  <c r="AG143" i="9"/>
  <c r="AA143" i="9"/>
  <c r="AM143" i="9"/>
  <c r="W143" i="9"/>
  <c r="T143" i="9"/>
  <c r="R143" i="9"/>
  <c r="M143" i="9"/>
  <c r="P143" i="9"/>
  <c r="S143" i="9"/>
  <c r="AC143" i="9"/>
  <c r="AN143" i="9"/>
  <c r="AK143" i="9"/>
  <c r="L143" i="9"/>
  <c r="AI143" i="9"/>
  <c r="AH143" i="9"/>
  <c r="V143" i="9"/>
  <c r="N143" i="9"/>
  <c r="Z143" i="9"/>
  <c r="Q143" i="9"/>
  <c r="AB143" i="9"/>
  <c r="AL143" i="9"/>
  <c r="AE143" i="9"/>
  <c r="U143" i="9"/>
  <c r="AF143" i="9"/>
  <c r="X143" i="9"/>
  <c r="AD143" i="9"/>
  <c r="AO143" i="9"/>
  <c r="O143" i="9"/>
  <c r="AA177" i="9"/>
  <c r="X177" i="9"/>
  <c r="AE115" i="9"/>
  <c r="Q115" i="9"/>
  <c r="Z115" i="9"/>
  <c r="AO177" i="9"/>
  <c r="AJ25" i="9"/>
  <c r="AM25" i="9"/>
  <c r="T25" i="9"/>
  <c r="P115" i="9"/>
  <c r="AM115" i="9"/>
  <c r="Y115" i="9"/>
  <c r="L177" i="9"/>
  <c r="AR177" i="9" s="1"/>
  <c r="AJ177" i="9"/>
  <c r="O177" i="9"/>
  <c r="Z177" i="9"/>
  <c r="AB237" i="9"/>
  <c r="AG177" i="9"/>
  <c r="M177" i="9"/>
  <c r="AD177" i="9"/>
  <c r="X115" i="9"/>
  <c r="AF115" i="9"/>
  <c r="AK177" i="9"/>
  <c r="AF177" i="9"/>
  <c r="S25" i="9"/>
  <c r="AD25" i="9"/>
  <c r="L115" i="9"/>
  <c r="AR115" i="9" s="1"/>
  <c r="R115" i="9"/>
  <c r="AL115" i="9"/>
  <c r="AB177" i="9"/>
  <c r="S177" i="9"/>
  <c r="N177" i="9"/>
  <c r="T237" i="9"/>
  <c r="AD119" i="9"/>
  <c r="M119" i="9"/>
  <c r="AJ119" i="9"/>
  <c r="S119" i="9"/>
  <c r="N119" i="9"/>
  <c r="Y119" i="9"/>
  <c r="X119" i="9"/>
  <c r="AI119" i="9"/>
  <c r="L119" i="9"/>
  <c r="AR119" i="9" s="1"/>
  <c r="AO119" i="9"/>
  <c r="AM119" i="9"/>
  <c r="AC119" i="9"/>
  <c r="W119" i="9"/>
  <c r="Q119" i="9"/>
  <c r="AE119" i="9"/>
  <c r="AK119" i="9"/>
  <c r="AF119" i="9"/>
  <c r="AH119" i="9"/>
  <c r="M144" i="9"/>
  <c r="AH144" i="9"/>
  <c r="Q144" i="9"/>
  <c r="AE144" i="9"/>
  <c r="AF144" i="9"/>
  <c r="P144" i="9"/>
  <c r="V144" i="9"/>
  <c r="AM144" i="9"/>
  <c r="X144" i="9"/>
  <c r="AL144" i="9"/>
  <c r="O144" i="9"/>
  <c r="AD144" i="9"/>
  <c r="AG144" i="9"/>
  <c r="AK144" i="9"/>
  <c r="AJ144" i="9"/>
  <c r="AN144" i="9"/>
  <c r="AI144" i="9"/>
  <c r="L144" i="9"/>
  <c r="T144" i="9"/>
  <c r="N144" i="9"/>
  <c r="R144" i="9"/>
  <c r="W144" i="9"/>
  <c r="AA144" i="9"/>
  <c r="AO144" i="9"/>
  <c r="Y144" i="9"/>
  <c r="AB144" i="9"/>
  <c r="U144" i="9"/>
  <c r="Z144" i="9"/>
  <c r="S144" i="9"/>
  <c r="AC144" i="9"/>
  <c r="AL119" i="9"/>
  <c r="O119" i="9"/>
  <c r="V119" i="9"/>
  <c r="T119" i="9"/>
  <c r="P119" i="9"/>
  <c r="U119" i="9"/>
  <c r="AN119" i="9"/>
  <c r="U145" i="9"/>
  <c r="W145" i="9"/>
  <c r="AL145" i="9"/>
  <c r="AK145" i="9"/>
  <c r="X145" i="9"/>
  <c r="N145" i="9"/>
  <c r="L145" i="9"/>
  <c r="AO145" i="9"/>
  <c r="R145" i="9"/>
  <c r="AB145" i="9"/>
  <c r="AD145" i="9"/>
  <c r="AG145" i="9"/>
  <c r="AI145" i="9"/>
  <c r="AE145" i="9"/>
  <c r="T145" i="9"/>
  <c r="S145" i="9"/>
  <c r="O145" i="9"/>
  <c r="AN145" i="9"/>
  <c r="Z145" i="9"/>
  <c r="Y145" i="9"/>
  <c r="M145" i="9"/>
  <c r="AF145" i="9"/>
  <c r="P145" i="9"/>
  <c r="AJ145" i="9"/>
  <c r="AM145" i="9"/>
  <c r="V145" i="9"/>
  <c r="AA145" i="9"/>
  <c r="AC145" i="9"/>
  <c r="AH145" i="9"/>
  <c r="Q145" i="9"/>
  <c r="Z119" i="9"/>
  <c r="R119" i="9"/>
  <c r="AA119" i="9"/>
  <c r="AG119" i="9"/>
  <c r="M134" i="9"/>
  <c r="AS134" i="9" s="1"/>
  <c r="AJ111" i="9"/>
  <c r="AC111" i="9"/>
  <c r="AA111" i="9"/>
  <c r="O111" i="9"/>
  <c r="Z111" i="9"/>
  <c r="AL111" i="9"/>
  <c r="AS146" i="9"/>
  <c r="AT146" i="9" s="1"/>
  <c r="AU146" i="9" s="1"/>
  <c r="AV146" i="9" s="1"/>
  <c r="AW146" i="9" s="1"/>
  <c r="AX146" i="9" s="1"/>
  <c r="AY146" i="9" s="1"/>
  <c r="AZ146" i="9" s="1"/>
  <c r="BA146" i="9" s="1"/>
  <c r="BB146" i="9" s="1"/>
  <c r="BC146" i="9" s="1"/>
  <c r="BD146" i="9" s="1"/>
  <c r="BE146" i="9" s="1"/>
  <c r="BF146" i="9" s="1"/>
  <c r="BG146" i="9" s="1"/>
  <c r="BH146" i="9" s="1"/>
  <c r="BI146" i="9" s="1"/>
  <c r="BJ146" i="9" s="1"/>
  <c r="BK146" i="9" s="1"/>
  <c r="BL146" i="9" s="1"/>
  <c r="BM146" i="9" s="1"/>
  <c r="BN146" i="9" s="1"/>
  <c r="BO146" i="9" s="1"/>
  <c r="BP146" i="9" s="1"/>
  <c r="BQ146" i="9" s="1"/>
  <c r="BR146" i="9" s="1"/>
  <c r="BS146" i="9" s="1"/>
  <c r="BT146" i="9" s="1"/>
  <c r="BU146" i="9" s="1"/>
  <c r="Y237" i="9"/>
  <c r="P237" i="9"/>
  <c r="AD237" i="9"/>
  <c r="X237" i="9"/>
  <c r="AF237" i="9"/>
  <c r="U237" i="9"/>
  <c r="AG237" i="9"/>
  <c r="AC237" i="9"/>
  <c r="Q237" i="9"/>
  <c r="W237" i="9"/>
  <c r="AJ237" i="9"/>
  <c r="AA237" i="9"/>
  <c r="L237" i="9"/>
  <c r="AR237" i="9" s="1"/>
  <c r="AS237" i="9" s="1"/>
  <c r="R237" i="9"/>
  <c r="AI237" i="9"/>
  <c r="AN237" i="9"/>
  <c r="N237" i="9"/>
  <c r="AK237" i="9"/>
  <c r="V237" i="9"/>
  <c r="S237" i="9"/>
  <c r="Z237" i="9"/>
  <c r="M111" i="9"/>
  <c r="AG111" i="9"/>
  <c r="X111" i="9"/>
  <c r="AN111" i="9"/>
  <c r="L111" i="9"/>
  <c r="AR111" i="9" s="1"/>
  <c r="V111" i="9"/>
  <c r="AM111" i="9"/>
  <c r="Y111" i="9"/>
  <c r="AE111" i="9"/>
  <c r="U111" i="9"/>
  <c r="AE209" i="9"/>
  <c r="Z209" i="9"/>
  <c r="R209" i="9"/>
  <c r="M209" i="9"/>
  <c r="AG209" i="9"/>
  <c r="Q209" i="9"/>
  <c r="N209" i="9"/>
  <c r="R111" i="9"/>
  <c r="AB111" i="9"/>
  <c r="N111" i="9"/>
  <c r="T111" i="9"/>
  <c r="AD61" i="9"/>
  <c r="AJ209" i="9"/>
  <c r="AK111" i="9"/>
  <c r="AD111" i="9"/>
  <c r="P111" i="9"/>
  <c r="W111" i="9"/>
  <c r="W209" i="9"/>
  <c r="AF111" i="9"/>
  <c r="S111" i="9"/>
  <c r="AH111" i="9"/>
  <c r="Y61" i="9"/>
  <c r="AL209" i="9"/>
  <c r="S209" i="9"/>
  <c r="AC61" i="9"/>
  <c r="AF209" i="9"/>
  <c r="AC209" i="9"/>
  <c r="AH209" i="9"/>
  <c r="AK209" i="9"/>
  <c r="AD209" i="9"/>
  <c r="Y209" i="9"/>
  <c r="AM209" i="9"/>
  <c r="AI209" i="9"/>
  <c r="Q61" i="9"/>
  <c r="T61" i="9"/>
  <c r="V209" i="9"/>
  <c r="AN209" i="9"/>
  <c r="AO209" i="9"/>
  <c r="AA209" i="9"/>
  <c r="AA61" i="9"/>
  <c r="T209" i="9"/>
  <c r="U209" i="9"/>
  <c r="X209" i="9"/>
  <c r="W61" i="9"/>
  <c r="L209" i="9"/>
  <c r="AR209" i="9" s="1"/>
  <c r="AB209" i="9"/>
  <c r="O209" i="9"/>
  <c r="R61" i="9"/>
  <c r="AI61" i="9"/>
  <c r="AM61" i="9"/>
  <c r="V61" i="9"/>
  <c r="AO61" i="9"/>
  <c r="AB61" i="9"/>
  <c r="P61" i="9"/>
  <c r="AF61" i="9"/>
  <c r="AG210" i="9"/>
  <c r="T210" i="9"/>
  <c r="AM210" i="9"/>
  <c r="M61" i="9"/>
  <c r="AL61" i="9"/>
  <c r="U61" i="9"/>
  <c r="AJ61" i="9"/>
  <c r="AD28" i="9"/>
  <c r="AA210" i="9"/>
  <c r="AH61" i="9"/>
  <c r="O61" i="9"/>
  <c r="AG61" i="9"/>
  <c r="R210" i="9"/>
  <c r="N210" i="9"/>
  <c r="L61" i="9"/>
  <c r="AR61" i="9" s="1"/>
  <c r="S61" i="9"/>
  <c r="N61" i="9"/>
  <c r="X61" i="9"/>
  <c r="AE210" i="9"/>
  <c r="AK61" i="9"/>
  <c r="AE61" i="9"/>
  <c r="AN61" i="9"/>
  <c r="AM28" i="9"/>
  <c r="L210" i="9"/>
  <c r="AR210" i="9" s="1"/>
  <c r="AS210" i="9" s="1"/>
  <c r="AL210" i="9"/>
  <c r="R28" i="9"/>
  <c r="V210" i="9"/>
  <c r="AK210" i="9"/>
  <c r="V58" i="9"/>
  <c r="X210" i="9"/>
  <c r="AH210" i="9"/>
  <c r="M28" i="9"/>
  <c r="AN210" i="9"/>
  <c r="Z210" i="9"/>
  <c r="Q210" i="9"/>
  <c r="Y210" i="9"/>
  <c r="P210" i="9"/>
  <c r="R30" i="9"/>
  <c r="AF210" i="9"/>
  <c r="AD210" i="9"/>
  <c r="AB210" i="9"/>
  <c r="AJ210" i="9"/>
  <c r="AJ117" i="9"/>
  <c r="O210" i="9"/>
  <c r="AC210" i="9"/>
  <c r="U210" i="9"/>
  <c r="AO210" i="9"/>
  <c r="Y117" i="9"/>
  <c r="AI210" i="9"/>
  <c r="S210" i="9"/>
  <c r="W210" i="9"/>
  <c r="AH117" i="9"/>
  <c r="M117" i="9"/>
  <c r="AH30" i="9"/>
  <c r="O117" i="9"/>
  <c r="AD117" i="9"/>
  <c r="R117" i="9"/>
  <c r="AI117" i="9"/>
  <c r="Q30" i="9"/>
  <c r="AN30" i="9"/>
  <c r="AF30" i="9"/>
  <c r="O30" i="9"/>
  <c r="AB28" i="9"/>
  <c r="T28" i="9"/>
  <c r="L86" i="9"/>
  <c r="AR86" i="9" s="1"/>
  <c r="Y30" i="9"/>
  <c r="S30" i="9"/>
  <c r="O28" i="9"/>
  <c r="P28" i="9"/>
  <c r="V30" i="9"/>
  <c r="AB30" i="9"/>
  <c r="AD30" i="9"/>
  <c r="N30" i="9"/>
  <c r="L28" i="9"/>
  <c r="AR28" i="9" s="1"/>
  <c r="AM30" i="9"/>
  <c r="P30" i="9"/>
  <c r="AO30" i="9"/>
  <c r="AN28" i="9"/>
  <c r="AF28" i="9"/>
  <c r="Z30" i="9"/>
  <c r="Z28" i="9"/>
  <c r="L30" i="9"/>
  <c r="AR30" i="9" s="1"/>
  <c r="AE30" i="9"/>
  <c r="AK30" i="9"/>
  <c r="AK28" i="9"/>
  <c r="S28" i="9"/>
  <c r="AA30" i="9"/>
  <c r="W30" i="9"/>
  <c r="M30" i="9"/>
  <c r="U28" i="9"/>
  <c r="AA28" i="9"/>
  <c r="AI28" i="9"/>
  <c r="AC28" i="9"/>
  <c r="W28" i="9"/>
  <c r="AH28" i="9"/>
  <c r="AE28" i="9"/>
  <c r="AG28" i="9"/>
  <c r="Y28" i="9"/>
  <c r="AL28" i="9"/>
  <c r="X28" i="9"/>
  <c r="AO28" i="9"/>
  <c r="N28" i="9"/>
  <c r="V28" i="9"/>
  <c r="AJ28" i="9"/>
  <c r="O58" i="9"/>
  <c r="U30" i="9"/>
  <c r="AI30" i="9"/>
  <c r="AG30" i="9"/>
  <c r="T30" i="9"/>
  <c r="AM58" i="9"/>
  <c r="AO58" i="9"/>
  <c r="AC30" i="9"/>
  <c r="AL30" i="9"/>
  <c r="X30" i="9"/>
  <c r="Q196" i="29"/>
  <c r="AA58" i="9"/>
  <c r="AS176" i="9"/>
  <c r="AT176" i="9" s="1"/>
  <c r="AU176" i="9" s="1"/>
  <c r="AV176" i="9" s="1"/>
  <c r="AW176" i="9" s="1"/>
  <c r="AX176" i="9" s="1"/>
  <c r="AY176" i="9" s="1"/>
  <c r="AZ176" i="9" s="1"/>
  <c r="BA176" i="9" s="1"/>
  <c r="BB176" i="9" s="1"/>
  <c r="BC176" i="9" s="1"/>
  <c r="BD176" i="9" s="1"/>
  <c r="BE176" i="9" s="1"/>
  <c r="BF176" i="9" s="1"/>
  <c r="BG176" i="9" s="1"/>
  <c r="BH176" i="9" s="1"/>
  <c r="BI176" i="9" s="1"/>
  <c r="BJ176" i="9" s="1"/>
  <c r="BK176" i="9" s="1"/>
  <c r="BL176" i="9" s="1"/>
  <c r="BM176" i="9" s="1"/>
  <c r="BN176" i="9" s="1"/>
  <c r="BO176" i="9" s="1"/>
  <c r="BP176" i="9" s="1"/>
  <c r="BQ176" i="9" s="1"/>
  <c r="BR176" i="9" s="1"/>
  <c r="BS176" i="9" s="1"/>
  <c r="BT176" i="9" s="1"/>
  <c r="BU176" i="9" s="1"/>
  <c r="L58" i="9"/>
  <c r="AR58" i="9" s="1"/>
  <c r="T233" i="9"/>
  <c r="N58" i="9"/>
  <c r="AE58" i="9"/>
  <c r="AF58" i="9"/>
  <c r="P58" i="9"/>
  <c r="AD58" i="9"/>
  <c r="Q58" i="9"/>
  <c r="AJ58" i="9"/>
  <c r="U58" i="9"/>
  <c r="R58" i="9"/>
  <c r="T58" i="9"/>
  <c r="AG58" i="9"/>
  <c r="Z58" i="9"/>
  <c r="AL58" i="9"/>
  <c r="X58" i="9"/>
  <c r="AB58" i="9"/>
  <c r="AI58" i="9"/>
  <c r="AC58" i="9"/>
  <c r="AN58" i="9"/>
  <c r="AH58" i="9"/>
  <c r="W58" i="9"/>
  <c r="M58" i="9"/>
  <c r="Y58" i="9"/>
  <c r="AK58" i="9"/>
  <c r="AC86" i="9"/>
  <c r="W86" i="9"/>
  <c r="U196" i="19"/>
  <c r="L196" i="29"/>
  <c r="Y196" i="29"/>
  <c r="AM86" i="9"/>
  <c r="R196" i="29"/>
  <c r="AR97" i="9"/>
  <c r="AS97" i="9" s="1"/>
  <c r="AE117" i="9"/>
  <c r="X117" i="9"/>
  <c r="P117" i="9"/>
  <c r="W56" i="9"/>
  <c r="Z117" i="9"/>
  <c r="AC117" i="9"/>
  <c r="AE235" i="9"/>
  <c r="L117" i="9"/>
  <c r="AR117" i="9" s="1"/>
  <c r="AA117" i="9"/>
  <c r="AO117" i="9"/>
  <c r="Q117" i="9"/>
  <c r="V117" i="9"/>
  <c r="AN117" i="9"/>
  <c r="AN235" i="9"/>
  <c r="AF117" i="9"/>
  <c r="T117" i="9"/>
  <c r="AB117" i="9"/>
  <c r="AG117" i="9"/>
  <c r="N117" i="9"/>
  <c r="U117" i="9"/>
  <c r="AI235" i="9"/>
  <c r="W117" i="9"/>
  <c r="AK117" i="9"/>
  <c r="S117" i="9"/>
  <c r="AM117" i="9"/>
  <c r="AS60" i="9"/>
  <c r="AT60" i="9" s="1"/>
  <c r="AU60" i="9" s="1"/>
  <c r="AV60" i="9" s="1"/>
  <c r="AW60" i="9" s="1"/>
  <c r="AX60" i="9" s="1"/>
  <c r="AY60" i="9" s="1"/>
  <c r="AZ60" i="9" s="1"/>
  <c r="BA60" i="9" s="1"/>
  <c r="BB60" i="9" s="1"/>
  <c r="BC60" i="9" s="1"/>
  <c r="BD60" i="9" s="1"/>
  <c r="BE60" i="9" s="1"/>
  <c r="BF60" i="9" s="1"/>
  <c r="BG60" i="9" s="1"/>
  <c r="BH60" i="9" s="1"/>
  <c r="BI60" i="9" s="1"/>
  <c r="BJ60" i="9" s="1"/>
  <c r="BK60" i="9" s="1"/>
  <c r="BL60" i="9" s="1"/>
  <c r="BM60" i="9" s="1"/>
  <c r="BN60" i="9" s="1"/>
  <c r="BO60" i="9" s="1"/>
  <c r="BP60" i="9" s="1"/>
  <c r="BQ60" i="9" s="1"/>
  <c r="BR60" i="9" s="1"/>
  <c r="BS60" i="9" s="1"/>
  <c r="BT60" i="9" s="1"/>
  <c r="BU60" i="9" s="1"/>
  <c r="X195" i="19"/>
  <c r="Q233" i="9"/>
  <c r="K169" i="35"/>
  <c r="M169" i="35" s="1"/>
  <c r="M170" i="35" s="1"/>
  <c r="Q243" i="35" s="1"/>
  <c r="E70" i="33"/>
  <c r="F70" i="33" s="1"/>
  <c r="Y233" i="9"/>
  <c r="AR100" i="9"/>
  <c r="AS100" i="9" s="1"/>
  <c r="R195" i="19"/>
  <c r="AB233" i="9"/>
  <c r="AR194" i="9"/>
  <c r="AS194" i="9" s="1"/>
  <c r="V233" i="9"/>
  <c r="P86" i="9"/>
  <c r="L196" i="19"/>
  <c r="M13" i="13" s="1"/>
  <c r="K195" i="19"/>
  <c r="Z233" i="9"/>
  <c r="M195" i="19"/>
  <c r="S196" i="19"/>
  <c r="AR79" i="9"/>
  <c r="AS79" i="9" s="1"/>
  <c r="Q195" i="19"/>
  <c r="O233" i="9"/>
  <c r="O196" i="19"/>
  <c r="T195" i="19"/>
  <c r="AH86" i="9"/>
  <c r="X86" i="9"/>
  <c r="AR106" i="9"/>
  <c r="AS106" i="9" s="1"/>
  <c r="W195" i="19"/>
  <c r="AO233" i="9"/>
  <c r="Q56" i="9"/>
  <c r="L195" i="29"/>
  <c r="W196" i="29"/>
  <c r="AK56" i="9"/>
  <c r="N195" i="29"/>
  <c r="AS83" i="9"/>
  <c r="AT83" i="9" s="1"/>
  <c r="AU83" i="9" s="1"/>
  <c r="AV83" i="9" s="1"/>
  <c r="AW83" i="9" s="1"/>
  <c r="AX83" i="9" s="1"/>
  <c r="AY83" i="9" s="1"/>
  <c r="AZ83" i="9" s="1"/>
  <c r="BA83" i="9" s="1"/>
  <c r="BB83" i="9" s="1"/>
  <c r="BC83" i="9" s="1"/>
  <c r="BD83" i="9" s="1"/>
  <c r="BE83" i="9" s="1"/>
  <c r="BF83" i="9" s="1"/>
  <c r="BG83" i="9" s="1"/>
  <c r="BH83" i="9" s="1"/>
  <c r="BI83" i="9" s="1"/>
  <c r="BJ83" i="9" s="1"/>
  <c r="BK83" i="9" s="1"/>
  <c r="BL83" i="9" s="1"/>
  <c r="BM83" i="9" s="1"/>
  <c r="BN83" i="9" s="1"/>
  <c r="BO83" i="9" s="1"/>
  <c r="BP83" i="9" s="1"/>
  <c r="BQ83" i="9" s="1"/>
  <c r="BR83" i="9" s="1"/>
  <c r="BS83" i="9" s="1"/>
  <c r="BT83" i="9" s="1"/>
  <c r="BU83" i="9" s="1"/>
  <c r="M56" i="9"/>
  <c r="AR76" i="9"/>
  <c r="AS76" i="9" s="1"/>
  <c r="P196" i="29"/>
  <c r="AE56" i="9"/>
  <c r="U239" i="30"/>
  <c r="T56" i="9"/>
  <c r="D105" i="25"/>
  <c r="D103" i="25" s="1"/>
  <c r="D106" i="25" s="1"/>
  <c r="X196" i="29"/>
  <c r="O56" i="9"/>
  <c r="P239" i="30"/>
  <c r="K182" i="48"/>
  <c r="M182" i="48" s="1"/>
  <c r="M183" i="48" s="1"/>
  <c r="W265" i="48" s="1"/>
  <c r="AR161" i="9"/>
  <c r="AS161" i="9" s="1"/>
  <c r="AT161" i="9" s="1"/>
  <c r="X56" i="9"/>
  <c r="U195" i="29"/>
  <c r="Y195" i="29"/>
  <c r="V196" i="19"/>
  <c r="X196" i="19"/>
  <c r="AH235" i="9"/>
  <c r="N235" i="9"/>
  <c r="AM56" i="9"/>
  <c r="AN56" i="9"/>
  <c r="AJ56" i="9"/>
  <c r="AO56" i="9"/>
  <c r="K195" i="29"/>
  <c r="X195" i="29"/>
  <c r="P196" i="19"/>
  <c r="K196" i="19"/>
  <c r="AB235" i="9"/>
  <c r="M235" i="9"/>
  <c r="M196" i="29"/>
  <c r="N69" i="13" s="1"/>
  <c r="V196" i="29"/>
  <c r="AD56" i="9"/>
  <c r="N56" i="9"/>
  <c r="AC56" i="9"/>
  <c r="U56" i="9"/>
  <c r="S233" i="9"/>
  <c r="AD233" i="9"/>
  <c r="S195" i="29"/>
  <c r="R195" i="29"/>
  <c r="D23" i="25"/>
  <c r="D21" i="25" s="1"/>
  <c r="D24" i="25" s="1"/>
  <c r="Z56" i="9"/>
  <c r="Q196" i="19"/>
  <c r="T235" i="9"/>
  <c r="AS120" i="9"/>
  <c r="AT120" i="9" s="1"/>
  <c r="AU120" i="9" s="1"/>
  <c r="AV120" i="9" s="1"/>
  <c r="AW120" i="9" s="1"/>
  <c r="AX120" i="9" s="1"/>
  <c r="AY120" i="9" s="1"/>
  <c r="AZ120" i="9" s="1"/>
  <c r="BA120" i="9" s="1"/>
  <c r="BB120" i="9" s="1"/>
  <c r="BC120" i="9" s="1"/>
  <c r="BD120" i="9" s="1"/>
  <c r="BE120" i="9" s="1"/>
  <c r="BF120" i="9" s="1"/>
  <c r="BG120" i="9" s="1"/>
  <c r="BH120" i="9" s="1"/>
  <c r="BI120" i="9" s="1"/>
  <c r="BJ120" i="9" s="1"/>
  <c r="BK120" i="9" s="1"/>
  <c r="BL120" i="9" s="1"/>
  <c r="BM120" i="9" s="1"/>
  <c r="BN120" i="9" s="1"/>
  <c r="BO120" i="9" s="1"/>
  <c r="BP120" i="9" s="1"/>
  <c r="BQ120" i="9" s="1"/>
  <c r="BR120" i="9" s="1"/>
  <c r="BS120" i="9" s="1"/>
  <c r="BT120" i="9" s="1"/>
  <c r="BU120" i="9" s="1"/>
  <c r="T196" i="29"/>
  <c r="N196" i="29"/>
  <c r="AI56" i="9"/>
  <c r="AF56" i="9"/>
  <c r="Y56" i="9"/>
  <c r="X233" i="9"/>
  <c r="AI233" i="9"/>
  <c r="Q195" i="29"/>
  <c r="E100" i="33"/>
  <c r="F100" i="33" s="1"/>
  <c r="AR191" i="9"/>
  <c r="M196" i="19"/>
  <c r="AB56" i="9"/>
  <c r="V195" i="29"/>
  <c r="T195" i="29"/>
  <c r="R239" i="52"/>
  <c r="AS142" i="9"/>
  <c r="AT142" i="9" s="1"/>
  <c r="AU142" i="9" s="1"/>
  <c r="AV142" i="9" s="1"/>
  <c r="AW142" i="9" s="1"/>
  <c r="AX142" i="9" s="1"/>
  <c r="AY142" i="9" s="1"/>
  <c r="AZ142" i="9" s="1"/>
  <c r="BA142" i="9" s="1"/>
  <c r="BB142" i="9" s="1"/>
  <c r="BC142" i="9" s="1"/>
  <c r="BD142" i="9" s="1"/>
  <c r="BE142" i="9" s="1"/>
  <c r="BF142" i="9" s="1"/>
  <c r="BG142" i="9" s="1"/>
  <c r="BH142" i="9" s="1"/>
  <c r="BI142" i="9" s="1"/>
  <c r="BJ142" i="9" s="1"/>
  <c r="BK142" i="9" s="1"/>
  <c r="BL142" i="9" s="1"/>
  <c r="BM142" i="9" s="1"/>
  <c r="BN142" i="9" s="1"/>
  <c r="BO142" i="9" s="1"/>
  <c r="BP142" i="9" s="1"/>
  <c r="BQ142" i="9" s="1"/>
  <c r="BR142" i="9" s="1"/>
  <c r="BS142" i="9" s="1"/>
  <c r="BT142" i="9" s="1"/>
  <c r="BU142" i="9" s="1"/>
  <c r="T239" i="52"/>
  <c r="T196" i="19"/>
  <c r="R196" i="19"/>
  <c r="W235" i="9"/>
  <c r="U196" i="29"/>
  <c r="K196" i="29"/>
  <c r="L56" i="9"/>
  <c r="AR56" i="9" s="1"/>
  <c r="P56" i="9"/>
  <c r="AH56" i="9"/>
  <c r="AL56" i="9"/>
  <c r="M233" i="9"/>
  <c r="W195" i="29"/>
  <c r="O195" i="29"/>
  <c r="Y196" i="19"/>
  <c r="U235" i="9"/>
  <c r="S56" i="9"/>
  <c r="N196" i="19"/>
  <c r="W196" i="19"/>
  <c r="AS114" i="9"/>
  <c r="AT114" i="9" s="1"/>
  <c r="AU114" i="9" s="1"/>
  <c r="AV114" i="9" s="1"/>
  <c r="AW114" i="9" s="1"/>
  <c r="AX114" i="9" s="1"/>
  <c r="AY114" i="9" s="1"/>
  <c r="AZ114" i="9" s="1"/>
  <c r="BA114" i="9" s="1"/>
  <c r="BB114" i="9" s="1"/>
  <c r="BC114" i="9" s="1"/>
  <c r="BD114" i="9" s="1"/>
  <c r="BE114" i="9" s="1"/>
  <c r="BF114" i="9" s="1"/>
  <c r="BG114" i="9" s="1"/>
  <c r="BH114" i="9" s="1"/>
  <c r="BI114" i="9" s="1"/>
  <c r="BJ114" i="9" s="1"/>
  <c r="BK114" i="9" s="1"/>
  <c r="BL114" i="9" s="1"/>
  <c r="BM114" i="9" s="1"/>
  <c r="BN114" i="9" s="1"/>
  <c r="BO114" i="9" s="1"/>
  <c r="BP114" i="9" s="1"/>
  <c r="BQ114" i="9" s="1"/>
  <c r="BR114" i="9" s="1"/>
  <c r="BS114" i="9" s="1"/>
  <c r="BT114" i="9" s="1"/>
  <c r="BU114" i="9" s="1"/>
  <c r="Z235" i="9"/>
  <c r="R235" i="9"/>
  <c r="O196" i="29"/>
  <c r="S196" i="29"/>
  <c r="V56" i="9"/>
  <c r="AA56" i="9"/>
  <c r="AG56" i="9"/>
  <c r="L233" i="9"/>
  <c r="AR233" i="9" s="1"/>
  <c r="R233" i="9"/>
  <c r="P195" i="29"/>
  <c r="M160" i="9"/>
  <c r="N160" i="9" s="1"/>
  <c r="O160" i="9" s="1"/>
  <c r="L239" i="30"/>
  <c r="Q239" i="30"/>
  <c r="AE86" i="9"/>
  <c r="Q86" i="9"/>
  <c r="AS31" i="9"/>
  <c r="AT31" i="9" s="1"/>
  <c r="AU31" i="9" s="1"/>
  <c r="AV31" i="9" s="1"/>
  <c r="AW31" i="9" s="1"/>
  <c r="AX31" i="9" s="1"/>
  <c r="AY31" i="9" s="1"/>
  <c r="AZ31" i="9" s="1"/>
  <c r="BA31" i="9" s="1"/>
  <c r="BB31" i="9" s="1"/>
  <c r="BC31" i="9" s="1"/>
  <c r="BD31" i="9" s="1"/>
  <c r="BE31" i="9" s="1"/>
  <c r="BF31" i="9" s="1"/>
  <c r="BG31" i="9" s="1"/>
  <c r="BH31" i="9" s="1"/>
  <c r="BI31" i="9" s="1"/>
  <c r="BJ31" i="9" s="1"/>
  <c r="BK31" i="9" s="1"/>
  <c r="BL31" i="9" s="1"/>
  <c r="BM31" i="9" s="1"/>
  <c r="BN31" i="9" s="1"/>
  <c r="BO31" i="9" s="1"/>
  <c r="BP31" i="9" s="1"/>
  <c r="BQ31" i="9" s="1"/>
  <c r="BR31" i="9" s="1"/>
  <c r="BS31" i="9" s="1"/>
  <c r="BT31" i="9" s="1"/>
  <c r="BU31" i="9" s="1"/>
  <c r="AR135" i="9"/>
  <c r="AS135" i="9" s="1"/>
  <c r="AK235" i="9"/>
  <c r="AD235" i="9"/>
  <c r="Q235" i="9"/>
  <c r="X235" i="9"/>
  <c r="V195" i="19"/>
  <c r="P195" i="19"/>
  <c r="AL233" i="9"/>
  <c r="AM233" i="9"/>
  <c r="N233" i="9"/>
  <c r="N194" i="9"/>
  <c r="O194" i="9" s="1"/>
  <c r="S239" i="30"/>
  <c r="M239" i="30"/>
  <c r="AJ235" i="9"/>
  <c r="O235" i="9"/>
  <c r="X239" i="30"/>
  <c r="V239" i="30"/>
  <c r="AN86" i="9"/>
  <c r="AS174" i="9"/>
  <c r="AT174" i="9" s="1"/>
  <c r="AU174" i="9" s="1"/>
  <c r="AV174" i="9" s="1"/>
  <c r="AW174" i="9" s="1"/>
  <c r="AX174" i="9" s="1"/>
  <c r="AY174" i="9" s="1"/>
  <c r="AZ174" i="9" s="1"/>
  <c r="BA174" i="9" s="1"/>
  <c r="BB174" i="9" s="1"/>
  <c r="BC174" i="9" s="1"/>
  <c r="BD174" i="9" s="1"/>
  <c r="BE174" i="9" s="1"/>
  <c r="BF174" i="9" s="1"/>
  <c r="BG174" i="9" s="1"/>
  <c r="BH174" i="9" s="1"/>
  <c r="BI174" i="9" s="1"/>
  <c r="BJ174" i="9" s="1"/>
  <c r="BK174" i="9" s="1"/>
  <c r="BL174" i="9" s="1"/>
  <c r="BM174" i="9" s="1"/>
  <c r="BN174" i="9" s="1"/>
  <c r="BO174" i="9" s="1"/>
  <c r="BP174" i="9" s="1"/>
  <c r="BQ174" i="9" s="1"/>
  <c r="BR174" i="9" s="1"/>
  <c r="BS174" i="9" s="1"/>
  <c r="BT174" i="9" s="1"/>
  <c r="BU174" i="9" s="1"/>
  <c r="S235" i="9"/>
  <c r="AL235" i="9"/>
  <c r="AC235" i="9"/>
  <c r="AR129" i="9"/>
  <c r="AS129" i="9" s="1"/>
  <c r="O195" i="19"/>
  <c r="U195" i="19"/>
  <c r="AS180" i="9"/>
  <c r="AT180" i="9" s="1"/>
  <c r="AU180" i="9" s="1"/>
  <c r="AV180" i="9" s="1"/>
  <c r="AW180" i="9" s="1"/>
  <c r="AX180" i="9" s="1"/>
  <c r="AY180" i="9" s="1"/>
  <c r="AZ180" i="9" s="1"/>
  <c r="BA180" i="9" s="1"/>
  <c r="BB180" i="9" s="1"/>
  <c r="BC180" i="9" s="1"/>
  <c r="BD180" i="9" s="1"/>
  <c r="BE180" i="9" s="1"/>
  <c r="BF180" i="9" s="1"/>
  <c r="BG180" i="9" s="1"/>
  <c r="BH180" i="9" s="1"/>
  <c r="BI180" i="9" s="1"/>
  <c r="BJ180" i="9" s="1"/>
  <c r="BK180" i="9" s="1"/>
  <c r="BL180" i="9" s="1"/>
  <c r="BM180" i="9" s="1"/>
  <c r="BN180" i="9" s="1"/>
  <c r="BO180" i="9" s="1"/>
  <c r="BP180" i="9" s="1"/>
  <c r="BQ180" i="9" s="1"/>
  <c r="BR180" i="9" s="1"/>
  <c r="BS180" i="9" s="1"/>
  <c r="BT180" i="9" s="1"/>
  <c r="BU180" i="9" s="1"/>
  <c r="W233" i="9"/>
  <c r="AA233" i="9"/>
  <c r="AK233" i="9"/>
  <c r="AN233" i="9"/>
  <c r="R239" i="30"/>
  <c r="E115" i="33"/>
  <c r="F115" i="33" s="1"/>
  <c r="M105" i="9"/>
  <c r="N105" i="9" s="1"/>
  <c r="AA235" i="9"/>
  <c r="N86" i="9"/>
  <c r="AG235" i="9"/>
  <c r="AO235" i="9"/>
  <c r="AM235" i="9"/>
  <c r="V235" i="9"/>
  <c r="N129" i="9"/>
  <c r="O129" i="9" s="1"/>
  <c r="N195" i="19"/>
  <c r="Y195" i="19"/>
  <c r="AH233" i="9"/>
  <c r="U233" i="9"/>
  <c r="AJ233" i="9"/>
  <c r="AF233" i="9"/>
  <c r="W239" i="30"/>
  <c r="N239" i="30"/>
  <c r="K266" i="52"/>
  <c r="K167" i="52" s="1"/>
  <c r="M167" i="52" s="1"/>
  <c r="M168" i="52" s="1"/>
  <c r="N241" i="52" s="1"/>
  <c r="O239" i="30"/>
  <c r="Y239" i="30"/>
  <c r="T86" i="9"/>
  <c r="R86" i="9"/>
  <c r="AO86" i="9"/>
  <c r="AG86" i="9"/>
  <c r="AR47" i="9"/>
  <c r="AS47" i="9" s="1"/>
  <c r="L235" i="9"/>
  <c r="AR235" i="9" s="1"/>
  <c r="P235" i="9"/>
  <c r="Y235" i="9"/>
  <c r="S195" i="19"/>
  <c r="AR198" i="9"/>
  <c r="AS198" i="9" s="1"/>
  <c r="P233" i="9"/>
  <c r="AG233" i="9"/>
  <c r="AC233" i="9"/>
  <c r="T239" i="30"/>
  <c r="K167" i="30"/>
  <c r="M167" i="30" s="1"/>
  <c r="M168" i="30" s="1"/>
  <c r="R241" i="30" s="1"/>
  <c r="K268" i="30"/>
  <c r="R267" i="30" s="1"/>
  <c r="E85" i="33"/>
  <c r="F85" i="33" s="1"/>
  <c r="M15" i="9"/>
  <c r="N15" i="9" s="1"/>
  <c r="M43" i="9"/>
  <c r="N43" i="9" s="1"/>
  <c r="AP236" i="9"/>
  <c r="AK86" i="9"/>
  <c r="AB86" i="9"/>
  <c r="AD86" i="9"/>
  <c r="X239" i="52"/>
  <c r="Q239" i="52"/>
  <c r="N106" i="9"/>
  <c r="O106" i="9" s="1"/>
  <c r="AS205" i="9"/>
  <c r="AT205" i="9" s="1"/>
  <c r="AU205" i="9" s="1"/>
  <c r="AV205" i="9" s="1"/>
  <c r="AW205" i="9" s="1"/>
  <c r="AX205" i="9" s="1"/>
  <c r="AY205" i="9" s="1"/>
  <c r="AZ205" i="9" s="1"/>
  <c r="BA205" i="9" s="1"/>
  <c r="BB205" i="9" s="1"/>
  <c r="BC205" i="9" s="1"/>
  <c r="BD205" i="9" s="1"/>
  <c r="BE205" i="9" s="1"/>
  <c r="BF205" i="9" s="1"/>
  <c r="BG205" i="9" s="1"/>
  <c r="BH205" i="9" s="1"/>
  <c r="BI205" i="9" s="1"/>
  <c r="BJ205" i="9" s="1"/>
  <c r="BK205" i="9" s="1"/>
  <c r="BL205" i="9" s="1"/>
  <c r="BM205" i="9" s="1"/>
  <c r="BN205" i="9" s="1"/>
  <c r="BO205" i="9" s="1"/>
  <c r="BP205" i="9" s="1"/>
  <c r="BQ205" i="9" s="1"/>
  <c r="BR205" i="9" s="1"/>
  <c r="BS205" i="9" s="1"/>
  <c r="BT205" i="9" s="1"/>
  <c r="BU205" i="9" s="1"/>
  <c r="J289" i="48"/>
  <c r="Y288" i="48" s="1"/>
  <c r="AF86" i="9"/>
  <c r="O86" i="9"/>
  <c r="AJ86" i="9"/>
  <c r="AA86" i="9"/>
  <c r="L239" i="52"/>
  <c r="S239" i="52"/>
  <c r="AR46" i="9"/>
  <c r="AS46" i="9" s="1"/>
  <c r="Z239" i="52"/>
  <c r="M196" i="9"/>
  <c r="AS196" i="9" s="1"/>
  <c r="Y86" i="9"/>
  <c r="AL86" i="9"/>
  <c r="Z86" i="9"/>
  <c r="AI86" i="9"/>
  <c r="AS175" i="9"/>
  <c r="AT175" i="9" s="1"/>
  <c r="AU175" i="9" s="1"/>
  <c r="AV175" i="9" s="1"/>
  <c r="AW175" i="9" s="1"/>
  <c r="AX175" i="9" s="1"/>
  <c r="AY175" i="9" s="1"/>
  <c r="AZ175" i="9" s="1"/>
  <c r="BA175" i="9" s="1"/>
  <c r="BB175" i="9" s="1"/>
  <c r="BC175" i="9" s="1"/>
  <c r="BD175" i="9" s="1"/>
  <c r="BE175" i="9" s="1"/>
  <c r="BF175" i="9" s="1"/>
  <c r="BG175" i="9" s="1"/>
  <c r="BH175" i="9" s="1"/>
  <c r="BI175" i="9" s="1"/>
  <c r="BJ175" i="9" s="1"/>
  <c r="BK175" i="9" s="1"/>
  <c r="BL175" i="9" s="1"/>
  <c r="BM175" i="9" s="1"/>
  <c r="BN175" i="9" s="1"/>
  <c r="BO175" i="9" s="1"/>
  <c r="BP175" i="9" s="1"/>
  <c r="BQ175" i="9" s="1"/>
  <c r="BR175" i="9" s="1"/>
  <c r="BS175" i="9" s="1"/>
  <c r="BT175" i="9" s="1"/>
  <c r="BU175" i="9" s="1"/>
  <c r="AP208" i="9"/>
  <c r="N239" i="52"/>
  <c r="Y239" i="52"/>
  <c r="P239" i="52"/>
  <c r="O239" i="52"/>
  <c r="V239" i="52"/>
  <c r="U239" i="52"/>
  <c r="AS211" i="9"/>
  <c r="AT211" i="9" s="1"/>
  <c r="AU211" i="9" s="1"/>
  <c r="AV211" i="9" s="1"/>
  <c r="AW211" i="9" s="1"/>
  <c r="AX211" i="9" s="1"/>
  <c r="AY211" i="9" s="1"/>
  <c r="AZ211" i="9" s="1"/>
  <c r="BA211" i="9" s="1"/>
  <c r="BB211" i="9" s="1"/>
  <c r="BC211" i="9" s="1"/>
  <c r="BD211" i="9" s="1"/>
  <c r="BE211" i="9" s="1"/>
  <c r="BF211" i="9" s="1"/>
  <c r="BG211" i="9" s="1"/>
  <c r="BH211" i="9" s="1"/>
  <c r="BI211" i="9" s="1"/>
  <c r="BJ211" i="9" s="1"/>
  <c r="BK211" i="9" s="1"/>
  <c r="BL211" i="9" s="1"/>
  <c r="BM211" i="9" s="1"/>
  <c r="BN211" i="9" s="1"/>
  <c r="BO211" i="9" s="1"/>
  <c r="BP211" i="9" s="1"/>
  <c r="BQ211" i="9" s="1"/>
  <c r="BR211" i="9" s="1"/>
  <c r="BS211" i="9" s="1"/>
  <c r="BT211" i="9" s="1"/>
  <c r="BU211" i="9" s="1"/>
  <c r="M86" i="9"/>
  <c r="S86" i="9"/>
  <c r="V86" i="9"/>
  <c r="W239" i="52"/>
  <c r="J270" i="35"/>
  <c r="Q269" i="35" s="1"/>
  <c r="Y219" i="29"/>
  <c r="Q219" i="29"/>
  <c r="P219" i="29"/>
  <c r="V219" i="29"/>
  <c r="X219" i="29"/>
  <c r="R219" i="29"/>
  <c r="T219" i="29"/>
  <c r="U219" i="29"/>
  <c r="W219" i="29"/>
  <c r="N219" i="29"/>
  <c r="L219" i="29"/>
  <c r="O219" i="29"/>
  <c r="S219" i="29"/>
  <c r="M219" i="29"/>
  <c r="K219" i="29"/>
  <c r="L91" i="13"/>
  <c r="L92" i="13" s="1"/>
  <c r="J43" i="33" s="1"/>
  <c r="U11" i="6"/>
  <c r="U14" i="6" s="1"/>
  <c r="J153" i="29"/>
  <c r="K153" i="29" s="1"/>
  <c r="L153" i="29" s="1"/>
  <c r="L156" i="29" s="1"/>
  <c r="F38" i="56"/>
  <c r="H250" i="56" s="1"/>
  <c r="M62" i="40"/>
  <c r="K107" i="40"/>
  <c r="M107" i="40" s="1"/>
  <c r="K108" i="40"/>
  <c r="M108" i="40" s="1"/>
  <c r="K106" i="40"/>
  <c r="M106" i="40" s="1"/>
  <c r="L227" i="9"/>
  <c r="M162" i="9"/>
  <c r="N162" i="9" s="1"/>
  <c r="M104" i="9"/>
  <c r="N104" i="9" s="1"/>
  <c r="O104" i="9" s="1"/>
  <c r="M226" i="9"/>
  <c r="N226" i="9" s="1"/>
  <c r="L156" i="9"/>
  <c r="M156" i="9" s="1"/>
  <c r="N229" i="35"/>
  <c r="R229" i="35"/>
  <c r="W229" i="35"/>
  <c r="S229" i="35"/>
  <c r="Y229" i="35"/>
  <c r="Z229" i="35"/>
  <c r="X229" i="35"/>
  <c r="U229" i="35"/>
  <c r="T229" i="35"/>
  <c r="V229" i="35"/>
  <c r="P229" i="35"/>
  <c r="M229" i="35"/>
  <c r="O229" i="35"/>
  <c r="L229" i="35"/>
  <c r="Q229" i="35"/>
  <c r="L45" i="9"/>
  <c r="M45" i="9" s="1"/>
  <c r="L49" i="9"/>
  <c r="AR49" i="9" s="1"/>
  <c r="L200" i="9"/>
  <c r="AR200" i="9" s="1"/>
  <c r="AP142" i="9"/>
  <c r="AP211" i="9"/>
  <c r="F69" i="33"/>
  <c r="M131" i="9"/>
  <c r="N131" i="9" s="1"/>
  <c r="M12" i="30"/>
  <c r="L26" i="30"/>
  <c r="M26" i="30" s="1"/>
  <c r="L28" i="30"/>
  <c r="M28" i="30" s="1"/>
  <c r="L27" i="30"/>
  <c r="M27" i="30" s="1"/>
  <c r="L25" i="30"/>
  <c r="M166" i="9"/>
  <c r="N135" i="9"/>
  <c r="AC238" i="9"/>
  <c r="Y238" i="9"/>
  <c r="O238" i="9"/>
  <c r="AA238" i="9"/>
  <c r="AG238" i="9"/>
  <c r="R238" i="9"/>
  <c r="P238" i="9"/>
  <c r="U238" i="9"/>
  <c r="AB238" i="9"/>
  <c r="AM238" i="9"/>
  <c r="AJ238" i="9"/>
  <c r="Z238" i="9"/>
  <c r="T238" i="9"/>
  <c r="S238" i="9"/>
  <c r="AL238" i="9"/>
  <c r="AD238" i="9"/>
  <c r="AO238" i="9"/>
  <c r="AF238" i="9"/>
  <c r="Q238" i="9"/>
  <c r="AN238" i="9"/>
  <c r="N238" i="9"/>
  <c r="V238" i="9"/>
  <c r="W238" i="9"/>
  <c r="X238" i="9"/>
  <c r="AE238" i="9"/>
  <c r="AH238" i="9"/>
  <c r="M238" i="9"/>
  <c r="AK238" i="9"/>
  <c r="AI238" i="9"/>
  <c r="L238" i="9"/>
  <c r="AR238" i="9" s="1"/>
  <c r="K153" i="35"/>
  <c r="M153" i="35" s="1"/>
  <c r="K35" i="35"/>
  <c r="M35" i="35" s="1"/>
  <c r="AR104" i="9"/>
  <c r="AA17" i="13"/>
  <c r="AR42" i="9"/>
  <c r="AK53" i="9"/>
  <c r="AC53" i="9"/>
  <c r="AI53" i="9"/>
  <c r="AN53" i="9"/>
  <c r="AE53" i="9"/>
  <c r="AH53" i="9"/>
  <c r="Q53" i="9"/>
  <c r="AB53" i="9"/>
  <c r="T53" i="9"/>
  <c r="R53" i="9"/>
  <c r="P53" i="9"/>
  <c r="N53" i="9"/>
  <c r="U53" i="9"/>
  <c r="AL53" i="9"/>
  <c r="AM53" i="9"/>
  <c r="AO53" i="9"/>
  <c r="Z53" i="9"/>
  <c r="I67" i="9"/>
  <c r="O53" i="9"/>
  <c r="Y53" i="9"/>
  <c r="AG53" i="9"/>
  <c r="M53" i="9"/>
  <c r="S53" i="9"/>
  <c r="AF53" i="9"/>
  <c r="V53" i="9"/>
  <c r="L53" i="9"/>
  <c r="W53" i="9"/>
  <c r="AJ53" i="9"/>
  <c r="AA53" i="9"/>
  <c r="AD53" i="9"/>
  <c r="X53" i="9"/>
  <c r="O161" i="9"/>
  <c r="N46" i="9"/>
  <c r="K75" i="31"/>
  <c r="M69" i="31"/>
  <c r="I184" i="9"/>
  <c r="AL170" i="9"/>
  <c r="AD170" i="9"/>
  <c r="AF170" i="9"/>
  <c r="M170" i="9"/>
  <c r="Z170" i="9"/>
  <c r="AJ170" i="9"/>
  <c r="AI170" i="9"/>
  <c r="N170" i="9"/>
  <c r="Y170" i="9"/>
  <c r="P170" i="9"/>
  <c r="AB170" i="9"/>
  <c r="AK170" i="9"/>
  <c r="AG170" i="9"/>
  <c r="AH170" i="9"/>
  <c r="AM170" i="9"/>
  <c r="O170" i="9"/>
  <c r="R170" i="9"/>
  <c r="L170" i="9"/>
  <c r="AR170" i="9" s="1"/>
  <c r="S170" i="9"/>
  <c r="AE170" i="9"/>
  <c r="AO170" i="9"/>
  <c r="X170" i="9"/>
  <c r="AA170" i="9"/>
  <c r="AC170" i="9"/>
  <c r="U170" i="9"/>
  <c r="T170" i="9"/>
  <c r="AN170" i="9"/>
  <c r="V170" i="9"/>
  <c r="Q170" i="9"/>
  <c r="W170" i="9"/>
  <c r="X59" i="9"/>
  <c r="AN59" i="9"/>
  <c r="AK59" i="9"/>
  <c r="AC59" i="9"/>
  <c r="Y59" i="9"/>
  <c r="AM59" i="9"/>
  <c r="N59" i="9"/>
  <c r="P59" i="9"/>
  <c r="T59" i="9"/>
  <c r="AB59" i="9"/>
  <c r="AO59" i="9"/>
  <c r="AA59" i="9"/>
  <c r="AE59" i="9"/>
  <c r="M59" i="9"/>
  <c r="V59" i="9"/>
  <c r="Z59" i="9"/>
  <c r="AH59" i="9"/>
  <c r="AI59" i="9"/>
  <c r="Q59" i="9"/>
  <c r="AJ59" i="9"/>
  <c r="AF59" i="9"/>
  <c r="U59" i="9"/>
  <c r="O59" i="9"/>
  <c r="W59" i="9"/>
  <c r="S59" i="9"/>
  <c r="AG59" i="9"/>
  <c r="AD59" i="9"/>
  <c r="AL59" i="9"/>
  <c r="R59" i="9"/>
  <c r="L59" i="9"/>
  <c r="AJ63" i="9"/>
  <c r="AD63" i="9"/>
  <c r="AK63" i="9"/>
  <c r="R63" i="9"/>
  <c r="W63" i="9"/>
  <c r="S63" i="9"/>
  <c r="AE63" i="9"/>
  <c r="N63" i="9"/>
  <c r="AN63" i="9"/>
  <c r="AF63" i="9"/>
  <c r="Y63" i="9"/>
  <c r="U63" i="9"/>
  <c r="AA63" i="9"/>
  <c r="AI63" i="9"/>
  <c r="T63" i="9"/>
  <c r="AC63" i="9"/>
  <c r="AO63" i="9"/>
  <c r="Q63" i="9"/>
  <c r="O63" i="9"/>
  <c r="Z63" i="9"/>
  <c r="P63" i="9"/>
  <c r="AG63" i="9"/>
  <c r="AB63" i="9"/>
  <c r="AH63" i="9"/>
  <c r="AM63" i="9"/>
  <c r="M63" i="9"/>
  <c r="AL63" i="9"/>
  <c r="X63" i="9"/>
  <c r="V63" i="9"/>
  <c r="L63" i="9"/>
  <c r="M103" i="9"/>
  <c r="P214" i="9"/>
  <c r="AH214" i="9"/>
  <c r="T214" i="9"/>
  <c r="AL214" i="9"/>
  <c r="AF214" i="9"/>
  <c r="V214" i="9"/>
  <c r="AK214" i="9"/>
  <c r="N214" i="9"/>
  <c r="AN214" i="9"/>
  <c r="AI214" i="9"/>
  <c r="AD214" i="9"/>
  <c r="AO214" i="9"/>
  <c r="R214" i="9"/>
  <c r="X214" i="9"/>
  <c r="S214" i="9"/>
  <c r="M214" i="9"/>
  <c r="Y214" i="9"/>
  <c r="AB214" i="9"/>
  <c r="Z214" i="9"/>
  <c r="W214" i="9"/>
  <c r="Q214" i="9"/>
  <c r="AC214" i="9"/>
  <c r="AA214" i="9"/>
  <c r="AJ214" i="9"/>
  <c r="AG214" i="9"/>
  <c r="O214" i="9"/>
  <c r="AM214" i="9"/>
  <c r="AE214" i="9"/>
  <c r="U214" i="9"/>
  <c r="L214" i="9"/>
  <c r="AR214" i="9" s="1"/>
  <c r="M101" i="9"/>
  <c r="AR195" i="9"/>
  <c r="J35" i="29"/>
  <c r="J39" i="29" s="1"/>
  <c r="I49" i="29"/>
  <c r="J49" i="29" s="1"/>
  <c r="L49" i="29" s="1"/>
  <c r="L54" i="29" s="1"/>
  <c r="L10" i="29"/>
  <c r="N47" i="9"/>
  <c r="AP31" i="9"/>
  <c r="L107" i="9"/>
  <c r="M107" i="9" s="1"/>
  <c r="N11" i="30"/>
  <c r="K57" i="30"/>
  <c r="J69" i="30"/>
  <c r="K69" i="30" s="1"/>
  <c r="M69" i="30" s="1"/>
  <c r="M75" i="30" s="1"/>
  <c r="AR166" i="9"/>
  <c r="L40" i="9"/>
  <c r="E173" i="33"/>
  <c r="W263" i="48"/>
  <c r="R263" i="48"/>
  <c r="X263" i="48"/>
  <c r="P263" i="48"/>
  <c r="M263" i="48"/>
  <c r="V263" i="48"/>
  <c r="Q263" i="48"/>
  <c r="O263" i="48"/>
  <c r="T263" i="48"/>
  <c r="S263" i="48"/>
  <c r="L263" i="48"/>
  <c r="U263" i="48"/>
  <c r="Z263" i="48"/>
  <c r="N263" i="48"/>
  <c r="Y263" i="48"/>
  <c r="AR77" i="9"/>
  <c r="AS77" i="9" s="1"/>
  <c r="L29" i="35"/>
  <c r="M29" i="35" s="1"/>
  <c r="D29" i="25"/>
  <c r="D30" i="25" s="1"/>
  <c r="M16" i="9"/>
  <c r="L39" i="9"/>
  <c r="L74" i="9"/>
  <c r="AR74" i="9" s="1"/>
  <c r="M222" i="9"/>
  <c r="K96" i="31"/>
  <c r="M96" i="31" s="1"/>
  <c r="K95" i="31"/>
  <c r="M95" i="31" s="1"/>
  <c r="E159" i="33"/>
  <c r="M163" i="9"/>
  <c r="N163" i="9" s="1"/>
  <c r="AE173" i="9"/>
  <c r="X173" i="9"/>
  <c r="AG173" i="9"/>
  <c r="M173" i="9"/>
  <c r="T173" i="9"/>
  <c r="S173" i="9"/>
  <c r="AF173" i="9"/>
  <c r="Z173" i="9"/>
  <c r="AA173" i="9"/>
  <c r="U173" i="9"/>
  <c r="AD173" i="9"/>
  <c r="P173" i="9"/>
  <c r="Q173" i="9"/>
  <c r="Y173" i="9"/>
  <c r="AL173" i="9"/>
  <c r="AJ173" i="9"/>
  <c r="O173" i="9"/>
  <c r="AH173" i="9"/>
  <c r="AK173" i="9"/>
  <c r="AB173" i="9"/>
  <c r="AM173" i="9"/>
  <c r="W173" i="9"/>
  <c r="V173" i="9"/>
  <c r="AI173" i="9"/>
  <c r="AO173" i="9"/>
  <c r="AN173" i="9"/>
  <c r="AC173" i="9"/>
  <c r="R173" i="9"/>
  <c r="N173" i="9"/>
  <c r="L173" i="9"/>
  <c r="L167" i="9"/>
  <c r="AR167" i="9" s="1"/>
  <c r="AP212" i="9"/>
  <c r="AJ27" i="9"/>
  <c r="O27" i="9"/>
  <c r="AN27" i="9"/>
  <c r="V27" i="9"/>
  <c r="Z27" i="9"/>
  <c r="T27" i="9"/>
  <c r="AG27" i="9"/>
  <c r="AD27" i="9"/>
  <c r="AE27" i="9"/>
  <c r="M27" i="9"/>
  <c r="AB27" i="9"/>
  <c r="AM27" i="9"/>
  <c r="U27" i="9"/>
  <c r="AI27" i="9"/>
  <c r="AA27" i="9"/>
  <c r="P27" i="9"/>
  <c r="W27" i="9"/>
  <c r="X27" i="9"/>
  <c r="N27" i="9"/>
  <c r="AL27" i="9"/>
  <c r="AO27" i="9"/>
  <c r="Q27" i="9"/>
  <c r="S27" i="9"/>
  <c r="Y27" i="9"/>
  <c r="AH27" i="9"/>
  <c r="AC27" i="9"/>
  <c r="AK27" i="9"/>
  <c r="AF27" i="9"/>
  <c r="R27" i="9"/>
  <c r="L27" i="9"/>
  <c r="AR27" i="9" s="1"/>
  <c r="AC178" i="9"/>
  <c r="Q178" i="9"/>
  <c r="AB178" i="9"/>
  <c r="AK178" i="9"/>
  <c r="P178" i="9"/>
  <c r="AI178" i="9"/>
  <c r="X178" i="9"/>
  <c r="T178" i="9"/>
  <c r="AA178" i="9"/>
  <c r="AJ178" i="9"/>
  <c r="N178" i="9"/>
  <c r="AL178" i="9"/>
  <c r="AH178" i="9"/>
  <c r="M178" i="9"/>
  <c r="AF178" i="9"/>
  <c r="U178" i="9"/>
  <c r="R178" i="9"/>
  <c r="W178" i="9"/>
  <c r="AN178" i="9"/>
  <c r="Z178" i="9"/>
  <c r="AD178" i="9"/>
  <c r="AG178" i="9"/>
  <c r="AO178" i="9"/>
  <c r="V178" i="9"/>
  <c r="Y178" i="9"/>
  <c r="S178" i="9"/>
  <c r="O178" i="9"/>
  <c r="AM178" i="9"/>
  <c r="AE178" i="9"/>
  <c r="L178" i="9"/>
  <c r="AR178" i="9" s="1"/>
  <c r="L223" i="9"/>
  <c r="AR223" i="9" s="1"/>
  <c r="L27" i="40"/>
  <c r="M27" i="40" s="1"/>
  <c r="L28" i="40"/>
  <c r="M28" i="40" s="1"/>
  <c r="L25" i="40"/>
  <c r="M25" i="40" s="1"/>
  <c r="L26" i="40"/>
  <c r="M26" i="40" s="1"/>
  <c r="M12" i="40"/>
  <c r="U181" i="9"/>
  <c r="Z181" i="9"/>
  <c r="O181" i="9"/>
  <c r="AI181" i="9"/>
  <c r="AF181" i="9"/>
  <c r="AA181" i="9"/>
  <c r="S181" i="9"/>
  <c r="V181" i="9"/>
  <c r="N181" i="9"/>
  <c r="Q181" i="9"/>
  <c r="AL181" i="9"/>
  <c r="R181" i="9"/>
  <c r="AD181" i="9"/>
  <c r="M181" i="9"/>
  <c r="AH181" i="9"/>
  <c r="AE181" i="9"/>
  <c r="AG181" i="9"/>
  <c r="X181" i="9"/>
  <c r="AJ181" i="9"/>
  <c r="AO181" i="9"/>
  <c r="AM181" i="9"/>
  <c r="W181" i="9"/>
  <c r="AC181" i="9"/>
  <c r="AN181" i="9"/>
  <c r="AB181" i="9"/>
  <c r="T181" i="9"/>
  <c r="P181" i="9"/>
  <c r="Y181" i="9"/>
  <c r="AK181" i="9"/>
  <c r="L181" i="9"/>
  <c r="AR181" i="9" s="1"/>
  <c r="L17" i="9"/>
  <c r="J69" i="52"/>
  <c r="K69" i="52" s="1"/>
  <c r="M69" i="52" s="1"/>
  <c r="M75" i="52" s="1"/>
  <c r="N11" i="52"/>
  <c r="K57" i="52"/>
  <c r="O112" i="9"/>
  <c r="AO112" i="9"/>
  <c r="Z112" i="9"/>
  <c r="N112" i="9"/>
  <c r="AB112" i="9"/>
  <c r="AN112" i="9"/>
  <c r="AH112" i="9"/>
  <c r="AJ112" i="9"/>
  <c r="Q112" i="9"/>
  <c r="AF112" i="9"/>
  <c r="Y112" i="9"/>
  <c r="AG112" i="9"/>
  <c r="AL112" i="9"/>
  <c r="AK112" i="9"/>
  <c r="AD112" i="9"/>
  <c r="AC112" i="9"/>
  <c r="R112" i="9"/>
  <c r="AE112" i="9"/>
  <c r="AM112" i="9"/>
  <c r="P112" i="9"/>
  <c r="U112" i="9"/>
  <c r="S112" i="9"/>
  <c r="AA112" i="9"/>
  <c r="W112" i="9"/>
  <c r="V112" i="9"/>
  <c r="X112" i="9"/>
  <c r="AI112" i="9"/>
  <c r="M112" i="9"/>
  <c r="T112" i="9"/>
  <c r="L112" i="9"/>
  <c r="AR112" i="9" s="1"/>
  <c r="N76" i="9"/>
  <c r="AP176" i="9"/>
  <c r="AK234" i="9"/>
  <c r="AO234" i="9"/>
  <c r="S234" i="9"/>
  <c r="AL234" i="9"/>
  <c r="U234" i="9"/>
  <c r="P234" i="9"/>
  <c r="O234" i="9"/>
  <c r="AB234" i="9"/>
  <c r="AF234" i="9"/>
  <c r="T234" i="9"/>
  <c r="AH234" i="9"/>
  <c r="AD234" i="9"/>
  <c r="W234" i="9"/>
  <c r="AM234" i="9"/>
  <c r="AC234" i="9"/>
  <c r="Q234" i="9"/>
  <c r="M234" i="9"/>
  <c r="AJ234" i="9"/>
  <c r="N234" i="9"/>
  <c r="AG234" i="9"/>
  <c r="AI234" i="9"/>
  <c r="X234" i="9"/>
  <c r="AE234" i="9"/>
  <c r="V234" i="9"/>
  <c r="R234" i="9"/>
  <c r="Z234" i="9"/>
  <c r="AN234" i="9"/>
  <c r="AA234" i="9"/>
  <c r="Y234" i="9"/>
  <c r="L234" i="9"/>
  <c r="AR234" i="9" s="1"/>
  <c r="E158" i="33"/>
  <c r="S239" i="40"/>
  <c r="Z239" i="40"/>
  <c r="M239" i="40"/>
  <c r="O239" i="40"/>
  <c r="U239" i="40"/>
  <c r="Q239" i="40"/>
  <c r="P239" i="40"/>
  <c r="Y239" i="40"/>
  <c r="L239" i="40"/>
  <c r="W239" i="40"/>
  <c r="X239" i="40"/>
  <c r="T239" i="40"/>
  <c r="R239" i="40"/>
  <c r="V239" i="40"/>
  <c r="N239" i="40"/>
  <c r="K82" i="35"/>
  <c r="M82" i="35" s="1"/>
  <c r="J85" i="35"/>
  <c r="K85" i="35" s="1"/>
  <c r="M85" i="35" s="1"/>
  <c r="J86" i="35"/>
  <c r="K86" i="35" s="1"/>
  <c r="M86" i="35" s="1"/>
  <c r="K81" i="35"/>
  <c r="M81" i="35" s="1"/>
  <c r="L96" i="9"/>
  <c r="F99" i="33"/>
  <c r="AP60" i="9"/>
  <c r="AO62" i="9"/>
  <c r="W62" i="9"/>
  <c r="AD62" i="9"/>
  <c r="AB62" i="9"/>
  <c r="T62" i="9"/>
  <c r="AG62" i="9"/>
  <c r="Z62" i="9"/>
  <c r="AJ62" i="9"/>
  <c r="AN62" i="9"/>
  <c r="S62" i="9"/>
  <c r="AE62" i="9"/>
  <c r="U62" i="9"/>
  <c r="AF62" i="9"/>
  <c r="AI62" i="9"/>
  <c r="AM62" i="9"/>
  <c r="AA62" i="9"/>
  <c r="M62" i="9"/>
  <c r="P62" i="9"/>
  <c r="X62" i="9"/>
  <c r="Q62" i="9"/>
  <c r="Y62" i="9"/>
  <c r="AL62" i="9"/>
  <c r="AC62" i="9"/>
  <c r="AH62" i="9"/>
  <c r="V62" i="9"/>
  <c r="AK62" i="9"/>
  <c r="R62" i="9"/>
  <c r="O62" i="9"/>
  <c r="L62" i="9"/>
  <c r="N62" i="9"/>
  <c r="J69" i="40"/>
  <c r="K69" i="40" s="1"/>
  <c r="M69" i="40" s="1"/>
  <c r="M75" i="40" s="1"/>
  <c r="N11" i="40"/>
  <c r="K57" i="40"/>
  <c r="M74" i="48"/>
  <c r="K124" i="48"/>
  <c r="M124" i="48" s="1"/>
  <c r="K125" i="48"/>
  <c r="M125" i="48" s="1"/>
  <c r="K126" i="48"/>
  <c r="M126" i="48" s="1"/>
  <c r="I92" i="9"/>
  <c r="AO82" i="9"/>
  <c r="X82" i="9"/>
  <c r="AH82" i="9"/>
  <c r="AN82" i="9"/>
  <c r="AL82" i="9"/>
  <c r="AE82" i="9"/>
  <c r="AJ82" i="9"/>
  <c r="Q82" i="9"/>
  <c r="M82" i="9"/>
  <c r="AI82" i="9"/>
  <c r="P82" i="9"/>
  <c r="W82" i="9"/>
  <c r="T82" i="9"/>
  <c r="V82" i="9"/>
  <c r="R82" i="9"/>
  <c r="AB82" i="9"/>
  <c r="O82" i="9"/>
  <c r="AA82" i="9"/>
  <c r="AF82" i="9"/>
  <c r="U82" i="9"/>
  <c r="AC82" i="9"/>
  <c r="AK82" i="9"/>
  <c r="AM82" i="9"/>
  <c r="N82" i="9"/>
  <c r="L82" i="9"/>
  <c r="AD82" i="9"/>
  <c r="S82" i="9"/>
  <c r="Y82" i="9"/>
  <c r="AG82" i="9"/>
  <c r="Z82" i="9"/>
  <c r="J213" i="48"/>
  <c r="M213" i="48" s="1"/>
  <c r="M219" i="48" s="1"/>
  <c r="J85" i="48"/>
  <c r="N11" i="48"/>
  <c r="K69" i="48"/>
  <c r="K85" i="48"/>
  <c r="M85" i="48" s="1"/>
  <c r="M91" i="48" s="1"/>
  <c r="AR21" i="9"/>
  <c r="AR136" i="9"/>
  <c r="S227" i="30"/>
  <c r="R227" i="30"/>
  <c r="P227" i="30"/>
  <c r="X227" i="30"/>
  <c r="W227" i="30"/>
  <c r="Q227" i="30"/>
  <c r="V227" i="30"/>
  <c r="Z227" i="30"/>
  <c r="N227" i="30"/>
  <c r="L227" i="30"/>
  <c r="O227" i="30"/>
  <c r="Y227" i="30"/>
  <c r="M227" i="30"/>
  <c r="U227" i="30"/>
  <c r="T227" i="30"/>
  <c r="M62" i="52"/>
  <c r="K106" i="52"/>
  <c r="M106" i="52" s="1"/>
  <c r="K107" i="52"/>
  <c r="M107" i="52" s="1"/>
  <c r="K108" i="52"/>
  <c r="M108" i="52" s="1"/>
  <c r="AE179" i="9"/>
  <c r="AI179" i="9"/>
  <c r="AL179" i="9"/>
  <c r="P179" i="9"/>
  <c r="AH179" i="9"/>
  <c r="AO179" i="9"/>
  <c r="R179" i="9"/>
  <c r="W179" i="9"/>
  <c r="Z179" i="9"/>
  <c r="O179" i="9"/>
  <c r="V179" i="9"/>
  <c r="Y179" i="9"/>
  <c r="X179" i="9"/>
  <c r="Q179" i="9"/>
  <c r="AC179" i="9"/>
  <c r="AK179" i="9"/>
  <c r="AJ179" i="9"/>
  <c r="AA179" i="9"/>
  <c r="AF179" i="9"/>
  <c r="AG179" i="9"/>
  <c r="AM179" i="9"/>
  <c r="AD179" i="9"/>
  <c r="U179" i="9"/>
  <c r="N179" i="9"/>
  <c r="M179" i="9"/>
  <c r="T179" i="9"/>
  <c r="S179" i="9"/>
  <c r="AN179" i="9"/>
  <c r="AB179" i="9"/>
  <c r="L179" i="9"/>
  <c r="AR179" i="9" s="1"/>
  <c r="L98" i="9"/>
  <c r="M98" i="9" s="1"/>
  <c r="AR20" i="9"/>
  <c r="AA73" i="13"/>
  <c r="L190" i="9"/>
  <c r="AR190" i="9" s="1"/>
  <c r="L221" i="9"/>
  <c r="M221" i="9" s="1"/>
  <c r="L102" i="9"/>
  <c r="AJ206" i="9"/>
  <c r="V206" i="9"/>
  <c r="T206" i="9"/>
  <c r="P206" i="9"/>
  <c r="X206" i="9"/>
  <c r="AL206" i="9"/>
  <c r="AA206" i="9"/>
  <c r="AM206" i="9"/>
  <c r="N206" i="9"/>
  <c r="AE206" i="9"/>
  <c r="AC206" i="9"/>
  <c r="AD206" i="9"/>
  <c r="O206" i="9"/>
  <c r="AI206" i="9"/>
  <c r="AO206" i="9"/>
  <c r="S206" i="9"/>
  <c r="Y206" i="9"/>
  <c r="AK206" i="9"/>
  <c r="AF206" i="9"/>
  <c r="W206" i="9"/>
  <c r="AG206" i="9"/>
  <c r="R206" i="9"/>
  <c r="M206" i="9"/>
  <c r="AH206" i="9"/>
  <c r="Z206" i="9"/>
  <c r="U206" i="9"/>
  <c r="Q206" i="9"/>
  <c r="AB206" i="9"/>
  <c r="AN206" i="9"/>
  <c r="L206" i="9"/>
  <c r="AR206" i="9" s="1"/>
  <c r="AR18" i="9"/>
  <c r="K76" i="35"/>
  <c r="M76" i="35" s="1"/>
  <c r="M69" i="35"/>
  <c r="AP83" i="9"/>
  <c r="L48" i="9"/>
  <c r="AR197" i="9"/>
  <c r="AP175" i="9"/>
  <c r="AR226" i="9"/>
  <c r="M44" i="9"/>
  <c r="AS44" i="9" s="1"/>
  <c r="AP148" i="9"/>
  <c r="AR73" i="9"/>
  <c r="AP146" i="9"/>
  <c r="AR224" i="9"/>
  <c r="AS224" i="9" s="1"/>
  <c r="N224" i="9"/>
  <c r="L72" i="9"/>
  <c r="M199" i="9"/>
  <c r="J266" i="40"/>
  <c r="T240" i="9"/>
  <c r="W240" i="9"/>
  <c r="AE240" i="9"/>
  <c r="O240" i="9"/>
  <c r="Z240" i="9"/>
  <c r="S240" i="9"/>
  <c r="Q240" i="9"/>
  <c r="X240" i="9"/>
  <c r="AM240" i="9"/>
  <c r="U240" i="9"/>
  <c r="AC240" i="9"/>
  <c r="R240" i="9"/>
  <c r="AH240" i="9"/>
  <c r="AD240" i="9"/>
  <c r="AK240" i="9"/>
  <c r="M240" i="9"/>
  <c r="AJ240" i="9"/>
  <c r="N240" i="9"/>
  <c r="AG240" i="9"/>
  <c r="V240" i="9"/>
  <c r="AI240" i="9"/>
  <c r="AN240" i="9"/>
  <c r="P240" i="9"/>
  <c r="AB240" i="9"/>
  <c r="AA240" i="9"/>
  <c r="Y240" i="9"/>
  <c r="L240" i="9"/>
  <c r="AR240" i="9" s="1"/>
  <c r="AO240" i="9"/>
  <c r="AL240" i="9"/>
  <c r="AF240" i="9"/>
  <c r="P239" i="9"/>
  <c r="AN239" i="9"/>
  <c r="AI239" i="9"/>
  <c r="V239" i="9"/>
  <c r="S239" i="9"/>
  <c r="AO239" i="9"/>
  <c r="M239" i="9"/>
  <c r="AB239" i="9"/>
  <c r="AJ239" i="9"/>
  <c r="AG239" i="9"/>
  <c r="AE239" i="9"/>
  <c r="U239" i="9"/>
  <c r="Q239" i="9"/>
  <c r="R239" i="9"/>
  <c r="AM239" i="9"/>
  <c r="AL239" i="9"/>
  <c r="Y239" i="9"/>
  <c r="AA239" i="9"/>
  <c r="AC239" i="9"/>
  <c r="X239" i="9"/>
  <c r="O239" i="9"/>
  <c r="AD239" i="9"/>
  <c r="T239" i="9"/>
  <c r="N239" i="9"/>
  <c r="AK239" i="9"/>
  <c r="Z239" i="9"/>
  <c r="L239" i="9"/>
  <c r="AR239" i="9" s="1"/>
  <c r="AF239" i="9"/>
  <c r="W239" i="9"/>
  <c r="AH239" i="9"/>
  <c r="K152" i="35"/>
  <c r="M152" i="35" s="1"/>
  <c r="K34" i="35"/>
  <c r="M34" i="35" s="1"/>
  <c r="M12" i="52"/>
  <c r="L26" i="52"/>
  <c r="M26" i="52" s="1"/>
  <c r="L27" i="52"/>
  <c r="M27" i="52" s="1"/>
  <c r="L28" i="52"/>
  <c r="M28" i="52" s="1"/>
  <c r="L25" i="52"/>
  <c r="M25" i="52" s="1"/>
  <c r="AP89" i="9"/>
  <c r="AP114" i="9"/>
  <c r="AA64" i="9"/>
  <c r="AB64" i="9"/>
  <c r="AK64" i="9"/>
  <c r="AM64" i="9"/>
  <c r="AE64" i="9"/>
  <c r="AL64" i="9"/>
  <c r="AJ64" i="9"/>
  <c r="AO64" i="9"/>
  <c r="R64" i="9"/>
  <c r="X64" i="9"/>
  <c r="S64" i="9"/>
  <c r="AI64" i="9"/>
  <c r="AH64" i="9"/>
  <c r="P64" i="9"/>
  <c r="AG64" i="9"/>
  <c r="AD64" i="9"/>
  <c r="Z64" i="9"/>
  <c r="M64" i="9"/>
  <c r="O64" i="9"/>
  <c r="N64" i="9"/>
  <c r="AF64" i="9"/>
  <c r="AC64" i="9"/>
  <c r="AN64" i="9"/>
  <c r="V64" i="9"/>
  <c r="U64" i="9"/>
  <c r="Y64" i="9"/>
  <c r="W64" i="9"/>
  <c r="T64" i="9"/>
  <c r="Q64" i="9"/>
  <c r="L64" i="9"/>
  <c r="AI110" i="9"/>
  <c r="I124" i="9"/>
  <c r="AA110" i="9"/>
  <c r="AF110" i="9"/>
  <c r="AL110" i="9"/>
  <c r="AJ110" i="9"/>
  <c r="AC110" i="9"/>
  <c r="AN110" i="9"/>
  <c r="V110" i="9"/>
  <c r="AM110" i="9"/>
  <c r="AK110" i="9"/>
  <c r="Q110" i="9"/>
  <c r="N110" i="9"/>
  <c r="P110" i="9"/>
  <c r="AB110" i="9"/>
  <c r="AE110" i="9"/>
  <c r="AO110" i="9"/>
  <c r="AD110" i="9"/>
  <c r="Z110" i="9"/>
  <c r="M110" i="9"/>
  <c r="L110" i="9"/>
  <c r="AR110" i="9" s="1"/>
  <c r="O110" i="9"/>
  <c r="AG110" i="9"/>
  <c r="W110" i="9"/>
  <c r="Y110" i="9"/>
  <c r="T110" i="9"/>
  <c r="AH110" i="9"/>
  <c r="S110" i="9"/>
  <c r="X110" i="9"/>
  <c r="U110" i="9"/>
  <c r="R110" i="9"/>
  <c r="N198" i="9"/>
  <c r="AP174" i="9"/>
  <c r="D111" i="25"/>
  <c r="D112" i="25" s="1"/>
  <c r="N97" i="9"/>
  <c r="L50" i="9"/>
  <c r="L192" i="9"/>
  <c r="L189" i="9"/>
  <c r="AP180" i="9"/>
  <c r="L10" i="19"/>
  <c r="J35" i="19"/>
  <c r="J39" i="19" s="1"/>
  <c r="I49" i="19"/>
  <c r="J49" i="19" s="1"/>
  <c r="L49" i="19" s="1"/>
  <c r="L54" i="19" s="1"/>
  <c r="L165" i="9"/>
  <c r="M165" i="9" s="1"/>
  <c r="M20" i="9"/>
  <c r="N20" i="9" s="1"/>
  <c r="L78" i="9"/>
  <c r="N193" i="9"/>
  <c r="L75" i="9"/>
  <c r="N204" i="9"/>
  <c r="O204" i="9"/>
  <c r="AB204" i="9"/>
  <c r="AI204" i="9"/>
  <c r="AM204" i="9"/>
  <c r="V204" i="9"/>
  <c r="AD204" i="9"/>
  <c r="U204" i="9"/>
  <c r="W204" i="9"/>
  <c r="AE204" i="9"/>
  <c r="AH204" i="9"/>
  <c r="AO204" i="9"/>
  <c r="M204" i="9"/>
  <c r="T204" i="9"/>
  <c r="AF204" i="9"/>
  <c r="P204" i="9"/>
  <c r="AG204" i="9"/>
  <c r="X204" i="9"/>
  <c r="AJ204" i="9"/>
  <c r="AC204" i="9"/>
  <c r="Q204" i="9"/>
  <c r="AL204" i="9"/>
  <c r="Y204" i="9"/>
  <c r="S204" i="9"/>
  <c r="Z204" i="9"/>
  <c r="AN204" i="9"/>
  <c r="AA204" i="9"/>
  <c r="R204" i="9"/>
  <c r="L204" i="9"/>
  <c r="AK204" i="9"/>
  <c r="Y116" i="9"/>
  <c r="V116" i="9"/>
  <c r="W116" i="9"/>
  <c r="R116" i="9"/>
  <c r="O116" i="9"/>
  <c r="AF116" i="9"/>
  <c r="AL116" i="9"/>
  <c r="AC116" i="9"/>
  <c r="AI116" i="9"/>
  <c r="AK116" i="9"/>
  <c r="Q116" i="9"/>
  <c r="AG116" i="9"/>
  <c r="X116" i="9"/>
  <c r="AM116" i="9"/>
  <c r="M116" i="9"/>
  <c r="T116" i="9"/>
  <c r="P116" i="9"/>
  <c r="U116" i="9"/>
  <c r="S116" i="9"/>
  <c r="N116" i="9"/>
  <c r="AJ116" i="9"/>
  <c r="AE116" i="9"/>
  <c r="AO116" i="9"/>
  <c r="AD116" i="9"/>
  <c r="AA116" i="9"/>
  <c r="AN116" i="9"/>
  <c r="AH116" i="9"/>
  <c r="Z116" i="9"/>
  <c r="AB116" i="9"/>
  <c r="L116" i="9"/>
  <c r="AR116" i="9" s="1"/>
  <c r="N100" i="9"/>
  <c r="AP120" i="9"/>
  <c r="K151" i="35"/>
  <c r="M151" i="35" s="1"/>
  <c r="K33" i="35"/>
  <c r="AS26" i="9"/>
  <c r="AT26" i="9" s="1"/>
  <c r="AU26" i="9" s="1"/>
  <c r="AV26" i="9" s="1"/>
  <c r="AW26" i="9" s="1"/>
  <c r="AX26" i="9" s="1"/>
  <c r="AY26" i="9" s="1"/>
  <c r="AZ26" i="9" s="1"/>
  <c r="BA26" i="9" s="1"/>
  <c r="BB26" i="9" s="1"/>
  <c r="BC26" i="9" s="1"/>
  <c r="BD26" i="9" s="1"/>
  <c r="BE26" i="9" s="1"/>
  <c r="BF26" i="9" s="1"/>
  <c r="BG26" i="9" s="1"/>
  <c r="BH26" i="9" s="1"/>
  <c r="BI26" i="9" s="1"/>
  <c r="BJ26" i="9" s="1"/>
  <c r="BK26" i="9" s="1"/>
  <c r="BL26" i="9" s="1"/>
  <c r="BM26" i="9" s="1"/>
  <c r="BN26" i="9" s="1"/>
  <c r="BO26" i="9" s="1"/>
  <c r="BP26" i="9" s="1"/>
  <c r="BQ26" i="9" s="1"/>
  <c r="BR26" i="9" s="1"/>
  <c r="BS26" i="9" s="1"/>
  <c r="BT26" i="9" s="1"/>
  <c r="BU26" i="9" s="1"/>
  <c r="K63" i="35"/>
  <c r="M57" i="35"/>
  <c r="M63" i="35" s="1"/>
  <c r="K66" i="35" s="1"/>
  <c r="P241" i="35"/>
  <c r="U241" i="35"/>
  <c r="R241" i="35"/>
  <c r="Z241" i="35"/>
  <c r="T241" i="35"/>
  <c r="L241" i="35"/>
  <c r="N241" i="35"/>
  <c r="E144" i="33"/>
  <c r="W241" i="35"/>
  <c r="Q241" i="35"/>
  <c r="M241" i="35"/>
  <c r="X241" i="35"/>
  <c r="Y241" i="35"/>
  <c r="S241" i="35"/>
  <c r="V241" i="35"/>
  <c r="O241" i="35"/>
  <c r="F71" i="33"/>
  <c r="L19" i="9"/>
  <c r="F101" i="33"/>
  <c r="AR236" i="9"/>
  <c r="AS236" i="9" s="1"/>
  <c r="AT236" i="9" s="1"/>
  <c r="AU236" i="9" s="1"/>
  <c r="AV236" i="9" s="1"/>
  <c r="AW236" i="9" s="1"/>
  <c r="AX236" i="9" s="1"/>
  <c r="AY236" i="9" s="1"/>
  <c r="AZ236" i="9" s="1"/>
  <c r="BA236" i="9" s="1"/>
  <c r="BB236" i="9" s="1"/>
  <c r="BC236" i="9" s="1"/>
  <c r="BD236" i="9" s="1"/>
  <c r="BE236" i="9" s="1"/>
  <c r="BF236" i="9" s="1"/>
  <c r="BG236" i="9" s="1"/>
  <c r="BH236" i="9" s="1"/>
  <c r="BI236" i="9" s="1"/>
  <c r="BJ236" i="9" s="1"/>
  <c r="BK236" i="9" s="1"/>
  <c r="BL236" i="9" s="1"/>
  <c r="BM236" i="9" s="1"/>
  <c r="BN236" i="9" s="1"/>
  <c r="BO236" i="9" s="1"/>
  <c r="BP236" i="9" s="1"/>
  <c r="BQ236" i="9" s="1"/>
  <c r="BR236" i="9" s="1"/>
  <c r="BS236" i="9" s="1"/>
  <c r="BT236" i="9" s="1"/>
  <c r="BU236" i="9" s="1"/>
  <c r="K36" i="31"/>
  <c r="M36" i="31" s="1"/>
  <c r="K168" i="31"/>
  <c r="M168" i="31" s="1"/>
  <c r="I218" i="19"/>
  <c r="I220" i="19" s="1"/>
  <c r="L41" i="9"/>
  <c r="M41" i="9" s="1"/>
  <c r="E116" i="33"/>
  <c r="AA121" i="9"/>
  <c r="T121" i="9"/>
  <c r="N121" i="9"/>
  <c r="AM121" i="9"/>
  <c r="X121" i="9"/>
  <c r="Q121" i="9"/>
  <c r="Z121" i="9"/>
  <c r="AO121" i="9"/>
  <c r="AG121" i="9"/>
  <c r="AH121" i="9"/>
  <c r="AN121" i="9"/>
  <c r="AB121" i="9"/>
  <c r="AL121" i="9"/>
  <c r="S121" i="9"/>
  <c r="M121" i="9"/>
  <c r="AD121" i="9"/>
  <c r="AJ121" i="9"/>
  <c r="O121" i="9"/>
  <c r="AK121" i="9"/>
  <c r="U121" i="9"/>
  <c r="AE121" i="9"/>
  <c r="R121" i="9"/>
  <c r="Y121" i="9"/>
  <c r="W121" i="9"/>
  <c r="P121" i="9"/>
  <c r="AI121" i="9"/>
  <c r="AC121" i="9"/>
  <c r="V121" i="9"/>
  <c r="AF121" i="9"/>
  <c r="L121" i="9"/>
  <c r="AR121" i="9" s="1"/>
  <c r="AA54" i="9"/>
  <c r="R54" i="9"/>
  <c r="AE54" i="9"/>
  <c r="W54" i="9"/>
  <c r="X54" i="9"/>
  <c r="V54" i="9"/>
  <c r="AC54" i="9"/>
  <c r="Q54" i="9"/>
  <c r="AM54" i="9"/>
  <c r="AG54" i="9"/>
  <c r="O54" i="9"/>
  <c r="S54" i="9"/>
  <c r="Z54" i="9"/>
  <c r="Y54" i="9"/>
  <c r="P54" i="9"/>
  <c r="AL54" i="9"/>
  <c r="AF54" i="9"/>
  <c r="AH54" i="9"/>
  <c r="M54" i="9"/>
  <c r="AK54" i="9"/>
  <c r="AJ54" i="9"/>
  <c r="T54" i="9"/>
  <c r="AD54" i="9"/>
  <c r="AI54" i="9"/>
  <c r="AN54" i="9"/>
  <c r="AB54" i="9"/>
  <c r="AO54" i="9"/>
  <c r="N54" i="9"/>
  <c r="U54" i="9"/>
  <c r="L54" i="9"/>
  <c r="AR54" i="9" s="1"/>
  <c r="U84" i="9"/>
  <c r="P84" i="9"/>
  <c r="AG84" i="9"/>
  <c r="AJ84" i="9"/>
  <c r="Z84" i="9"/>
  <c r="X84" i="9"/>
  <c r="W84" i="9"/>
  <c r="AM84" i="9"/>
  <c r="N84" i="9"/>
  <c r="V84" i="9"/>
  <c r="T84" i="9"/>
  <c r="S84" i="9"/>
  <c r="AI84" i="9"/>
  <c r="AD84" i="9"/>
  <c r="AO84" i="9"/>
  <c r="AB84" i="9"/>
  <c r="R84" i="9"/>
  <c r="Q84" i="9"/>
  <c r="AF84" i="9"/>
  <c r="Y84" i="9"/>
  <c r="AC84" i="9"/>
  <c r="M84" i="9"/>
  <c r="AA84" i="9"/>
  <c r="AK84" i="9"/>
  <c r="AL84" i="9"/>
  <c r="AN84" i="9"/>
  <c r="AE84" i="9"/>
  <c r="O84" i="9"/>
  <c r="AH84" i="9"/>
  <c r="L84" i="9"/>
  <c r="AR84" i="9" s="1"/>
  <c r="AB203" i="9"/>
  <c r="AO203" i="9"/>
  <c r="AL203" i="9"/>
  <c r="AF203" i="9"/>
  <c r="V203" i="9"/>
  <c r="AH203" i="9"/>
  <c r="AI203" i="9"/>
  <c r="I217" i="9"/>
  <c r="AC203" i="9"/>
  <c r="AG203" i="9"/>
  <c r="AA203" i="9"/>
  <c r="AE203" i="9"/>
  <c r="O203" i="9"/>
  <c r="N203" i="9"/>
  <c r="P203" i="9"/>
  <c r="R203" i="9"/>
  <c r="Z203" i="9"/>
  <c r="AK203" i="9"/>
  <c r="AJ203" i="9"/>
  <c r="S203" i="9"/>
  <c r="Q203" i="9"/>
  <c r="AN203" i="9"/>
  <c r="T203" i="9"/>
  <c r="Y203" i="9"/>
  <c r="M203" i="9"/>
  <c r="AM203" i="9"/>
  <c r="U203" i="9"/>
  <c r="L203" i="9"/>
  <c r="AD203" i="9"/>
  <c r="X203" i="9"/>
  <c r="W203" i="9"/>
  <c r="L159" i="9"/>
  <c r="M159" i="9" s="1"/>
  <c r="E145" i="33"/>
  <c r="AP205" i="9"/>
  <c r="L28" i="48"/>
  <c r="M28" i="48" s="1"/>
  <c r="M12" i="48"/>
  <c r="L27" i="48"/>
  <c r="M27" i="48" s="1"/>
  <c r="L26" i="48"/>
  <c r="M26" i="48" s="1"/>
  <c r="L25" i="48"/>
  <c r="M25" i="48" s="1"/>
  <c r="K165" i="48" s="1"/>
  <c r="M165" i="48" s="1"/>
  <c r="O12" i="48"/>
  <c r="W264" i="48"/>
  <c r="O264" i="48"/>
  <c r="Q264" i="48"/>
  <c r="U264" i="48"/>
  <c r="R264" i="48"/>
  <c r="Y264" i="48"/>
  <c r="V264" i="48"/>
  <c r="T264" i="48"/>
  <c r="L264" i="48"/>
  <c r="S264" i="48"/>
  <c r="P264" i="48"/>
  <c r="N264" i="48"/>
  <c r="Z264" i="48"/>
  <c r="X264" i="48"/>
  <c r="E174" i="33"/>
  <c r="M264" i="48"/>
  <c r="AA232" i="9"/>
  <c r="AO232" i="9"/>
  <c r="AH232" i="9"/>
  <c r="AG232" i="9"/>
  <c r="AI232" i="9"/>
  <c r="AJ232" i="9"/>
  <c r="AM232" i="9"/>
  <c r="M232" i="9"/>
  <c r="R232" i="9"/>
  <c r="Z232" i="9"/>
  <c r="AC232" i="9"/>
  <c r="AB232" i="9"/>
  <c r="AK232" i="9"/>
  <c r="S232" i="9"/>
  <c r="Y232" i="9"/>
  <c r="AE232" i="9"/>
  <c r="AL232" i="9"/>
  <c r="I243" i="9"/>
  <c r="AN232" i="9"/>
  <c r="P232" i="9"/>
  <c r="AD232" i="9"/>
  <c r="N232" i="9"/>
  <c r="Q232" i="9"/>
  <c r="L232" i="9"/>
  <c r="AR232" i="9" s="1"/>
  <c r="AF232" i="9"/>
  <c r="W232" i="9"/>
  <c r="V232" i="9"/>
  <c r="X232" i="9"/>
  <c r="T232" i="9"/>
  <c r="O232" i="9"/>
  <c r="U232" i="9"/>
  <c r="W227" i="52"/>
  <c r="Z227" i="52"/>
  <c r="V227" i="52"/>
  <c r="M227" i="52"/>
  <c r="Q227" i="52"/>
  <c r="R227" i="52"/>
  <c r="U227" i="52"/>
  <c r="O227" i="52"/>
  <c r="N227" i="52"/>
  <c r="T227" i="52"/>
  <c r="Y227" i="52"/>
  <c r="X227" i="52"/>
  <c r="S227" i="52"/>
  <c r="L227" i="52"/>
  <c r="P227" i="52"/>
  <c r="AS148" i="9"/>
  <c r="AT148" i="9" s="1"/>
  <c r="AU148" i="9" s="1"/>
  <c r="AV148" i="9" s="1"/>
  <c r="AW148" i="9" s="1"/>
  <c r="AX148" i="9" s="1"/>
  <c r="AY148" i="9" s="1"/>
  <c r="AZ148" i="9" s="1"/>
  <c r="BA148" i="9" s="1"/>
  <c r="BB148" i="9" s="1"/>
  <c r="BC148" i="9" s="1"/>
  <c r="BD148" i="9" s="1"/>
  <c r="BE148" i="9" s="1"/>
  <c r="BF148" i="9" s="1"/>
  <c r="BG148" i="9" s="1"/>
  <c r="BH148" i="9" s="1"/>
  <c r="BI148" i="9" s="1"/>
  <c r="BJ148" i="9" s="1"/>
  <c r="BK148" i="9" s="1"/>
  <c r="BL148" i="9" s="1"/>
  <c r="BM148" i="9" s="1"/>
  <c r="BN148" i="9" s="1"/>
  <c r="BO148" i="9" s="1"/>
  <c r="BP148" i="9" s="1"/>
  <c r="BQ148" i="9" s="1"/>
  <c r="BR148" i="9" s="1"/>
  <c r="BS148" i="9" s="1"/>
  <c r="BT148" i="9" s="1"/>
  <c r="BU148" i="9" s="1"/>
  <c r="O185" i="29"/>
  <c r="L164" i="29"/>
  <c r="X185" i="29"/>
  <c r="M185" i="29"/>
  <c r="V185" i="29"/>
  <c r="N185" i="29"/>
  <c r="Y185" i="29"/>
  <c r="L185" i="29"/>
  <c r="Q185" i="29"/>
  <c r="T185" i="29"/>
  <c r="W185" i="29"/>
  <c r="P185" i="29"/>
  <c r="R185" i="29"/>
  <c r="K185" i="29"/>
  <c r="U185" i="29"/>
  <c r="S185" i="29"/>
  <c r="X288" i="31"/>
  <c r="N288" i="31"/>
  <c r="R288" i="31"/>
  <c r="S288" i="31"/>
  <c r="Q288" i="31"/>
  <c r="Z288" i="31"/>
  <c r="Y288" i="31"/>
  <c r="T288" i="31"/>
  <c r="V288" i="31"/>
  <c r="W288" i="31"/>
  <c r="O288" i="31"/>
  <c r="P288" i="31"/>
  <c r="U288" i="31"/>
  <c r="L150" i="13"/>
  <c r="L151" i="13" s="1"/>
  <c r="L43" i="33" s="1"/>
  <c r="L288" i="31"/>
  <c r="K206" i="31"/>
  <c r="L206" i="31" s="1"/>
  <c r="M206" i="31" s="1"/>
  <c r="M209" i="31" s="1"/>
  <c r="F40" i="56"/>
  <c r="H328" i="56" s="1"/>
  <c r="M288" i="31"/>
  <c r="AK11" i="6"/>
  <c r="AK14" i="6" s="1"/>
  <c r="P113" i="9"/>
  <c r="U113" i="9"/>
  <c r="N113" i="9"/>
  <c r="W113" i="9"/>
  <c r="AO113" i="9"/>
  <c r="X113" i="9"/>
  <c r="AD113" i="9"/>
  <c r="M113" i="9"/>
  <c r="V113" i="9"/>
  <c r="AJ113" i="9"/>
  <c r="AF113" i="9"/>
  <c r="AH113" i="9"/>
  <c r="O113" i="9"/>
  <c r="AL113" i="9"/>
  <c r="AN113" i="9"/>
  <c r="R113" i="9"/>
  <c r="Y113" i="9"/>
  <c r="Z113" i="9"/>
  <c r="AA113" i="9"/>
  <c r="Q113" i="9"/>
  <c r="AC113" i="9"/>
  <c r="S113" i="9"/>
  <c r="AM113" i="9"/>
  <c r="T113" i="9"/>
  <c r="AG113" i="9"/>
  <c r="AE113" i="9"/>
  <c r="AK113" i="9"/>
  <c r="AB113" i="9"/>
  <c r="AI113" i="9"/>
  <c r="L113" i="9"/>
  <c r="AR113" i="9" s="1"/>
  <c r="M21" i="9"/>
  <c r="L14" i="9"/>
  <c r="M14" i="9" s="1"/>
  <c r="M195" i="9"/>
  <c r="N195" i="9" s="1"/>
  <c r="M136" i="9"/>
  <c r="L99" i="9"/>
  <c r="AC55" i="9"/>
  <c r="AA55" i="9"/>
  <c r="AH55" i="9"/>
  <c r="X55" i="9"/>
  <c r="P55" i="9"/>
  <c r="V55" i="9"/>
  <c r="O55" i="9"/>
  <c r="AK55" i="9"/>
  <c r="Q55" i="9"/>
  <c r="AF55" i="9"/>
  <c r="S55" i="9"/>
  <c r="AM55" i="9"/>
  <c r="AN55" i="9"/>
  <c r="AE55" i="9"/>
  <c r="AO55" i="9"/>
  <c r="AD55" i="9"/>
  <c r="AL55" i="9"/>
  <c r="AG55" i="9"/>
  <c r="AI55" i="9"/>
  <c r="R55" i="9"/>
  <c r="Z55" i="9"/>
  <c r="N55" i="9"/>
  <c r="U55" i="9"/>
  <c r="AJ55" i="9"/>
  <c r="W55" i="9"/>
  <c r="Y55" i="9"/>
  <c r="AB55" i="9"/>
  <c r="M55" i="9"/>
  <c r="T55" i="9"/>
  <c r="L55" i="9"/>
  <c r="I34" i="9"/>
  <c r="AN24" i="9"/>
  <c r="Y24" i="9"/>
  <c r="AH24" i="9"/>
  <c r="AO24" i="9"/>
  <c r="W24" i="9"/>
  <c r="AD24" i="9"/>
  <c r="O24" i="9"/>
  <c r="AM24" i="9"/>
  <c r="AE24" i="9"/>
  <c r="AC24" i="9"/>
  <c r="AJ24" i="9"/>
  <c r="Q24" i="9"/>
  <c r="AB24" i="9"/>
  <c r="AI24" i="9"/>
  <c r="P24" i="9"/>
  <c r="Z24" i="9"/>
  <c r="N24" i="9"/>
  <c r="AF24" i="9"/>
  <c r="X24" i="9"/>
  <c r="AK24" i="9"/>
  <c r="V24" i="9"/>
  <c r="U24" i="9"/>
  <c r="AA24" i="9"/>
  <c r="R24" i="9"/>
  <c r="T24" i="9"/>
  <c r="M24" i="9"/>
  <c r="S24" i="9"/>
  <c r="L24" i="9"/>
  <c r="AG24" i="9"/>
  <c r="AL24" i="9"/>
  <c r="AR89" i="9"/>
  <c r="AS89" i="9" s="1"/>
  <c r="AT89" i="9" s="1"/>
  <c r="AU89" i="9" s="1"/>
  <c r="AV89" i="9" s="1"/>
  <c r="AW89" i="9" s="1"/>
  <c r="AX89" i="9" s="1"/>
  <c r="AY89" i="9" s="1"/>
  <c r="AZ89" i="9" s="1"/>
  <c r="BA89" i="9" s="1"/>
  <c r="BB89" i="9" s="1"/>
  <c r="BC89" i="9" s="1"/>
  <c r="BD89" i="9" s="1"/>
  <c r="BE89" i="9" s="1"/>
  <c r="BF89" i="9" s="1"/>
  <c r="BG89" i="9" s="1"/>
  <c r="BH89" i="9" s="1"/>
  <c r="BI89" i="9" s="1"/>
  <c r="BJ89" i="9" s="1"/>
  <c r="BK89" i="9" s="1"/>
  <c r="BL89" i="9" s="1"/>
  <c r="BM89" i="9" s="1"/>
  <c r="BN89" i="9" s="1"/>
  <c r="BO89" i="9" s="1"/>
  <c r="BP89" i="9" s="1"/>
  <c r="BQ89" i="9" s="1"/>
  <c r="BR89" i="9" s="1"/>
  <c r="BS89" i="9" s="1"/>
  <c r="BT89" i="9" s="1"/>
  <c r="BU89" i="9" s="1"/>
  <c r="L164" i="9"/>
  <c r="M164" i="9" s="1"/>
  <c r="M137" i="9"/>
  <c r="M191" i="9"/>
  <c r="AR225" i="9"/>
  <c r="M225" i="9"/>
  <c r="N225" i="9" s="1"/>
  <c r="O225" i="9" s="1"/>
  <c r="N88" i="9"/>
  <c r="Z88" i="9"/>
  <c r="AO88" i="9"/>
  <c r="U88" i="9"/>
  <c r="AL88" i="9"/>
  <c r="AA88" i="9"/>
  <c r="AN88" i="9"/>
  <c r="X88" i="9"/>
  <c r="AK88" i="9"/>
  <c r="AC88" i="9"/>
  <c r="AG88" i="9"/>
  <c r="AJ88" i="9"/>
  <c r="AH88" i="9"/>
  <c r="O88" i="9"/>
  <c r="AD88" i="9"/>
  <c r="P88" i="9"/>
  <c r="AI88" i="9"/>
  <c r="W88" i="9"/>
  <c r="V88" i="9"/>
  <c r="AF88" i="9"/>
  <c r="Y88" i="9"/>
  <c r="M88" i="9"/>
  <c r="AB88" i="9"/>
  <c r="R88" i="9"/>
  <c r="AM88" i="9"/>
  <c r="Q88" i="9"/>
  <c r="T88" i="9"/>
  <c r="AE88" i="9"/>
  <c r="S88" i="9"/>
  <c r="L88" i="9"/>
  <c r="AR88" i="9" s="1"/>
  <c r="AR193" i="9"/>
  <c r="AS193" i="9" s="1"/>
  <c r="N85" i="9"/>
  <c r="Q85" i="9"/>
  <c r="AD85" i="9"/>
  <c r="AJ85" i="9"/>
  <c r="AN85" i="9"/>
  <c r="Z85" i="9"/>
  <c r="AG85" i="9"/>
  <c r="O85" i="9"/>
  <c r="Y85" i="9"/>
  <c r="AH85" i="9"/>
  <c r="M85" i="9"/>
  <c r="AB85" i="9"/>
  <c r="X85" i="9"/>
  <c r="T85" i="9"/>
  <c r="AA85" i="9"/>
  <c r="AK85" i="9"/>
  <c r="AM85" i="9"/>
  <c r="AF85" i="9"/>
  <c r="R85" i="9"/>
  <c r="AO85" i="9"/>
  <c r="AL85" i="9"/>
  <c r="S85" i="9"/>
  <c r="U85" i="9"/>
  <c r="P85" i="9"/>
  <c r="W85" i="9"/>
  <c r="AI85" i="9"/>
  <c r="AC85" i="9"/>
  <c r="AE85" i="9"/>
  <c r="V85" i="9"/>
  <c r="L85" i="9"/>
  <c r="AR85" i="9" s="1"/>
  <c r="L229" i="9"/>
  <c r="N79" i="9"/>
  <c r="L228" i="9"/>
  <c r="N77" i="9"/>
  <c r="O77" i="9" s="1"/>
  <c r="AR162" i="9"/>
  <c r="K154" i="35"/>
  <c r="M154" i="35" s="1"/>
  <c r="K36" i="35"/>
  <c r="M36" i="35" s="1"/>
  <c r="AP26" i="9"/>
  <c r="M18" i="9"/>
  <c r="L150" i="9"/>
  <c r="AR16" i="9"/>
  <c r="M42" i="9"/>
  <c r="N42" i="9" s="1"/>
  <c r="E86" i="33"/>
  <c r="S185" i="19"/>
  <c r="T185" i="19"/>
  <c r="L164" i="19"/>
  <c r="R185" i="19"/>
  <c r="L185" i="19"/>
  <c r="P185" i="19"/>
  <c r="W185" i="19"/>
  <c r="M185" i="19"/>
  <c r="U185" i="19"/>
  <c r="K185" i="19"/>
  <c r="Q185" i="19"/>
  <c r="N185" i="19"/>
  <c r="V185" i="19"/>
  <c r="X185" i="19"/>
  <c r="O185" i="19"/>
  <c r="Y185" i="19"/>
  <c r="M197" i="9"/>
  <c r="AO29" i="9"/>
  <c r="X29" i="9"/>
  <c r="AD29" i="9"/>
  <c r="AI29" i="9"/>
  <c r="P29" i="9"/>
  <c r="AH29" i="9"/>
  <c r="AA29" i="9"/>
  <c r="AE29" i="9"/>
  <c r="N29" i="9"/>
  <c r="AN29" i="9"/>
  <c r="T29" i="9"/>
  <c r="AM29" i="9"/>
  <c r="AG29" i="9"/>
  <c r="AL29" i="9"/>
  <c r="AF29" i="9"/>
  <c r="W29" i="9"/>
  <c r="Y29" i="9"/>
  <c r="AK29" i="9"/>
  <c r="Z29" i="9"/>
  <c r="M29" i="9"/>
  <c r="U29" i="9"/>
  <c r="V29" i="9"/>
  <c r="AJ29" i="9"/>
  <c r="AB29" i="9"/>
  <c r="S29" i="9"/>
  <c r="O29" i="9"/>
  <c r="AC29" i="9"/>
  <c r="Q29" i="9"/>
  <c r="R29" i="9"/>
  <c r="L29" i="9"/>
  <c r="M130" i="9"/>
  <c r="N130" i="9" s="1"/>
  <c r="F131" i="33"/>
  <c r="V227" i="40"/>
  <c r="W227" i="40"/>
  <c r="U227" i="40"/>
  <c r="Y227" i="40"/>
  <c r="L227" i="40"/>
  <c r="R227" i="40"/>
  <c r="N227" i="40"/>
  <c r="T227" i="40"/>
  <c r="X227" i="40"/>
  <c r="S227" i="40"/>
  <c r="Q227" i="40"/>
  <c r="O227" i="40"/>
  <c r="M227" i="40"/>
  <c r="P227" i="40"/>
  <c r="Z227" i="40"/>
  <c r="M73" i="9"/>
  <c r="AR208" i="9"/>
  <c r="AS208" i="9" s="1"/>
  <c r="AT208" i="9" s="1"/>
  <c r="AU208" i="9" s="1"/>
  <c r="AV208" i="9" s="1"/>
  <c r="AW208" i="9" s="1"/>
  <c r="AX208" i="9" s="1"/>
  <c r="AY208" i="9" s="1"/>
  <c r="AZ208" i="9" s="1"/>
  <c r="BA208" i="9" s="1"/>
  <c r="BB208" i="9" s="1"/>
  <c r="BC208" i="9" s="1"/>
  <c r="BD208" i="9" s="1"/>
  <c r="BE208" i="9" s="1"/>
  <c r="BF208" i="9" s="1"/>
  <c r="BG208" i="9" s="1"/>
  <c r="BH208" i="9" s="1"/>
  <c r="BI208" i="9" s="1"/>
  <c r="BJ208" i="9" s="1"/>
  <c r="BK208" i="9" s="1"/>
  <c r="BL208" i="9" s="1"/>
  <c r="BM208" i="9" s="1"/>
  <c r="BN208" i="9" s="1"/>
  <c r="BO208" i="9" s="1"/>
  <c r="BP208" i="9" s="1"/>
  <c r="BQ208" i="9" s="1"/>
  <c r="BR208" i="9" s="1"/>
  <c r="BS208" i="9" s="1"/>
  <c r="BT208" i="9" s="1"/>
  <c r="BU208" i="9" s="1"/>
  <c r="AR212" i="9"/>
  <c r="AS212" i="9" s="1"/>
  <c r="AT212" i="9" s="1"/>
  <c r="AU212" i="9" s="1"/>
  <c r="AV212" i="9" s="1"/>
  <c r="AW212" i="9" s="1"/>
  <c r="AX212" i="9" s="1"/>
  <c r="AY212" i="9" s="1"/>
  <c r="AZ212" i="9" s="1"/>
  <c r="BA212" i="9" s="1"/>
  <c r="BB212" i="9" s="1"/>
  <c r="BC212" i="9" s="1"/>
  <c r="BD212" i="9" s="1"/>
  <c r="BE212" i="9" s="1"/>
  <c r="BF212" i="9" s="1"/>
  <c r="BG212" i="9" s="1"/>
  <c r="BH212" i="9" s="1"/>
  <c r="BI212" i="9" s="1"/>
  <c r="BJ212" i="9" s="1"/>
  <c r="BK212" i="9" s="1"/>
  <c r="BL212" i="9" s="1"/>
  <c r="BM212" i="9" s="1"/>
  <c r="BN212" i="9" s="1"/>
  <c r="BO212" i="9" s="1"/>
  <c r="BP212" i="9" s="1"/>
  <c r="BQ212" i="9" s="1"/>
  <c r="BR212" i="9" s="1"/>
  <c r="BS212" i="9" s="1"/>
  <c r="BT212" i="9" s="1"/>
  <c r="BU212" i="9" s="1"/>
  <c r="AR103" i="9"/>
  <c r="M62" i="30"/>
  <c r="K108" i="30"/>
  <c r="M108" i="30" s="1"/>
  <c r="K106" i="30"/>
  <c r="M106" i="30" s="1"/>
  <c r="K107" i="30"/>
  <c r="M107" i="30" s="1"/>
  <c r="AR199" i="9"/>
  <c r="AS213" i="9" l="1"/>
  <c r="AT213" i="9" s="1"/>
  <c r="AU213" i="9" s="1"/>
  <c r="AV213" i="9" s="1"/>
  <c r="AW213" i="9" s="1"/>
  <c r="AX213" i="9" s="1"/>
  <c r="AY213" i="9" s="1"/>
  <c r="AZ213" i="9" s="1"/>
  <c r="BA213" i="9" s="1"/>
  <c r="BB213" i="9" s="1"/>
  <c r="BC213" i="9" s="1"/>
  <c r="BD213" i="9" s="1"/>
  <c r="BE213" i="9" s="1"/>
  <c r="BF213" i="9" s="1"/>
  <c r="BG213" i="9" s="1"/>
  <c r="BH213" i="9" s="1"/>
  <c r="BI213" i="9" s="1"/>
  <c r="BJ213" i="9" s="1"/>
  <c r="BK213" i="9" s="1"/>
  <c r="BL213" i="9" s="1"/>
  <c r="BM213" i="9" s="1"/>
  <c r="BN213" i="9" s="1"/>
  <c r="BO213" i="9" s="1"/>
  <c r="BP213" i="9" s="1"/>
  <c r="BQ213" i="9" s="1"/>
  <c r="BR213" i="9" s="1"/>
  <c r="BS213" i="9" s="1"/>
  <c r="BT213" i="9" s="1"/>
  <c r="BU213" i="9" s="1"/>
  <c r="AP213" i="9"/>
  <c r="AS118" i="9"/>
  <c r="AT118" i="9" s="1"/>
  <c r="AU118" i="9" s="1"/>
  <c r="AV118" i="9" s="1"/>
  <c r="AW118" i="9" s="1"/>
  <c r="AX118" i="9" s="1"/>
  <c r="AY118" i="9" s="1"/>
  <c r="AZ118" i="9" s="1"/>
  <c r="BA118" i="9" s="1"/>
  <c r="BB118" i="9" s="1"/>
  <c r="BC118" i="9" s="1"/>
  <c r="BD118" i="9" s="1"/>
  <c r="BE118" i="9" s="1"/>
  <c r="BF118" i="9" s="1"/>
  <c r="BG118" i="9" s="1"/>
  <c r="BH118" i="9" s="1"/>
  <c r="BI118" i="9" s="1"/>
  <c r="BJ118" i="9" s="1"/>
  <c r="BK118" i="9" s="1"/>
  <c r="BL118" i="9" s="1"/>
  <c r="BM118" i="9" s="1"/>
  <c r="BN118" i="9" s="1"/>
  <c r="BO118" i="9" s="1"/>
  <c r="BP118" i="9" s="1"/>
  <c r="BQ118" i="9" s="1"/>
  <c r="BR118" i="9" s="1"/>
  <c r="BS118" i="9" s="1"/>
  <c r="BT118" i="9" s="1"/>
  <c r="BU118" i="9" s="1"/>
  <c r="AP118" i="9"/>
  <c r="AS87" i="9"/>
  <c r="AT87" i="9" s="1"/>
  <c r="AU87" i="9" s="1"/>
  <c r="AV87" i="9" s="1"/>
  <c r="AW87" i="9" s="1"/>
  <c r="AX87" i="9" s="1"/>
  <c r="AY87" i="9" s="1"/>
  <c r="AZ87" i="9" s="1"/>
  <c r="BA87" i="9" s="1"/>
  <c r="BB87" i="9" s="1"/>
  <c r="BC87" i="9" s="1"/>
  <c r="BD87" i="9" s="1"/>
  <c r="BE87" i="9" s="1"/>
  <c r="BF87" i="9" s="1"/>
  <c r="BG87" i="9" s="1"/>
  <c r="BH87" i="9" s="1"/>
  <c r="BI87" i="9" s="1"/>
  <c r="BJ87" i="9" s="1"/>
  <c r="BK87" i="9" s="1"/>
  <c r="BL87" i="9" s="1"/>
  <c r="BM87" i="9" s="1"/>
  <c r="BN87" i="9" s="1"/>
  <c r="BO87" i="9" s="1"/>
  <c r="BP87" i="9" s="1"/>
  <c r="BQ87" i="9" s="1"/>
  <c r="BR87" i="9" s="1"/>
  <c r="BS87" i="9" s="1"/>
  <c r="BT87" i="9" s="1"/>
  <c r="BU87" i="9" s="1"/>
  <c r="AS57" i="9"/>
  <c r="AT57" i="9" s="1"/>
  <c r="AU57" i="9" s="1"/>
  <c r="AV57" i="9" s="1"/>
  <c r="AW57" i="9" s="1"/>
  <c r="AX57" i="9" s="1"/>
  <c r="AY57" i="9" s="1"/>
  <c r="AZ57" i="9" s="1"/>
  <c r="BA57" i="9" s="1"/>
  <c r="BB57" i="9" s="1"/>
  <c r="BC57" i="9" s="1"/>
  <c r="BD57" i="9" s="1"/>
  <c r="BE57" i="9" s="1"/>
  <c r="BF57" i="9" s="1"/>
  <c r="BG57" i="9" s="1"/>
  <c r="BH57" i="9" s="1"/>
  <c r="BI57" i="9" s="1"/>
  <c r="BJ57" i="9" s="1"/>
  <c r="BK57" i="9" s="1"/>
  <c r="BL57" i="9" s="1"/>
  <c r="BM57" i="9" s="1"/>
  <c r="BN57" i="9" s="1"/>
  <c r="BO57" i="9" s="1"/>
  <c r="BP57" i="9" s="1"/>
  <c r="BQ57" i="9" s="1"/>
  <c r="BR57" i="9" s="1"/>
  <c r="BS57" i="9" s="1"/>
  <c r="BT57" i="9" s="1"/>
  <c r="BU57" i="9" s="1"/>
  <c r="AS207" i="9"/>
  <c r="AT207" i="9" s="1"/>
  <c r="AU207" i="9" s="1"/>
  <c r="AV207" i="9" s="1"/>
  <c r="AW207" i="9" s="1"/>
  <c r="AX207" i="9" s="1"/>
  <c r="AY207" i="9" s="1"/>
  <c r="AZ207" i="9" s="1"/>
  <c r="BA207" i="9" s="1"/>
  <c r="BB207" i="9" s="1"/>
  <c r="BC207" i="9" s="1"/>
  <c r="BD207" i="9" s="1"/>
  <c r="BE207" i="9" s="1"/>
  <c r="BF207" i="9" s="1"/>
  <c r="BG207" i="9" s="1"/>
  <c r="BH207" i="9" s="1"/>
  <c r="BI207" i="9" s="1"/>
  <c r="BJ207" i="9" s="1"/>
  <c r="BK207" i="9" s="1"/>
  <c r="BL207" i="9" s="1"/>
  <c r="BM207" i="9" s="1"/>
  <c r="BN207" i="9" s="1"/>
  <c r="BO207" i="9" s="1"/>
  <c r="BP207" i="9" s="1"/>
  <c r="BQ207" i="9" s="1"/>
  <c r="BR207" i="9" s="1"/>
  <c r="BS207" i="9" s="1"/>
  <c r="BT207" i="9" s="1"/>
  <c r="BU207" i="9" s="1"/>
  <c r="AP57" i="9"/>
  <c r="AP87" i="9"/>
  <c r="AP207" i="9"/>
  <c r="E127" i="33"/>
  <c r="F127" i="33" s="1"/>
  <c r="M75" i="31"/>
  <c r="P77" i="31" s="1"/>
  <c r="K78" i="31" s="1"/>
  <c r="K223" i="31" s="1"/>
  <c r="M223" i="31" s="1"/>
  <c r="M225" i="31" s="1"/>
  <c r="S261" i="31"/>
  <c r="S126" i="13" s="1"/>
  <c r="T261" i="31"/>
  <c r="T126" i="13" s="1"/>
  <c r="M261" i="31"/>
  <c r="M126" i="13" s="1"/>
  <c r="O261" i="31"/>
  <c r="O126" i="13" s="1"/>
  <c r="N261" i="31"/>
  <c r="N126" i="13" s="1"/>
  <c r="Q261" i="31"/>
  <c r="Q126" i="13" s="1"/>
  <c r="V261" i="31"/>
  <c r="V126" i="13" s="1"/>
  <c r="T251" i="31"/>
  <c r="W261" i="31"/>
  <c r="W126" i="13" s="1"/>
  <c r="U261" i="31"/>
  <c r="U126" i="13" s="1"/>
  <c r="X261" i="31"/>
  <c r="X126" i="13" s="1"/>
  <c r="Y261" i="31"/>
  <c r="Y126" i="13" s="1"/>
  <c r="L261" i="31"/>
  <c r="L126" i="13" s="1"/>
  <c r="P261" i="31"/>
  <c r="P126" i="13" s="1"/>
  <c r="Z261" i="31"/>
  <c r="Z126" i="13" s="1"/>
  <c r="X251" i="31"/>
  <c r="N251" i="31"/>
  <c r="L251" i="31"/>
  <c r="M251" i="31"/>
  <c r="Q251" i="31"/>
  <c r="R251" i="31"/>
  <c r="O251" i="31"/>
  <c r="S251" i="31"/>
  <c r="V251" i="31"/>
  <c r="W251" i="31"/>
  <c r="Z251" i="31"/>
  <c r="U251" i="31"/>
  <c r="P251" i="31"/>
  <c r="X254" i="31"/>
  <c r="N254" i="31"/>
  <c r="K167" i="31"/>
  <c r="M167" i="31" s="1"/>
  <c r="R256" i="31" s="1"/>
  <c r="V254" i="31"/>
  <c r="S254" i="31"/>
  <c r="Q254" i="31"/>
  <c r="R254" i="31"/>
  <c r="P254" i="31"/>
  <c r="O254" i="31"/>
  <c r="Z254" i="31"/>
  <c r="Y254" i="31"/>
  <c r="AS141" i="9"/>
  <c r="AT141" i="9" s="1"/>
  <c r="AU141" i="9" s="1"/>
  <c r="AV141" i="9" s="1"/>
  <c r="AW141" i="9" s="1"/>
  <c r="AX141" i="9" s="1"/>
  <c r="AY141" i="9" s="1"/>
  <c r="AZ141" i="9" s="1"/>
  <c r="BA141" i="9" s="1"/>
  <c r="BB141" i="9" s="1"/>
  <c r="BC141" i="9" s="1"/>
  <c r="BD141" i="9" s="1"/>
  <c r="BE141" i="9" s="1"/>
  <c r="BF141" i="9" s="1"/>
  <c r="BG141" i="9" s="1"/>
  <c r="BH141" i="9" s="1"/>
  <c r="BI141" i="9" s="1"/>
  <c r="BJ141" i="9" s="1"/>
  <c r="BK141" i="9" s="1"/>
  <c r="BL141" i="9" s="1"/>
  <c r="BM141" i="9" s="1"/>
  <c r="BN141" i="9" s="1"/>
  <c r="BO141" i="9" s="1"/>
  <c r="BP141" i="9" s="1"/>
  <c r="BQ141" i="9" s="1"/>
  <c r="BR141" i="9" s="1"/>
  <c r="BS141" i="9" s="1"/>
  <c r="BT141" i="9" s="1"/>
  <c r="BU141" i="9" s="1"/>
  <c r="U254" i="31"/>
  <c r="T254" i="31"/>
  <c r="AP141" i="9"/>
  <c r="K34" i="31"/>
  <c r="M34" i="31" s="1"/>
  <c r="AS140" i="9"/>
  <c r="AT140" i="9" s="1"/>
  <c r="AU140" i="9" s="1"/>
  <c r="AV140" i="9" s="1"/>
  <c r="AW140" i="9" s="1"/>
  <c r="AX140" i="9" s="1"/>
  <c r="AY140" i="9" s="1"/>
  <c r="AZ140" i="9" s="1"/>
  <c r="BA140" i="9" s="1"/>
  <c r="BB140" i="9" s="1"/>
  <c r="BC140" i="9" s="1"/>
  <c r="BD140" i="9" s="1"/>
  <c r="BE140" i="9" s="1"/>
  <c r="BF140" i="9" s="1"/>
  <c r="BG140" i="9" s="1"/>
  <c r="BH140" i="9" s="1"/>
  <c r="BI140" i="9" s="1"/>
  <c r="BJ140" i="9" s="1"/>
  <c r="BK140" i="9" s="1"/>
  <c r="BL140" i="9" s="1"/>
  <c r="BM140" i="9" s="1"/>
  <c r="BN140" i="9" s="1"/>
  <c r="BO140" i="9" s="1"/>
  <c r="BP140" i="9" s="1"/>
  <c r="BQ140" i="9" s="1"/>
  <c r="BR140" i="9" s="1"/>
  <c r="BS140" i="9" s="1"/>
  <c r="BT140" i="9" s="1"/>
  <c r="BU140" i="9" s="1"/>
  <c r="X265" i="31"/>
  <c r="S265" i="31"/>
  <c r="P265" i="31"/>
  <c r="AP140" i="9"/>
  <c r="W265" i="31"/>
  <c r="Q265" i="31"/>
  <c r="T265" i="31"/>
  <c r="E134" i="33"/>
  <c r="F134" i="33" s="1"/>
  <c r="N265" i="31"/>
  <c r="U265" i="31"/>
  <c r="V265" i="31"/>
  <c r="L265" i="31"/>
  <c r="M265" i="31"/>
  <c r="Y265" i="31"/>
  <c r="O265" i="31"/>
  <c r="Z265" i="31"/>
  <c r="P133" i="9"/>
  <c r="Q133" i="9" s="1"/>
  <c r="Q69" i="13"/>
  <c r="AS147" i="9"/>
  <c r="AT147" i="9" s="1"/>
  <c r="AU147" i="9" s="1"/>
  <c r="AV147" i="9" s="1"/>
  <c r="AW147" i="9" s="1"/>
  <c r="AX147" i="9" s="1"/>
  <c r="AY147" i="9" s="1"/>
  <c r="AZ147" i="9" s="1"/>
  <c r="BA147" i="9" s="1"/>
  <c r="BB147" i="9" s="1"/>
  <c r="BC147" i="9" s="1"/>
  <c r="BD147" i="9" s="1"/>
  <c r="BE147" i="9" s="1"/>
  <c r="BF147" i="9" s="1"/>
  <c r="BG147" i="9" s="1"/>
  <c r="BH147" i="9" s="1"/>
  <c r="BI147" i="9" s="1"/>
  <c r="BJ147" i="9" s="1"/>
  <c r="BK147" i="9" s="1"/>
  <c r="BL147" i="9" s="1"/>
  <c r="BM147" i="9" s="1"/>
  <c r="BN147" i="9" s="1"/>
  <c r="BO147" i="9" s="1"/>
  <c r="BP147" i="9" s="1"/>
  <c r="BQ147" i="9" s="1"/>
  <c r="BR147" i="9" s="1"/>
  <c r="BS147" i="9" s="1"/>
  <c r="BT147" i="9" s="1"/>
  <c r="BU147" i="9" s="1"/>
  <c r="AS178" i="9"/>
  <c r="AT178" i="9" s="1"/>
  <c r="AU178" i="9" s="1"/>
  <c r="AV178" i="9" s="1"/>
  <c r="AW178" i="9" s="1"/>
  <c r="AX178" i="9" s="1"/>
  <c r="AY178" i="9" s="1"/>
  <c r="AZ178" i="9" s="1"/>
  <c r="BA178" i="9" s="1"/>
  <c r="BB178" i="9" s="1"/>
  <c r="BC178" i="9" s="1"/>
  <c r="BD178" i="9" s="1"/>
  <c r="BE178" i="9" s="1"/>
  <c r="BF178" i="9" s="1"/>
  <c r="BG178" i="9" s="1"/>
  <c r="BH178" i="9" s="1"/>
  <c r="BI178" i="9" s="1"/>
  <c r="BJ178" i="9" s="1"/>
  <c r="BK178" i="9" s="1"/>
  <c r="BL178" i="9" s="1"/>
  <c r="BM178" i="9" s="1"/>
  <c r="BN178" i="9" s="1"/>
  <c r="BO178" i="9" s="1"/>
  <c r="BP178" i="9" s="1"/>
  <c r="BQ178" i="9" s="1"/>
  <c r="BR178" i="9" s="1"/>
  <c r="BS178" i="9" s="1"/>
  <c r="BT178" i="9" s="1"/>
  <c r="BU178" i="9" s="1"/>
  <c r="O132" i="9"/>
  <c r="P132" i="9" s="1"/>
  <c r="Q132" i="9" s="1"/>
  <c r="AP147" i="9"/>
  <c r="AS132" i="9"/>
  <c r="AT132" i="9" s="1"/>
  <c r="Q151" i="9"/>
  <c r="Q134" i="13" s="1"/>
  <c r="AK151" i="9"/>
  <c r="AS119" i="9"/>
  <c r="AT119" i="9" s="1"/>
  <c r="AU119" i="9" s="1"/>
  <c r="AV119" i="9" s="1"/>
  <c r="AW119" i="9" s="1"/>
  <c r="AX119" i="9" s="1"/>
  <c r="AY119" i="9" s="1"/>
  <c r="AZ119" i="9" s="1"/>
  <c r="BA119" i="9" s="1"/>
  <c r="BB119" i="9" s="1"/>
  <c r="BC119" i="9" s="1"/>
  <c r="BD119" i="9" s="1"/>
  <c r="BE119" i="9" s="1"/>
  <c r="BF119" i="9" s="1"/>
  <c r="BG119" i="9" s="1"/>
  <c r="BH119" i="9" s="1"/>
  <c r="BI119" i="9" s="1"/>
  <c r="BJ119" i="9" s="1"/>
  <c r="BK119" i="9" s="1"/>
  <c r="BL119" i="9" s="1"/>
  <c r="BM119" i="9" s="1"/>
  <c r="BN119" i="9" s="1"/>
  <c r="BO119" i="9" s="1"/>
  <c r="BP119" i="9" s="1"/>
  <c r="BQ119" i="9" s="1"/>
  <c r="BR119" i="9" s="1"/>
  <c r="BS119" i="9" s="1"/>
  <c r="BT119" i="9" s="1"/>
  <c r="BU119" i="9" s="1"/>
  <c r="AS115" i="9"/>
  <c r="AT115" i="9" s="1"/>
  <c r="AU115" i="9" s="1"/>
  <c r="AV115" i="9" s="1"/>
  <c r="AW115" i="9" s="1"/>
  <c r="AX115" i="9" s="1"/>
  <c r="AY115" i="9" s="1"/>
  <c r="AZ115" i="9" s="1"/>
  <c r="BA115" i="9" s="1"/>
  <c r="BB115" i="9" s="1"/>
  <c r="BC115" i="9" s="1"/>
  <c r="BD115" i="9" s="1"/>
  <c r="BE115" i="9" s="1"/>
  <c r="BF115" i="9" s="1"/>
  <c r="BG115" i="9" s="1"/>
  <c r="BH115" i="9" s="1"/>
  <c r="BI115" i="9" s="1"/>
  <c r="BJ115" i="9" s="1"/>
  <c r="BK115" i="9" s="1"/>
  <c r="BL115" i="9" s="1"/>
  <c r="BM115" i="9" s="1"/>
  <c r="BN115" i="9" s="1"/>
  <c r="BO115" i="9" s="1"/>
  <c r="BP115" i="9" s="1"/>
  <c r="BQ115" i="9" s="1"/>
  <c r="BR115" i="9" s="1"/>
  <c r="BS115" i="9" s="1"/>
  <c r="BT115" i="9" s="1"/>
  <c r="BU115" i="9" s="1"/>
  <c r="AS177" i="9"/>
  <c r="AT177" i="9" s="1"/>
  <c r="AU177" i="9" s="1"/>
  <c r="AV177" i="9" s="1"/>
  <c r="AW177" i="9" s="1"/>
  <c r="AX177" i="9" s="1"/>
  <c r="AY177" i="9" s="1"/>
  <c r="AZ177" i="9" s="1"/>
  <c r="BA177" i="9" s="1"/>
  <c r="BB177" i="9" s="1"/>
  <c r="BC177" i="9" s="1"/>
  <c r="BD177" i="9" s="1"/>
  <c r="BE177" i="9" s="1"/>
  <c r="BF177" i="9" s="1"/>
  <c r="BG177" i="9" s="1"/>
  <c r="BH177" i="9" s="1"/>
  <c r="BI177" i="9" s="1"/>
  <c r="BJ177" i="9" s="1"/>
  <c r="BK177" i="9" s="1"/>
  <c r="BL177" i="9" s="1"/>
  <c r="BM177" i="9" s="1"/>
  <c r="BN177" i="9" s="1"/>
  <c r="BO177" i="9" s="1"/>
  <c r="BP177" i="9" s="1"/>
  <c r="BQ177" i="9" s="1"/>
  <c r="BR177" i="9" s="1"/>
  <c r="BS177" i="9" s="1"/>
  <c r="BT177" i="9" s="1"/>
  <c r="BU177" i="9" s="1"/>
  <c r="T151" i="9"/>
  <c r="T134" i="13" s="1"/>
  <c r="AE151" i="9"/>
  <c r="AS25" i="9"/>
  <c r="AT25" i="9" s="1"/>
  <c r="AU25" i="9" s="1"/>
  <c r="AV25" i="9" s="1"/>
  <c r="AW25" i="9" s="1"/>
  <c r="AX25" i="9" s="1"/>
  <c r="AY25" i="9" s="1"/>
  <c r="AZ25" i="9" s="1"/>
  <c r="BA25" i="9" s="1"/>
  <c r="BB25" i="9" s="1"/>
  <c r="BC25" i="9" s="1"/>
  <c r="BD25" i="9" s="1"/>
  <c r="BE25" i="9" s="1"/>
  <c r="BF25" i="9" s="1"/>
  <c r="BG25" i="9" s="1"/>
  <c r="BH25" i="9" s="1"/>
  <c r="BI25" i="9" s="1"/>
  <c r="BJ25" i="9" s="1"/>
  <c r="BK25" i="9" s="1"/>
  <c r="BL25" i="9" s="1"/>
  <c r="BM25" i="9" s="1"/>
  <c r="BN25" i="9" s="1"/>
  <c r="BO25" i="9" s="1"/>
  <c r="BP25" i="9" s="1"/>
  <c r="BQ25" i="9" s="1"/>
  <c r="BR25" i="9" s="1"/>
  <c r="BS25" i="9" s="1"/>
  <c r="BT25" i="9" s="1"/>
  <c r="BU25" i="9" s="1"/>
  <c r="AH151" i="9"/>
  <c r="AS133" i="9"/>
  <c r="AT133" i="9" s="1"/>
  <c r="AU133" i="9" s="1"/>
  <c r="P151" i="9"/>
  <c r="P134" i="13" s="1"/>
  <c r="Z151" i="9"/>
  <c r="Z134" i="13" s="1"/>
  <c r="N151" i="9"/>
  <c r="N134" i="13" s="1"/>
  <c r="AD151" i="9"/>
  <c r="AP177" i="9"/>
  <c r="AM151" i="9"/>
  <c r="U151" i="9"/>
  <c r="U134" i="13" s="1"/>
  <c r="O151" i="9"/>
  <c r="O134" i="13" s="1"/>
  <c r="Y151" i="9"/>
  <c r="Y134" i="13" s="1"/>
  <c r="N134" i="9"/>
  <c r="O134" i="9" s="1"/>
  <c r="W151" i="9"/>
  <c r="W134" i="13" s="1"/>
  <c r="AL151" i="9"/>
  <c r="AP25" i="9"/>
  <c r="AP115" i="9"/>
  <c r="AC151" i="9"/>
  <c r="AI151" i="9"/>
  <c r="X151" i="9"/>
  <c r="X134" i="13" s="1"/>
  <c r="M151" i="9"/>
  <c r="M134" i="13" s="1"/>
  <c r="AN151" i="9"/>
  <c r="AB151" i="9"/>
  <c r="AA151" i="9"/>
  <c r="AJ151" i="9"/>
  <c r="V151" i="9"/>
  <c r="V134" i="13" s="1"/>
  <c r="AR143" i="9"/>
  <c r="AS143" i="9" s="1"/>
  <c r="AT143" i="9" s="1"/>
  <c r="AU143" i="9" s="1"/>
  <c r="AV143" i="9" s="1"/>
  <c r="AW143" i="9" s="1"/>
  <c r="AX143" i="9" s="1"/>
  <c r="AY143" i="9" s="1"/>
  <c r="AZ143" i="9" s="1"/>
  <c r="BA143" i="9" s="1"/>
  <c r="BB143" i="9" s="1"/>
  <c r="BC143" i="9" s="1"/>
  <c r="BD143" i="9" s="1"/>
  <c r="BE143" i="9" s="1"/>
  <c r="BF143" i="9" s="1"/>
  <c r="BG143" i="9" s="1"/>
  <c r="BH143" i="9" s="1"/>
  <c r="BI143" i="9" s="1"/>
  <c r="BJ143" i="9" s="1"/>
  <c r="BK143" i="9" s="1"/>
  <c r="BL143" i="9" s="1"/>
  <c r="BM143" i="9" s="1"/>
  <c r="BN143" i="9" s="1"/>
  <c r="BO143" i="9" s="1"/>
  <c r="BP143" i="9" s="1"/>
  <c r="BQ143" i="9" s="1"/>
  <c r="BR143" i="9" s="1"/>
  <c r="BS143" i="9" s="1"/>
  <c r="BT143" i="9" s="1"/>
  <c r="BU143" i="9" s="1"/>
  <c r="AP143" i="9"/>
  <c r="AS111" i="9"/>
  <c r="AT111" i="9" s="1"/>
  <c r="AU111" i="9" s="1"/>
  <c r="AV111" i="9" s="1"/>
  <c r="AW111" i="9" s="1"/>
  <c r="AX111" i="9" s="1"/>
  <c r="AY111" i="9" s="1"/>
  <c r="AZ111" i="9" s="1"/>
  <c r="BA111" i="9" s="1"/>
  <c r="BB111" i="9" s="1"/>
  <c r="BC111" i="9" s="1"/>
  <c r="BD111" i="9" s="1"/>
  <c r="BE111" i="9" s="1"/>
  <c r="BF111" i="9" s="1"/>
  <c r="BG111" i="9" s="1"/>
  <c r="BH111" i="9" s="1"/>
  <c r="BI111" i="9" s="1"/>
  <c r="BJ111" i="9" s="1"/>
  <c r="BK111" i="9" s="1"/>
  <c r="BL111" i="9" s="1"/>
  <c r="BM111" i="9" s="1"/>
  <c r="BN111" i="9" s="1"/>
  <c r="BO111" i="9" s="1"/>
  <c r="BP111" i="9" s="1"/>
  <c r="BQ111" i="9" s="1"/>
  <c r="BR111" i="9" s="1"/>
  <c r="BS111" i="9" s="1"/>
  <c r="BT111" i="9" s="1"/>
  <c r="BU111" i="9" s="1"/>
  <c r="AO151" i="9"/>
  <c r="S151" i="9"/>
  <c r="S134" i="13" s="1"/>
  <c r="R151" i="9"/>
  <c r="R134" i="13" s="1"/>
  <c r="AG151" i="9"/>
  <c r="AF151" i="9"/>
  <c r="AP119" i="9"/>
  <c r="AR144" i="9"/>
  <c r="AS144" i="9" s="1"/>
  <c r="AT144" i="9" s="1"/>
  <c r="AU144" i="9" s="1"/>
  <c r="AV144" i="9" s="1"/>
  <c r="AW144" i="9" s="1"/>
  <c r="AX144" i="9" s="1"/>
  <c r="AY144" i="9" s="1"/>
  <c r="AZ144" i="9" s="1"/>
  <c r="BA144" i="9" s="1"/>
  <c r="BB144" i="9" s="1"/>
  <c r="BC144" i="9" s="1"/>
  <c r="BD144" i="9" s="1"/>
  <c r="BE144" i="9" s="1"/>
  <c r="BF144" i="9" s="1"/>
  <c r="BG144" i="9" s="1"/>
  <c r="BH144" i="9" s="1"/>
  <c r="BI144" i="9" s="1"/>
  <c r="BJ144" i="9" s="1"/>
  <c r="BK144" i="9" s="1"/>
  <c r="BL144" i="9" s="1"/>
  <c r="BM144" i="9" s="1"/>
  <c r="BN144" i="9" s="1"/>
  <c r="BO144" i="9" s="1"/>
  <c r="BP144" i="9" s="1"/>
  <c r="BQ144" i="9" s="1"/>
  <c r="BR144" i="9" s="1"/>
  <c r="BS144" i="9" s="1"/>
  <c r="BT144" i="9" s="1"/>
  <c r="BU144" i="9" s="1"/>
  <c r="AP144" i="9"/>
  <c r="AR145" i="9"/>
  <c r="AS145" i="9" s="1"/>
  <c r="AT145" i="9" s="1"/>
  <c r="AU145" i="9" s="1"/>
  <c r="AV145" i="9" s="1"/>
  <c r="AW145" i="9" s="1"/>
  <c r="AX145" i="9" s="1"/>
  <c r="AY145" i="9" s="1"/>
  <c r="AZ145" i="9" s="1"/>
  <c r="BA145" i="9" s="1"/>
  <c r="BB145" i="9" s="1"/>
  <c r="BC145" i="9" s="1"/>
  <c r="BD145" i="9" s="1"/>
  <c r="BE145" i="9" s="1"/>
  <c r="BF145" i="9" s="1"/>
  <c r="BG145" i="9" s="1"/>
  <c r="BH145" i="9" s="1"/>
  <c r="BI145" i="9" s="1"/>
  <c r="BJ145" i="9" s="1"/>
  <c r="BK145" i="9" s="1"/>
  <c r="BL145" i="9" s="1"/>
  <c r="BM145" i="9" s="1"/>
  <c r="BN145" i="9" s="1"/>
  <c r="BO145" i="9" s="1"/>
  <c r="BP145" i="9" s="1"/>
  <c r="BQ145" i="9" s="1"/>
  <c r="BR145" i="9" s="1"/>
  <c r="BS145" i="9" s="1"/>
  <c r="BT145" i="9" s="1"/>
  <c r="BU145" i="9" s="1"/>
  <c r="AP145" i="9"/>
  <c r="L151" i="9"/>
  <c r="L134" i="13" s="1"/>
  <c r="AT237" i="9"/>
  <c r="AU237" i="9" s="1"/>
  <c r="AV237" i="9" s="1"/>
  <c r="AW237" i="9" s="1"/>
  <c r="AX237" i="9" s="1"/>
  <c r="AY237" i="9" s="1"/>
  <c r="AZ237" i="9" s="1"/>
  <c r="BA237" i="9" s="1"/>
  <c r="BB237" i="9" s="1"/>
  <c r="BC237" i="9" s="1"/>
  <c r="BD237" i="9" s="1"/>
  <c r="BE237" i="9" s="1"/>
  <c r="BF237" i="9" s="1"/>
  <c r="BG237" i="9" s="1"/>
  <c r="BH237" i="9" s="1"/>
  <c r="BI237" i="9" s="1"/>
  <c r="BJ237" i="9" s="1"/>
  <c r="BK237" i="9" s="1"/>
  <c r="BL237" i="9" s="1"/>
  <c r="BM237" i="9" s="1"/>
  <c r="BN237" i="9" s="1"/>
  <c r="BO237" i="9" s="1"/>
  <c r="BP237" i="9" s="1"/>
  <c r="BQ237" i="9" s="1"/>
  <c r="BR237" i="9" s="1"/>
  <c r="BS237" i="9" s="1"/>
  <c r="BT237" i="9" s="1"/>
  <c r="BU237" i="9" s="1"/>
  <c r="AP237" i="9"/>
  <c r="AS209" i="9"/>
  <c r="AT209" i="9" s="1"/>
  <c r="AU209" i="9" s="1"/>
  <c r="AV209" i="9" s="1"/>
  <c r="AW209" i="9" s="1"/>
  <c r="AX209" i="9" s="1"/>
  <c r="AY209" i="9" s="1"/>
  <c r="AZ209" i="9" s="1"/>
  <c r="BA209" i="9" s="1"/>
  <c r="BB209" i="9" s="1"/>
  <c r="BC209" i="9" s="1"/>
  <c r="BD209" i="9" s="1"/>
  <c r="BE209" i="9" s="1"/>
  <c r="BF209" i="9" s="1"/>
  <c r="BG209" i="9" s="1"/>
  <c r="BH209" i="9" s="1"/>
  <c r="BI209" i="9" s="1"/>
  <c r="BJ209" i="9" s="1"/>
  <c r="BK209" i="9" s="1"/>
  <c r="BL209" i="9" s="1"/>
  <c r="BM209" i="9" s="1"/>
  <c r="BN209" i="9" s="1"/>
  <c r="BO209" i="9" s="1"/>
  <c r="BP209" i="9" s="1"/>
  <c r="BQ209" i="9" s="1"/>
  <c r="BR209" i="9" s="1"/>
  <c r="BS209" i="9" s="1"/>
  <c r="BT209" i="9" s="1"/>
  <c r="BU209" i="9" s="1"/>
  <c r="AP111" i="9"/>
  <c r="AP209" i="9"/>
  <c r="AS61" i="9"/>
  <c r="AT61" i="9" s="1"/>
  <c r="AU61" i="9" s="1"/>
  <c r="AV61" i="9" s="1"/>
  <c r="AW61" i="9" s="1"/>
  <c r="AX61" i="9" s="1"/>
  <c r="AY61" i="9" s="1"/>
  <c r="AZ61" i="9" s="1"/>
  <c r="BA61" i="9" s="1"/>
  <c r="BB61" i="9" s="1"/>
  <c r="BC61" i="9" s="1"/>
  <c r="BD61" i="9" s="1"/>
  <c r="BE61" i="9" s="1"/>
  <c r="BF61" i="9" s="1"/>
  <c r="BG61" i="9" s="1"/>
  <c r="BH61" i="9" s="1"/>
  <c r="BI61" i="9" s="1"/>
  <c r="BJ61" i="9" s="1"/>
  <c r="BK61" i="9" s="1"/>
  <c r="BL61" i="9" s="1"/>
  <c r="BM61" i="9" s="1"/>
  <c r="BN61" i="9" s="1"/>
  <c r="BO61" i="9" s="1"/>
  <c r="BP61" i="9" s="1"/>
  <c r="BQ61" i="9" s="1"/>
  <c r="BR61" i="9" s="1"/>
  <c r="BS61" i="9" s="1"/>
  <c r="BT61" i="9" s="1"/>
  <c r="BU61" i="9" s="1"/>
  <c r="AT210" i="9"/>
  <c r="AU210" i="9" s="1"/>
  <c r="AV210" i="9" s="1"/>
  <c r="AW210" i="9" s="1"/>
  <c r="AX210" i="9" s="1"/>
  <c r="AY210" i="9" s="1"/>
  <c r="AZ210" i="9" s="1"/>
  <c r="BA210" i="9" s="1"/>
  <c r="BB210" i="9" s="1"/>
  <c r="BC210" i="9" s="1"/>
  <c r="BD210" i="9" s="1"/>
  <c r="BE210" i="9" s="1"/>
  <c r="BF210" i="9" s="1"/>
  <c r="BG210" i="9" s="1"/>
  <c r="BH210" i="9" s="1"/>
  <c r="BI210" i="9" s="1"/>
  <c r="BJ210" i="9" s="1"/>
  <c r="BK210" i="9" s="1"/>
  <c r="BL210" i="9" s="1"/>
  <c r="BM210" i="9" s="1"/>
  <c r="BN210" i="9" s="1"/>
  <c r="BO210" i="9" s="1"/>
  <c r="BP210" i="9" s="1"/>
  <c r="BQ210" i="9" s="1"/>
  <c r="BR210" i="9" s="1"/>
  <c r="BS210" i="9" s="1"/>
  <c r="BT210" i="9" s="1"/>
  <c r="BU210" i="9" s="1"/>
  <c r="AP61" i="9"/>
  <c r="AP210" i="9"/>
  <c r="AS84" i="9"/>
  <c r="AT84" i="9" s="1"/>
  <c r="AU84" i="9" s="1"/>
  <c r="AV84" i="9" s="1"/>
  <c r="AW84" i="9" s="1"/>
  <c r="AX84" i="9" s="1"/>
  <c r="AY84" i="9" s="1"/>
  <c r="AZ84" i="9" s="1"/>
  <c r="BA84" i="9" s="1"/>
  <c r="BB84" i="9" s="1"/>
  <c r="BC84" i="9" s="1"/>
  <c r="BD84" i="9" s="1"/>
  <c r="BE84" i="9" s="1"/>
  <c r="BF84" i="9" s="1"/>
  <c r="BG84" i="9" s="1"/>
  <c r="BH84" i="9" s="1"/>
  <c r="BI84" i="9" s="1"/>
  <c r="BJ84" i="9" s="1"/>
  <c r="BK84" i="9" s="1"/>
  <c r="BL84" i="9" s="1"/>
  <c r="BM84" i="9" s="1"/>
  <c r="BN84" i="9" s="1"/>
  <c r="BO84" i="9" s="1"/>
  <c r="BP84" i="9" s="1"/>
  <c r="BQ84" i="9" s="1"/>
  <c r="BR84" i="9" s="1"/>
  <c r="BS84" i="9" s="1"/>
  <c r="BT84" i="9" s="1"/>
  <c r="BU84" i="9" s="1"/>
  <c r="AS30" i="9"/>
  <c r="AT30" i="9" s="1"/>
  <c r="AU30" i="9" s="1"/>
  <c r="AV30" i="9" s="1"/>
  <c r="AW30" i="9" s="1"/>
  <c r="AX30" i="9" s="1"/>
  <c r="AY30" i="9" s="1"/>
  <c r="AZ30" i="9" s="1"/>
  <c r="BA30" i="9" s="1"/>
  <c r="BB30" i="9" s="1"/>
  <c r="BC30" i="9" s="1"/>
  <c r="BD30" i="9" s="1"/>
  <c r="BE30" i="9" s="1"/>
  <c r="BF30" i="9" s="1"/>
  <c r="BG30" i="9" s="1"/>
  <c r="BH30" i="9" s="1"/>
  <c r="BI30" i="9" s="1"/>
  <c r="BJ30" i="9" s="1"/>
  <c r="BK30" i="9" s="1"/>
  <c r="BL30" i="9" s="1"/>
  <c r="BM30" i="9" s="1"/>
  <c r="BN30" i="9" s="1"/>
  <c r="BO30" i="9" s="1"/>
  <c r="BP30" i="9" s="1"/>
  <c r="BQ30" i="9" s="1"/>
  <c r="BR30" i="9" s="1"/>
  <c r="BS30" i="9" s="1"/>
  <c r="BT30" i="9" s="1"/>
  <c r="BU30" i="9" s="1"/>
  <c r="AS28" i="9"/>
  <c r="AT28" i="9" s="1"/>
  <c r="AU28" i="9" s="1"/>
  <c r="AV28" i="9" s="1"/>
  <c r="AW28" i="9" s="1"/>
  <c r="AX28" i="9" s="1"/>
  <c r="AY28" i="9" s="1"/>
  <c r="AZ28" i="9" s="1"/>
  <c r="BA28" i="9" s="1"/>
  <c r="BB28" i="9" s="1"/>
  <c r="BC28" i="9" s="1"/>
  <c r="BD28" i="9" s="1"/>
  <c r="BE28" i="9" s="1"/>
  <c r="BF28" i="9" s="1"/>
  <c r="BG28" i="9" s="1"/>
  <c r="BH28" i="9" s="1"/>
  <c r="BI28" i="9" s="1"/>
  <c r="BJ28" i="9" s="1"/>
  <c r="BK28" i="9" s="1"/>
  <c r="BL28" i="9" s="1"/>
  <c r="BM28" i="9" s="1"/>
  <c r="BN28" i="9" s="1"/>
  <c r="BO28" i="9" s="1"/>
  <c r="BP28" i="9" s="1"/>
  <c r="BQ28" i="9" s="1"/>
  <c r="BR28" i="9" s="1"/>
  <c r="BS28" i="9" s="1"/>
  <c r="BT28" i="9" s="1"/>
  <c r="BU28" i="9" s="1"/>
  <c r="R69" i="13"/>
  <c r="AS160" i="9"/>
  <c r="AT160" i="9" s="1"/>
  <c r="AU160" i="9" s="1"/>
  <c r="AS117" i="9"/>
  <c r="AT117" i="9" s="1"/>
  <c r="AU117" i="9" s="1"/>
  <c r="AV117" i="9" s="1"/>
  <c r="AW117" i="9" s="1"/>
  <c r="AX117" i="9" s="1"/>
  <c r="AY117" i="9" s="1"/>
  <c r="AZ117" i="9" s="1"/>
  <c r="BA117" i="9" s="1"/>
  <c r="BB117" i="9" s="1"/>
  <c r="BC117" i="9" s="1"/>
  <c r="BD117" i="9" s="1"/>
  <c r="BE117" i="9" s="1"/>
  <c r="BF117" i="9" s="1"/>
  <c r="BG117" i="9" s="1"/>
  <c r="BH117" i="9" s="1"/>
  <c r="BI117" i="9" s="1"/>
  <c r="BJ117" i="9" s="1"/>
  <c r="BK117" i="9" s="1"/>
  <c r="BL117" i="9" s="1"/>
  <c r="BM117" i="9" s="1"/>
  <c r="BN117" i="9" s="1"/>
  <c r="BO117" i="9" s="1"/>
  <c r="BP117" i="9" s="1"/>
  <c r="BQ117" i="9" s="1"/>
  <c r="BR117" i="9" s="1"/>
  <c r="BS117" i="9" s="1"/>
  <c r="BT117" i="9" s="1"/>
  <c r="BU117" i="9" s="1"/>
  <c r="V13" i="13"/>
  <c r="L238" i="13"/>
  <c r="L239" i="13" s="1"/>
  <c r="K43" i="33" s="1"/>
  <c r="X288" i="48"/>
  <c r="X268" i="48" s="1"/>
  <c r="N288" i="48"/>
  <c r="N268" i="48" s="1"/>
  <c r="AS88" i="9"/>
  <c r="AT88" i="9" s="1"/>
  <c r="AU88" i="9" s="1"/>
  <c r="AV88" i="9" s="1"/>
  <c r="AW88" i="9" s="1"/>
  <c r="AX88" i="9" s="1"/>
  <c r="AY88" i="9" s="1"/>
  <c r="AZ88" i="9" s="1"/>
  <c r="BA88" i="9" s="1"/>
  <c r="BB88" i="9" s="1"/>
  <c r="BC88" i="9" s="1"/>
  <c r="BD88" i="9" s="1"/>
  <c r="BE88" i="9" s="1"/>
  <c r="BF88" i="9" s="1"/>
  <c r="BG88" i="9" s="1"/>
  <c r="BH88" i="9" s="1"/>
  <c r="BI88" i="9" s="1"/>
  <c r="BJ88" i="9" s="1"/>
  <c r="BK88" i="9" s="1"/>
  <c r="BL88" i="9" s="1"/>
  <c r="BM88" i="9" s="1"/>
  <c r="BN88" i="9" s="1"/>
  <c r="BO88" i="9" s="1"/>
  <c r="BP88" i="9" s="1"/>
  <c r="BQ88" i="9" s="1"/>
  <c r="BR88" i="9" s="1"/>
  <c r="BS88" i="9" s="1"/>
  <c r="BT88" i="9" s="1"/>
  <c r="BU88" i="9" s="1"/>
  <c r="Z288" i="48"/>
  <c r="Z289" i="48" s="1"/>
  <c r="Y13" i="13"/>
  <c r="AP28" i="9"/>
  <c r="BI11" i="6"/>
  <c r="BI14" i="6" s="1"/>
  <c r="BJ14" i="6" s="1"/>
  <c r="BK14" i="6" s="1"/>
  <c r="BM14" i="6" s="1"/>
  <c r="BI15" i="6" s="1"/>
  <c r="K206" i="48"/>
  <c r="L206" i="48" s="1"/>
  <c r="M206" i="48" s="1"/>
  <c r="M209" i="48" s="1"/>
  <c r="W267" i="48" s="1"/>
  <c r="W219" i="13" s="1"/>
  <c r="Z13" i="13"/>
  <c r="S69" i="13"/>
  <c r="AP30" i="9"/>
  <c r="E177" i="33"/>
  <c r="F177" i="33" s="1"/>
  <c r="AS58" i="9"/>
  <c r="AT58" i="9" s="1"/>
  <c r="AU58" i="9" s="1"/>
  <c r="AV58" i="9" s="1"/>
  <c r="AW58" i="9" s="1"/>
  <c r="AX58" i="9" s="1"/>
  <c r="AY58" i="9" s="1"/>
  <c r="AZ58" i="9" s="1"/>
  <c r="BA58" i="9" s="1"/>
  <c r="BB58" i="9" s="1"/>
  <c r="BC58" i="9" s="1"/>
  <c r="BD58" i="9" s="1"/>
  <c r="BE58" i="9" s="1"/>
  <c r="BF58" i="9" s="1"/>
  <c r="BG58" i="9" s="1"/>
  <c r="BH58" i="9" s="1"/>
  <c r="BI58" i="9" s="1"/>
  <c r="BJ58" i="9" s="1"/>
  <c r="BK58" i="9" s="1"/>
  <c r="BL58" i="9" s="1"/>
  <c r="BM58" i="9" s="1"/>
  <c r="BN58" i="9" s="1"/>
  <c r="BO58" i="9" s="1"/>
  <c r="BP58" i="9" s="1"/>
  <c r="BQ58" i="9" s="1"/>
  <c r="BR58" i="9" s="1"/>
  <c r="BS58" i="9" s="1"/>
  <c r="BT58" i="9" s="1"/>
  <c r="BU58" i="9" s="1"/>
  <c r="U243" i="35"/>
  <c r="Z243" i="35"/>
  <c r="Y243" i="35"/>
  <c r="AS181" i="9"/>
  <c r="AT181" i="9" s="1"/>
  <c r="AU181" i="9" s="1"/>
  <c r="AV181" i="9" s="1"/>
  <c r="AW181" i="9" s="1"/>
  <c r="AX181" i="9" s="1"/>
  <c r="AY181" i="9" s="1"/>
  <c r="AZ181" i="9" s="1"/>
  <c r="BA181" i="9" s="1"/>
  <c r="BB181" i="9" s="1"/>
  <c r="BC181" i="9" s="1"/>
  <c r="BD181" i="9" s="1"/>
  <c r="BE181" i="9" s="1"/>
  <c r="BF181" i="9" s="1"/>
  <c r="BG181" i="9" s="1"/>
  <c r="BH181" i="9" s="1"/>
  <c r="BI181" i="9" s="1"/>
  <c r="BJ181" i="9" s="1"/>
  <c r="BK181" i="9" s="1"/>
  <c r="BL181" i="9" s="1"/>
  <c r="BM181" i="9" s="1"/>
  <c r="BN181" i="9" s="1"/>
  <c r="BO181" i="9" s="1"/>
  <c r="BP181" i="9" s="1"/>
  <c r="BQ181" i="9" s="1"/>
  <c r="BR181" i="9" s="1"/>
  <c r="BS181" i="9" s="1"/>
  <c r="BT181" i="9" s="1"/>
  <c r="BU181" i="9" s="1"/>
  <c r="O243" i="35"/>
  <c r="P243" i="35"/>
  <c r="X69" i="13"/>
  <c r="X243" i="35"/>
  <c r="E148" i="33"/>
  <c r="F148" i="33" s="1"/>
  <c r="AP58" i="9"/>
  <c r="Z69" i="13"/>
  <c r="L243" i="35"/>
  <c r="N243" i="35"/>
  <c r="V243" i="35"/>
  <c r="M243" i="35"/>
  <c r="S243" i="35"/>
  <c r="N265" i="48"/>
  <c r="L265" i="48"/>
  <c r="AP117" i="9"/>
  <c r="R243" i="35"/>
  <c r="W243" i="35"/>
  <c r="R269" i="35"/>
  <c r="R247" i="35" s="1"/>
  <c r="P265" i="48"/>
  <c r="X13" i="13"/>
  <c r="S265" i="48"/>
  <c r="T243" i="35"/>
  <c r="R265" i="48"/>
  <c r="Y265" i="48"/>
  <c r="M265" i="48"/>
  <c r="M69" i="13"/>
  <c r="O265" i="48"/>
  <c r="Z265" i="48"/>
  <c r="P13" i="13"/>
  <c r="L69" i="13"/>
  <c r="X265" i="48"/>
  <c r="U265" i="48"/>
  <c r="AS121" i="9"/>
  <c r="AT121" i="9" s="1"/>
  <c r="AU121" i="9" s="1"/>
  <c r="AV121" i="9" s="1"/>
  <c r="AW121" i="9" s="1"/>
  <c r="AX121" i="9" s="1"/>
  <c r="AY121" i="9" s="1"/>
  <c r="AZ121" i="9" s="1"/>
  <c r="BA121" i="9" s="1"/>
  <c r="BB121" i="9" s="1"/>
  <c r="BC121" i="9" s="1"/>
  <c r="BD121" i="9" s="1"/>
  <c r="BE121" i="9" s="1"/>
  <c r="BF121" i="9" s="1"/>
  <c r="BG121" i="9" s="1"/>
  <c r="BH121" i="9" s="1"/>
  <c r="BI121" i="9" s="1"/>
  <c r="BJ121" i="9" s="1"/>
  <c r="BK121" i="9" s="1"/>
  <c r="BL121" i="9" s="1"/>
  <c r="BM121" i="9" s="1"/>
  <c r="BN121" i="9" s="1"/>
  <c r="BO121" i="9" s="1"/>
  <c r="BP121" i="9" s="1"/>
  <c r="BQ121" i="9" s="1"/>
  <c r="BR121" i="9" s="1"/>
  <c r="BS121" i="9" s="1"/>
  <c r="BT121" i="9" s="1"/>
  <c r="BU121" i="9" s="1"/>
  <c r="T265" i="48"/>
  <c r="Q265" i="48"/>
  <c r="AT129" i="9"/>
  <c r="AU129" i="9" s="1"/>
  <c r="T69" i="13"/>
  <c r="AA128" i="13"/>
  <c r="V265" i="48"/>
  <c r="P69" i="13"/>
  <c r="U69" i="13"/>
  <c r="U13" i="13"/>
  <c r="N13" i="13"/>
  <c r="AR14" i="9"/>
  <c r="AS14" i="9" s="1"/>
  <c r="M267" i="30"/>
  <c r="M268" i="30" s="1"/>
  <c r="X269" i="35"/>
  <c r="X270" i="35" s="1"/>
  <c r="O69" i="13"/>
  <c r="AT194" i="9"/>
  <c r="AU194" i="9" s="1"/>
  <c r="AS56" i="9"/>
  <c r="AT56" i="9" s="1"/>
  <c r="AU56" i="9" s="1"/>
  <c r="AV56" i="9" s="1"/>
  <c r="AW56" i="9" s="1"/>
  <c r="AX56" i="9" s="1"/>
  <c r="AY56" i="9" s="1"/>
  <c r="AZ56" i="9" s="1"/>
  <c r="BA56" i="9" s="1"/>
  <c r="BB56" i="9" s="1"/>
  <c r="BC56" i="9" s="1"/>
  <c r="BD56" i="9" s="1"/>
  <c r="BE56" i="9" s="1"/>
  <c r="BF56" i="9" s="1"/>
  <c r="BG56" i="9" s="1"/>
  <c r="BH56" i="9" s="1"/>
  <c r="BI56" i="9" s="1"/>
  <c r="BJ56" i="9" s="1"/>
  <c r="BK56" i="9" s="1"/>
  <c r="BL56" i="9" s="1"/>
  <c r="BM56" i="9" s="1"/>
  <c r="BN56" i="9" s="1"/>
  <c r="BO56" i="9" s="1"/>
  <c r="BP56" i="9" s="1"/>
  <c r="BQ56" i="9" s="1"/>
  <c r="BR56" i="9" s="1"/>
  <c r="BS56" i="9" s="1"/>
  <c r="BT56" i="9" s="1"/>
  <c r="BU56" i="9" s="1"/>
  <c r="AT193" i="9"/>
  <c r="L13" i="13"/>
  <c r="V267" i="30"/>
  <c r="V246" i="30" s="1"/>
  <c r="K191" i="30"/>
  <c r="L191" i="30" s="1"/>
  <c r="M191" i="30" s="1"/>
  <c r="M194" i="30" s="1"/>
  <c r="P243" i="30" s="1"/>
  <c r="P102" i="13" s="1"/>
  <c r="R13" i="13"/>
  <c r="N241" i="30"/>
  <c r="V69" i="13"/>
  <c r="AS232" i="9"/>
  <c r="AT232" i="9" s="1"/>
  <c r="AU232" i="9" s="1"/>
  <c r="AV232" i="9" s="1"/>
  <c r="AW232" i="9" s="1"/>
  <c r="AX232" i="9" s="1"/>
  <c r="AY232" i="9" s="1"/>
  <c r="AZ232" i="9" s="1"/>
  <c r="BA232" i="9" s="1"/>
  <c r="BB232" i="9" s="1"/>
  <c r="BC232" i="9" s="1"/>
  <c r="BD232" i="9" s="1"/>
  <c r="BE232" i="9" s="1"/>
  <c r="BF232" i="9" s="1"/>
  <c r="BG232" i="9" s="1"/>
  <c r="BH232" i="9" s="1"/>
  <c r="BI232" i="9" s="1"/>
  <c r="BJ232" i="9" s="1"/>
  <c r="BK232" i="9" s="1"/>
  <c r="BL232" i="9" s="1"/>
  <c r="BM232" i="9" s="1"/>
  <c r="BN232" i="9" s="1"/>
  <c r="BO232" i="9" s="1"/>
  <c r="BP232" i="9" s="1"/>
  <c r="BQ232" i="9" s="1"/>
  <c r="BR232" i="9" s="1"/>
  <c r="BS232" i="9" s="1"/>
  <c r="BT232" i="9" s="1"/>
  <c r="BU232" i="9" s="1"/>
  <c r="V241" i="30"/>
  <c r="O241" i="30"/>
  <c r="O13" i="13"/>
  <c r="AS110" i="9"/>
  <c r="AT110" i="9" s="1"/>
  <c r="AU110" i="9" s="1"/>
  <c r="AV110" i="9" s="1"/>
  <c r="AW110" i="9" s="1"/>
  <c r="AX110" i="9" s="1"/>
  <c r="AY110" i="9" s="1"/>
  <c r="AZ110" i="9" s="1"/>
  <c r="BA110" i="9" s="1"/>
  <c r="BB110" i="9" s="1"/>
  <c r="BC110" i="9" s="1"/>
  <c r="BD110" i="9" s="1"/>
  <c r="BE110" i="9" s="1"/>
  <c r="BF110" i="9" s="1"/>
  <c r="BG110" i="9" s="1"/>
  <c r="BH110" i="9" s="1"/>
  <c r="BI110" i="9" s="1"/>
  <c r="BJ110" i="9" s="1"/>
  <c r="BK110" i="9" s="1"/>
  <c r="BL110" i="9" s="1"/>
  <c r="BM110" i="9" s="1"/>
  <c r="BN110" i="9" s="1"/>
  <c r="BO110" i="9" s="1"/>
  <c r="BP110" i="9" s="1"/>
  <c r="BQ110" i="9" s="1"/>
  <c r="BR110" i="9" s="1"/>
  <c r="BS110" i="9" s="1"/>
  <c r="BT110" i="9" s="1"/>
  <c r="BU110" i="9" s="1"/>
  <c r="M127" i="31"/>
  <c r="S262" i="31" s="1"/>
  <c r="S127" i="13" s="1"/>
  <c r="AR45" i="9"/>
  <c r="AS45" i="9" s="1"/>
  <c r="AS233" i="9"/>
  <c r="AT233" i="9" s="1"/>
  <c r="AU233" i="9" s="1"/>
  <c r="AV233" i="9" s="1"/>
  <c r="AW233" i="9" s="1"/>
  <c r="AX233" i="9" s="1"/>
  <c r="AY233" i="9" s="1"/>
  <c r="AZ233" i="9" s="1"/>
  <c r="BA233" i="9" s="1"/>
  <c r="BB233" i="9" s="1"/>
  <c r="BC233" i="9" s="1"/>
  <c r="BD233" i="9" s="1"/>
  <c r="BE233" i="9" s="1"/>
  <c r="BF233" i="9" s="1"/>
  <c r="BG233" i="9" s="1"/>
  <c r="BH233" i="9" s="1"/>
  <c r="BI233" i="9" s="1"/>
  <c r="BJ233" i="9" s="1"/>
  <c r="BK233" i="9" s="1"/>
  <c r="BL233" i="9" s="1"/>
  <c r="BM233" i="9" s="1"/>
  <c r="BN233" i="9" s="1"/>
  <c r="BO233" i="9" s="1"/>
  <c r="BP233" i="9" s="1"/>
  <c r="BQ233" i="9" s="1"/>
  <c r="BR233" i="9" s="1"/>
  <c r="BS233" i="9" s="1"/>
  <c r="BT233" i="9" s="1"/>
  <c r="BU233" i="9" s="1"/>
  <c r="W69" i="13"/>
  <c r="AN217" i="9"/>
  <c r="T13" i="13"/>
  <c r="S13" i="13"/>
  <c r="Y69" i="13"/>
  <c r="AS206" i="9"/>
  <c r="AT206" i="9" s="1"/>
  <c r="AU206" i="9" s="1"/>
  <c r="AV206" i="9" s="1"/>
  <c r="AW206" i="9" s="1"/>
  <c r="AX206" i="9" s="1"/>
  <c r="AY206" i="9" s="1"/>
  <c r="AZ206" i="9" s="1"/>
  <c r="BA206" i="9" s="1"/>
  <c r="BB206" i="9" s="1"/>
  <c r="BC206" i="9" s="1"/>
  <c r="BD206" i="9" s="1"/>
  <c r="BE206" i="9" s="1"/>
  <c r="BF206" i="9" s="1"/>
  <c r="BG206" i="9" s="1"/>
  <c r="BH206" i="9" s="1"/>
  <c r="BI206" i="9" s="1"/>
  <c r="BJ206" i="9" s="1"/>
  <c r="BK206" i="9" s="1"/>
  <c r="BL206" i="9" s="1"/>
  <c r="BM206" i="9" s="1"/>
  <c r="BN206" i="9" s="1"/>
  <c r="BO206" i="9" s="1"/>
  <c r="BP206" i="9" s="1"/>
  <c r="BQ206" i="9" s="1"/>
  <c r="BR206" i="9" s="1"/>
  <c r="BS206" i="9" s="1"/>
  <c r="BT206" i="9" s="1"/>
  <c r="BU206" i="9" s="1"/>
  <c r="S216" i="13"/>
  <c r="AS105" i="9"/>
  <c r="AT105" i="9" s="1"/>
  <c r="V288" i="48"/>
  <c r="V268" i="48" s="1"/>
  <c r="AR164" i="9"/>
  <c r="AS164" i="9" s="1"/>
  <c r="M49" i="9"/>
  <c r="AS49" i="9" s="1"/>
  <c r="P241" i="30"/>
  <c r="AP56" i="9"/>
  <c r="N217" i="9"/>
  <c r="N192" i="13" s="1"/>
  <c r="AT100" i="9"/>
  <c r="W13" i="13"/>
  <c r="AS235" i="9"/>
  <c r="AT235" i="9" s="1"/>
  <c r="AU235" i="9" s="1"/>
  <c r="AV235" i="9" s="1"/>
  <c r="AW235" i="9" s="1"/>
  <c r="AX235" i="9" s="1"/>
  <c r="AY235" i="9" s="1"/>
  <c r="AZ235" i="9" s="1"/>
  <c r="BA235" i="9" s="1"/>
  <c r="BB235" i="9" s="1"/>
  <c r="BC235" i="9" s="1"/>
  <c r="BD235" i="9" s="1"/>
  <c r="BE235" i="9" s="1"/>
  <c r="BF235" i="9" s="1"/>
  <c r="BG235" i="9" s="1"/>
  <c r="BH235" i="9" s="1"/>
  <c r="BI235" i="9" s="1"/>
  <c r="BJ235" i="9" s="1"/>
  <c r="BK235" i="9" s="1"/>
  <c r="BL235" i="9" s="1"/>
  <c r="BM235" i="9" s="1"/>
  <c r="BN235" i="9" s="1"/>
  <c r="BO235" i="9" s="1"/>
  <c r="BP235" i="9" s="1"/>
  <c r="BQ235" i="9" s="1"/>
  <c r="BR235" i="9" s="1"/>
  <c r="BS235" i="9" s="1"/>
  <c r="BT235" i="9" s="1"/>
  <c r="BU235" i="9" s="1"/>
  <c r="AS104" i="9"/>
  <c r="AT104" i="9" s="1"/>
  <c r="AU104" i="9" s="1"/>
  <c r="AH217" i="9"/>
  <c r="S288" i="48"/>
  <c r="S289" i="48" s="1"/>
  <c r="AC11" i="6"/>
  <c r="AC14" i="6" s="1"/>
  <c r="AD14" i="6" s="1"/>
  <c r="AE14" i="6" s="1"/>
  <c r="AG14" i="6" s="1"/>
  <c r="AC15" i="6" s="1"/>
  <c r="P194" i="9"/>
  <c r="Q194" i="9" s="1"/>
  <c r="Z217" i="9"/>
  <c r="Z192" i="13" s="1"/>
  <c r="AC217" i="9"/>
  <c r="Z269" i="35"/>
  <c r="Z270" i="35" s="1"/>
  <c r="F39" i="56"/>
  <c r="H289" i="56" s="1"/>
  <c r="I284" i="56" s="1"/>
  <c r="U288" i="48"/>
  <c r="U289" i="48" s="1"/>
  <c r="O269" i="35"/>
  <c r="O270" i="35" s="1"/>
  <c r="AT46" i="9"/>
  <c r="X241" i="52"/>
  <c r="AP233" i="9"/>
  <c r="AG34" i="9"/>
  <c r="AS239" i="9"/>
  <c r="AT239" i="9" s="1"/>
  <c r="AU239" i="9" s="1"/>
  <c r="AV239" i="9" s="1"/>
  <c r="AW239" i="9" s="1"/>
  <c r="AX239" i="9" s="1"/>
  <c r="AY239" i="9" s="1"/>
  <c r="AZ239" i="9" s="1"/>
  <c r="BA239" i="9" s="1"/>
  <c r="BB239" i="9" s="1"/>
  <c r="BC239" i="9" s="1"/>
  <c r="BD239" i="9" s="1"/>
  <c r="BE239" i="9" s="1"/>
  <c r="BF239" i="9" s="1"/>
  <c r="BG239" i="9" s="1"/>
  <c r="BH239" i="9" s="1"/>
  <c r="BI239" i="9" s="1"/>
  <c r="BJ239" i="9" s="1"/>
  <c r="BK239" i="9" s="1"/>
  <c r="BL239" i="9" s="1"/>
  <c r="BM239" i="9" s="1"/>
  <c r="BN239" i="9" s="1"/>
  <c r="BO239" i="9" s="1"/>
  <c r="BP239" i="9" s="1"/>
  <c r="BQ239" i="9" s="1"/>
  <c r="BR239" i="9" s="1"/>
  <c r="BS239" i="9" s="1"/>
  <c r="BT239" i="9" s="1"/>
  <c r="BU239" i="9" s="1"/>
  <c r="T269" i="35"/>
  <c r="T247" i="35" s="1"/>
  <c r="N269" i="35"/>
  <c r="N270" i="35" s="1"/>
  <c r="O241" i="52"/>
  <c r="F35" i="56"/>
  <c r="H133" i="56" s="1"/>
  <c r="H147" i="56" s="1"/>
  <c r="Y269" i="35"/>
  <c r="Y247" i="35" s="1"/>
  <c r="O288" i="48"/>
  <c r="O289" i="48" s="1"/>
  <c r="W269" i="35"/>
  <c r="W270" i="35" s="1"/>
  <c r="AU161" i="9"/>
  <c r="AT135" i="9"/>
  <c r="AP235" i="9"/>
  <c r="AS199" i="9"/>
  <c r="T288" i="48"/>
  <c r="T268" i="48" s="1"/>
  <c r="M269" i="35"/>
  <c r="M247" i="35" s="1"/>
  <c r="E150" i="33" s="1"/>
  <c r="Q13" i="13"/>
  <c r="AC184" i="9"/>
  <c r="K268" i="52"/>
  <c r="S267" i="30"/>
  <c r="S246" i="30" s="1"/>
  <c r="N267" i="30"/>
  <c r="N268" i="30" s="1"/>
  <c r="O267" i="30"/>
  <c r="O246" i="30" s="1"/>
  <c r="M200" i="9"/>
  <c r="N200" i="9" s="1"/>
  <c r="Q241" i="52"/>
  <c r="Z241" i="52"/>
  <c r="S34" i="9"/>
  <c r="S19" i="13" s="1"/>
  <c r="X34" i="9"/>
  <c r="X19" i="13" s="1"/>
  <c r="AG243" i="9"/>
  <c r="Z267" i="30"/>
  <c r="Z246" i="30" s="1"/>
  <c r="O124" i="9"/>
  <c r="O105" i="13" s="1"/>
  <c r="L29" i="52"/>
  <c r="M29" i="52" s="1"/>
  <c r="K37" i="52" s="1"/>
  <c r="M37" i="52" s="1"/>
  <c r="P237" i="52" s="1"/>
  <c r="P39" i="13" s="1"/>
  <c r="L121" i="13"/>
  <c r="L122" i="13" s="1"/>
  <c r="H43" i="33" s="1"/>
  <c r="AS112" i="9"/>
  <c r="AT112" i="9" s="1"/>
  <c r="AU112" i="9" s="1"/>
  <c r="AV112" i="9" s="1"/>
  <c r="AW112" i="9" s="1"/>
  <c r="AX112" i="9" s="1"/>
  <c r="AY112" i="9" s="1"/>
  <c r="AZ112" i="9" s="1"/>
  <c r="BA112" i="9" s="1"/>
  <c r="BB112" i="9" s="1"/>
  <c r="BC112" i="9" s="1"/>
  <c r="BD112" i="9" s="1"/>
  <c r="BE112" i="9" s="1"/>
  <c r="BF112" i="9" s="1"/>
  <c r="BG112" i="9" s="1"/>
  <c r="BH112" i="9" s="1"/>
  <c r="BI112" i="9" s="1"/>
  <c r="BJ112" i="9" s="1"/>
  <c r="BK112" i="9" s="1"/>
  <c r="BL112" i="9" s="1"/>
  <c r="BM112" i="9" s="1"/>
  <c r="BN112" i="9" s="1"/>
  <c r="BO112" i="9" s="1"/>
  <c r="BP112" i="9" s="1"/>
  <c r="BQ112" i="9" s="1"/>
  <c r="BR112" i="9" s="1"/>
  <c r="BS112" i="9" s="1"/>
  <c r="BT112" i="9" s="1"/>
  <c r="BU112" i="9" s="1"/>
  <c r="AS11" i="6"/>
  <c r="AS14" i="6" s="1"/>
  <c r="AT14" i="6" s="1"/>
  <c r="V269" i="35"/>
  <c r="V270" i="35" s="1"/>
  <c r="M241" i="30"/>
  <c r="AP86" i="9"/>
  <c r="L241" i="52"/>
  <c r="R241" i="52"/>
  <c r="AS15" i="9"/>
  <c r="AT15" i="9" s="1"/>
  <c r="U241" i="52"/>
  <c r="W241" i="52"/>
  <c r="L267" i="30"/>
  <c r="L268" i="30" s="1"/>
  <c r="F14" i="56" s="1"/>
  <c r="I168" i="56" s="1"/>
  <c r="W267" i="30"/>
  <c r="W246" i="30" s="1"/>
  <c r="E120" i="33"/>
  <c r="F120" i="33" s="1"/>
  <c r="P241" i="52"/>
  <c r="E89" i="33"/>
  <c r="F89" i="33" s="1"/>
  <c r="AT224" i="9"/>
  <c r="AS27" i="9"/>
  <c r="AT27" i="9" s="1"/>
  <c r="AU27" i="9" s="1"/>
  <c r="AV27" i="9" s="1"/>
  <c r="AW27" i="9" s="1"/>
  <c r="AX27" i="9" s="1"/>
  <c r="AY27" i="9" s="1"/>
  <c r="AZ27" i="9" s="1"/>
  <c r="BA27" i="9" s="1"/>
  <c r="BB27" i="9" s="1"/>
  <c r="BC27" i="9" s="1"/>
  <c r="BD27" i="9" s="1"/>
  <c r="BE27" i="9" s="1"/>
  <c r="BF27" i="9" s="1"/>
  <c r="BG27" i="9" s="1"/>
  <c r="BH27" i="9" s="1"/>
  <c r="BI27" i="9" s="1"/>
  <c r="BJ27" i="9" s="1"/>
  <c r="BK27" i="9" s="1"/>
  <c r="BL27" i="9" s="1"/>
  <c r="BM27" i="9" s="1"/>
  <c r="BN27" i="9" s="1"/>
  <c r="BO27" i="9" s="1"/>
  <c r="BP27" i="9" s="1"/>
  <c r="BQ27" i="9" s="1"/>
  <c r="BR27" i="9" s="1"/>
  <c r="BS27" i="9" s="1"/>
  <c r="BT27" i="9" s="1"/>
  <c r="BU27" i="9" s="1"/>
  <c r="AM92" i="9"/>
  <c r="AJ92" i="9"/>
  <c r="O216" i="13"/>
  <c r="AT47" i="9"/>
  <c r="Y241" i="52"/>
  <c r="M241" i="52"/>
  <c r="O105" i="9"/>
  <c r="O43" i="9"/>
  <c r="P43" i="9" s="1"/>
  <c r="V241" i="52"/>
  <c r="S241" i="52"/>
  <c r="P225" i="9"/>
  <c r="O97" i="9"/>
  <c r="P97" i="9" s="1"/>
  <c r="O226" i="9"/>
  <c r="P226" i="9" s="1"/>
  <c r="Q226" i="9" s="1"/>
  <c r="U34" i="9"/>
  <c r="U19" i="13" s="1"/>
  <c r="AG217" i="9"/>
  <c r="T267" i="30"/>
  <c r="T246" i="30" s="1"/>
  <c r="T241" i="52"/>
  <c r="O184" i="9"/>
  <c r="O163" i="13" s="1"/>
  <c r="AS163" i="9"/>
  <c r="AT163" i="9" s="1"/>
  <c r="M223" i="9"/>
  <c r="N223" i="9" s="1"/>
  <c r="O223" i="9" s="1"/>
  <c r="AM184" i="9"/>
  <c r="AB34" i="9"/>
  <c r="W34" i="9"/>
  <c r="W19" i="13" s="1"/>
  <c r="AT106" i="9"/>
  <c r="AU106" i="9" s="1"/>
  <c r="AO243" i="9"/>
  <c r="AT76" i="9"/>
  <c r="O162" i="9"/>
  <c r="P162" i="9" s="1"/>
  <c r="M190" i="9"/>
  <c r="N190" i="9" s="1"/>
  <c r="S241" i="30"/>
  <c r="X241" i="30"/>
  <c r="L288" i="48"/>
  <c r="L268" i="48" s="1"/>
  <c r="M288" i="48"/>
  <c r="M289" i="48" s="1"/>
  <c r="R288" i="48"/>
  <c r="R268" i="48" s="1"/>
  <c r="AK34" i="9"/>
  <c r="AO34" i="9"/>
  <c r="AR41" i="9"/>
  <c r="AS41" i="9" s="1"/>
  <c r="AH124" i="9"/>
  <c r="Z124" i="9"/>
  <c r="Z105" i="13" s="1"/>
  <c r="AK124" i="9"/>
  <c r="AA124" i="9"/>
  <c r="AS179" i="9"/>
  <c r="AT179" i="9" s="1"/>
  <c r="AU179" i="9" s="1"/>
  <c r="AV179" i="9" s="1"/>
  <c r="AW179" i="9" s="1"/>
  <c r="AX179" i="9" s="1"/>
  <c r="AY179" i="9" s="1"/>
  <c r="AZ179" i="9" s="1"/>
  <c r="BA179" i="9" s="1"/>
  <c r="BB179" i="9" s="1"/>
  <c r="BC179" i="9" s="1"/>
  <c r="BD179" i="9" s="1"/>
  <c r="BE179" i="9" s="1"/>
  <c r="BF179" i="9" s="1"/>
  <c r="BG179" i="9" s="1"/>
  <c r="BH179" i="9" s="1"/>
  <c r="BI179" i="9" s="1"/>
  <c r="BJ179" i="9" s="1"/>
  <c r="BK179" i="9" s="1"/>
  <c r="BL179" i="9" s="1"/>
  <c r="BM179" i="9" s="1"/>
  <c r="BN179" i="9" s="1"/>
  <c r="BO179" i="9" s="1"/>
  <c r="BP179" i="9" s="1"/>
  <c r="BQ179" i="9" s="1"/>
  <c r="BR179" i="9" s="1"/>
  <c r="BS179" i="9" s="1"/>
  <c r="BT179" i="9" s="1"/>
  <c r="BU179" i="9" s="1"/>
  <c r="T216" i="13"/>
  <c r="K193" i="35"/>
  <c r="L193" i="35" s="1"/>
  <c r="M193" i="35" s="1"/>
  <c r="M196" i="35" s="1"/>
  <c r="O245" i="35" s="1"/>
  <c r="O160" i="13" s="1"/>
  <c r="S269" i="35"/>
  <c r="S247" i="35" s="1"/>
  <c r="P269" i="35"/>
  <c r="P270" i="35" s="1"/>
  <c r="T241" i="30"/>
  <c r="Q241" i="30"/>
  <c r="U267" i="30"/>
  <c r="X267" i="30"/>
  <c r="F36" i="56"/>
  <c r="H172" i="56" s="1"/>
  <c r="P267" i="30"/>
  <c r="Q267" i="30"/>
  <c r="Y267" i="30"/>
  <c r="W184" i="9"/>
  <c r="W163" i="13" s="1"/>
  <c r="AT77" i="9"/>
  <c r="AU77" i="9" s="1"/>
  <c r="N184" i="9"/>
  <c r="N163" i="13" s="1"/>
  <c r="X217" i="9"/>
  <c r="X192" i="13" s="1"/>
  <c r="S92" i="9"/>
  <c r="S75" i="13" s="1"/>
  <c r="AK184" i="9"/>
  <c r="M184" i="9"/>
  <c r="M163" i="13" s="1"/>
  <c r="M150" i="9"/>
  <c r="AS225" i="9"/>
  <c r="AT225" i="9" s="1"/>
  <c r="AU225" i="9" s="1"/>
  <c r="AD217" i="9"/>
  <c r="O217" i="9"/>
  <c r="O192" i="13" s="1"/>
  <c r="N41" i="9"/>
  <c r="O41" i="9" s="1"/>
  <c r="N44" i="9"/>
  <c r="O44" i="9" s="1"/>
  <c r="AS116" i="9"/>
  <c r="AT116" i="9" s="1"/>
  <c r="AU116" i="9" s="1"/>
  <c r="AV116" i="9" s="1"/>
  <c r="AW116" i="9" s="1"/>
  <c r="AX116" i="9" s="1"/>
  <c r="AY116" i="9" s="1"/>
  <c r="AZ116" i="9" s="1"/>
  <c r="BA116" i="9" s="1"/>
  <c r="BB116" i="9" s="1"/>
  <c r="BC116" i="9" s="1"/>
  <c r="BD116" i="9" s="1"/>
  <c r="BE116" i="9" s="1"/>
  <c r="BF116" i="9" s="1"/>
  <c r="BG116" i="9" s="1"/>
  <c r="BH116" i="9" s="1"/>
  <c r="BI116" i="9" s="1"/>
  <c r="BJ116" i="9" s="1"/>
  <c r="BK116" i="9" s="1"/>
  <c r="BL116" i="9" s="1"/>
  <c r="BM116" i="9" s="1"/>
  <c r="BN116" i="9" s="1"/>
  <c r="BO116" i="9" s="1"/>
  <c r="BP116" i="9" s="1"/>
  <c r="BQ116" i="9" s="1"/>
  <c r="BR116" i="9" s="1"/>
  <c r="BS116" i="9" s="1"/>
  <c r="BT116" i="9" s="1"/>
  <c r="BU116" i="9" s="1"/>
  <c r="M17" i="9"/>
  <c r="N17" i="9" s="1"/>
  <c r="L241" i="30"/>
  <c r="AS43" i="9"/>
  <c r="AT43" i="9" s="1"/>
  <c r="Q288" i="48"/>
  <c r="Q289" i="48" s="1"/>
  <c r="W288" i="48"/>
  <c r="W289" i="48" s="1"/>
  <c r="AP29" i="9"/>
  <c r="N34" i="9"/>
  <c r="N19" i="13" s="1"/>
  <c r="AE34" i="9"/>
  <c r="AN34" i="9"/>
  <c r="AS86" i="9"/>
  <c r="AT86" i="9" s="1"/>
  <c r="AU86" i="9" s="1"/>
  <c r="AV86" i="9" s="1"/>
  <c r="AW86" i="9" s="1"/>
  <c r="AX86" i="9" s="1"/>
  <c r="AY86" i="9" s="1"/>
  <c r="AZ86" i="9" s="1"/>
  <c r="BA86" i="9" s="1"/>
  <c r="BB86" i="9" s="1"/>
  <c r="BC86" i="9" s="1"/>
  <c r="BD86" i="9" s="1"/>
  <c r="BE86" i="9" s="1"/>
  <c r="BF86" i="9" s="1"/>
  <c r="BG86" i="9" s="1"/>
  <c r="BH86" i="9" s="1"/>
  <c r="BI86" i="9" s="1"/>
  <c r="BJ86" i="9" s="1"/>
  <c r="BK86" i="9" s="1"/>
  <c r="BL86" i="9" s="1"/>
  <c r="BM86" i="9" s="1"/>
  <c r="BN86" i="9" s="1"/>
  <c r="BO86" i="9" s="1"/>
  <c r="BP86" i="9" s="1"/>
  <c r="BQ86" i="9" s="1"/>
  <c r="BR86" i="9" s="1"/>
  <c r="BS86" i="9" s="1"/>
  <c r="BT86" i="9" s="1"/>
  <c r="BU86" i="9" s="1"/>
  <c r="S217" i="9"/>
  <c r="S192" i="13" s="1"/>
  <c r="AE217" i="9"/>
  <c r="AT97" i="9"/>
  <c r="AS226" i="9"/>
  <c r="AT226" i="9" s="1"/>
  <c r="M111" i="35"/>
  <c r="W240" i="35" s="1"/>
  <c r="W156" i="13" s="1"/>
  <c r="V216" i="13"/>
  <c r="AS195" i="9"/>
  <c r="AT195" i="9" s="1"/>
  <c r="AS238" i="9"/>
  <c r="AT238" i="9" s="1"/>
  <c r="AU238" i="9" s="1"/>
  <c r="AV238" i="9" s="1"/>
  <c r="AW238" i="9" s="1"/>
  <c r="AX238" i="9" s="1"/>
  <c r="AY238" i="9" s="1"/>
  <c r="AZ238" i="9" s="1"/>
  <c r="BA238" i="9" s="1"/>
  <c r="BB238" i="9" s="1"/>
  <c r="BC238" i="9" s="1"/>
  <c r="BD238" i="9" s="1"/>
  <c r="BE238" i="9" s="1"/>
  <c r="BF238" i="9" s="1"/>
  <c r="BG238" i="9" s="1"/>
  <c r="BH238" i="9" s="1"/>
  <c r="BI238" i="9" s="1"/>
  <c r="BJ238" i="9" s="1"/>
  <c r="BK238" i="9" s="1"/>
  <c r="BL238" i="9" s="1"/>
  <c r="BM238" i="9" s="1"/>
  <c r="BN238" i="9" s="1"/>
  <c r="BO238" i="9" s="1"/>
  <c r="BP238" i="9" s="1"/>
  <c r="BQ238" i="9" s="1"/>
  <c r="BR238" i="9" s="1"/>
  <c r="BS238" i="9" s="1"/>
  <c r="BT238" i="9" s="1"/>
  <c r="BU238" i="9" s="1"/>
  <c r="L269" i="35"/>
  <c r="L247" i="35" s="1"/>
  <c r="U269" i="35"/>
  <c r="U247" i="35" s="1"/>
  <c r="Y241" i="30"/>
  <c r="U241" i="30"/>
  <c r="N196" i="9"/>
  <c r="O196" i="9" s="1"/>
  <c r="R92" i="9"/>
  <c r="R75" i="13" s="1"/>
  <c r="AS113" i="9"/>
  <c r="AT113" i="9" s="1"/>
  <c r="AU113" i="9" s="1"/>
  <c r="AV113" i="9" s="1"/>
  <c r="AW113" i="9" s="1"/>
  <c r="AX113" i="9" s="1"/>
  <c r="AY113" i="9" s="1"/>
  <c r="AZ113" i="9" s="1"/>
  <c r="BA113" i="9" s="1"/>
  <c r="BB113" i="9" s="1"/>
  <c r="BC113" i="9" s="1"/>
  <c r="BD113" i="9" s="1"/>
  <c r="BE113" i="9" s="1"/>
  <c r="BF113" i="9" s="1"/>
  <c r="BG113" i="9" s="1"/>
  <c r="BH113" i="9" s="1"/>
  <c r="BI113" i="9" s="1"/>
  <c r="BJ113" i="9" s="1"/>
  <c r="BK113" i="9" s="1"/>
  <c r="BL113" i="9" s="1"/>
  <c r="BM113" i="9" s="1"/>
  <c r="BN113" i="9" s="1"/>
  <c r="BO113" i="9" s="1"/>
  <c r="BP113" i="9" s="1"/>
  <c r="BQ113" i="9" s="1"/>
  <c r="BR113" i="9" s="1"/>
  <c r="BS113" i="9" s="1"/>
  <c r="BT113" i="9" s="1"/>
  <c r="BU113" i="9" s="1"/>
  <c r="AS136" i="9"/>
  <c r="AE184" i="9"/>
  <c r="O131" i="9"/>
  <c r="P131" i="9" s="1"/>
  <c r="Z241" i="30"/>
  <c r="P288" i="48"/>
  <c r="P289" i="48" s="1"/>
  <c r="AS162" i="9"/>
  <c r="AT162" i="9" s="1"/>
  <c r="R34" i="9"/>
  <c r="R19" i="13" s="1"/>
  <c r="AC124" i="9"/>
  <c r="AS18" i="9"/>
  <c r="L179" i="13"/>
  <c r="L180" i="13" s="1"/>
  <c r="G43" i="33" s="1"/>
  <c r="W241" i="30"/>
  <c r="M289" i="31"/>
  <c r="M268" i="31"/>
  <c r="E136" i="33" s="1"/>
  <c r="N289" i="31"/>
  <c r="N268" i="31"/>
  <c r="AP64" i="9"/>
  <c r="F159" i="33"/>
  <c r="U220" i="29"/>
  <c r="U202" i="29"/>
  <c r="V70" i="13" s="1"/>
  <c r="AP63" i="9"/>
  <c r="AR63" i="9"/>
  <c r="AS63" i="9" s="1"/>
  <c r="AT63" i="9" s="1"/>
  <c r="AU63" i="9" s="1"/>
  <c r="AV63" i="9" s="1"/>
  <c r="AW63" i="9" s="1"/>
  <c r="AX63" i="9" s="1"/>
  <c r="AY63" i="9" s="1"/>
  <c r="AZ63" i="9" s="1"/>
  <c r="BA63" i="9" s="1"/>
  <c r="BB63" i="9" s="1"/>
  <c r="BC63" i="9" s="1"/>
  <c r="BD63" i="9" s="1"/>
  <c r="BE63" i="9" s="1"/>
  <c r="BF63" i="9" s="1"/>
  <c r="BG63" i="9" s="1"/>
  <c r="BH63" i="9" s="1"/>
  <c r="BI63" i="9" s="1"/>
  <c r="BJ63" i="9" s="1"/>
  <c r="BK63" i="9" s="1"/>
  <c r="BL63" i="9" s="1"/>
  <c r="BM63" i="9" s="1"/>
  <c r="BN63" i="9" s="1"/>
  <c r="BO63" i="9" s="1"/>
  <c r="BP63" i="9" s="1"/>
  <c r="BQ63" i="9" s="1"/>
  <c r="BR63" i="9" s="1"/>
  <c r="BS63" i="9" s="1"/>
  <c r="BT63" i="9" s="1"/>
  <c r="BU63" i="9" s="1"/>
  <c r="X67" i="9"/>
  <c r="X47" i="13" s="1"/>
  <c r="AM67" i="9"/>
  <c r="AF243" i="9"/>
  <c r="AL243" i="9"/>
  <c r="R243" i="9"/>
  <c r="R222" i="13" s="1"/>
  <c r="AA243" i="9"/>
  <c r="AP203" i="9"/>
  <c r="L217" i="9"/>
  <c r="L192" i="13" s="1"/>
  <c r="AR203" i="9"/>
  <c r="AS203" i="9" s="1"/>
  <c r="AT203" i="9" s="1"/>
  <c r="AU203" i="9" s="1"/>
  <c r="AV203" i="9" s="1"/>
  <c r="AW203" i="9" s="1"/>
  <c r="AX203" i="9" s="1"/>
  <c r="AY203" i="9" s="1"/>
  <c r="AZ203" i="9" s="1"/>
  <c r="BA203" i="9" s="1"/>
  <c r="BB203" i="9" s="1"/>
  <c r="BC203" i="9" s="1"/>
  <c r="BD203" i="9" s="1"/>
  <c r="BE203" i="9" s="1"/>
  <c r="BF203" i="9" s="1"/>
  <c r="BG203" i="9" s="1"/>
  <c r="BH203" i="9" s="1"/>
  <c r="BI203" i="9" s="1"/>
  <c r="BJ203" i="9" s="1"/>
  <c r="BK203" i="9" s="1"/>
  <c r="BL203" i="9" s="1"/>
  <c r="BM203" i="9" s="1"/>
  <c r="BN203" i="9" s="1"/>
  <c r="BO203" i="9" s="1"/>
  <c r="BP203" i="9" s="1"/>
  <c r="BQ203" i="9" s="1"/>
  <c r="BR203" i="9" s="1"/>
  <c r="BS203" i="9" s="1"/>
  <c r="BT203" i="9" s="1"/>
  <c r="BU203" i="9" s="1"/>
  <c r="AF217" i="9"/>
  <c r="M78" i="9"/>
  <c r="W193" i="19"/>
  <c r="X11" i="13" s="1"/>
  <c r="E67" i="33"/>
  <c r="K193" i="19"/>
  <c r="L11" i="13" s="1"/>
  <c r="O193" i="19"/>
  <c r="P11" i="13" s="1"/>
  <c r="N193" i="19"/>
  <c r="O11" i="13" s="1"/>
  <c r="T193" i="19"/>
  <c r="U11" i="13" s="1"/>
  <c r="P193" i="19"/>
  <c r="Q11" i="13" s="1"/>
  <c r="Y193" i="19"/>
  <c r="Z11" i="13" s="1"/>
  <c r="L193" i="19"/>
  <c r="M11" i="13" s="1"/>
  <c r="M193" i="19"/>
  <c r="N11" i="13" s="1"/>
  <c r="V193" i="19"/>
  <c r="W11" i="13" s="1"/>
  <c r="X193" i="19"/>
  <c r="Y11" i="13" s="1"/>
  <c r="R193" i="19"/>
  <c r="S11" i="13" s="1"/>
  <c r="U193" i="19"/>
  <c r="V11" i="13" s="1"/>
  <c r="Q193" i="19"/>
  <c r="R11" i="13" s="1"/>
  <c r="S193" i="19"/>
  <c r="T11" i="13" s="1"/>
  <c r="K33" i="52"/>
  <c r="K149" i="52"/>
  <c r="M149" i="52" s="1"/>
  <c r="N221" i="9"/>
  <c r="O221" i="9" s="1"/>
  <c r="Z92" i="9"/>
  <c r="Z75" i="13" s="1"/>
  <c r="AP62" i="9"/>
  <c r="AR62" i="9"/>
  <c r="AS62" i="9" s="1"/>
  <c r="AT62" i="9" s="1"/>
  <c r="AU62" i="9" s="1"/>
  <c r="AV62" i="9" s="1"/>
  <c r="AW62" i="9" s="1"/>
  <c r="AX62" i="9" s="1"/>
  <c r="AY62" i="9" s="1"/>
  <c r="AZ62" i="9" s="1"/>
  <c r="BA62" i="9" s="1"/>
  <c r="BB62" i="9" s="1"/>
  <c r="BC62" i="9" s="1"/>
  <c r="BD62" i="9" s="1"/>
  <c r="BE62" i="9" s="1"/>
  <c r="BF62" i="9" s="1"/>
  <c r="BG62" i="9" s="1"/>
  <c r="BH62" i="9" s="1"/>
  <c r="BI62" i="9" s="1"/>
  <c r="BJ62" i="9" s="1"/>
  <c r="BK62" i="9" s="1"/>
  <c r="BL62" i="9" s="1"/>
  <c r="BM62" i="9" s="1"/>
  <c r="BN62" i="9" s="1"/>
  <c r="BO62" i="9" s="1"/>
  <c r="BP62" i="9" s="1"/>
  <c r="BQ62" i="9" s="1"/>
  <c r="BR62" i="9" s="1"/>
  <c r="BS62" i="9" s="1"/>
  <c r="BT62" i="9" s="1"/>
  <c r="BU62" i="9" s="1"/>
  <c r="AS234" i="9"/>
  <c r="AT234" i="9" s="1"/>
  <c r="AU234" i="9" s="1"/>
  <c r="AV234" i="9" s="1"/>
  <c r="AW234" i="9" s="1"/>
  <c r="AX234" i="9" s="1"/>
  <c r="AY234" i="9" s="1"/>
  <c r="AZ234" i="9" s="1"/>
  <c r="BA234" i="9" s="1"/>
  <c r="BB234" i="9" s="1"/>
  <c r="BC234" i="9" s="1"/>
  <c r="BD234" i="9" s="1"/>
  <c r="BE234" i="9" s="1"/>
  <c r="BF234" i="9" s="1"/>
  <c r="BG234" i="9" s="1"/>
  <c r="BH234" i="9" s="1"/>
  <c r="BI234" i="9" s="1"/>
  <c r="BJ234" i="9" s="1"/>
  <c r="BK234" i="9" s="1"/>
  <c r="BL234" i="9" s="1"/>
  <c r="BM234" i="9" s="1"/>
  <c r="BN234" i="9" s="1"/>
  <c r="BO234" i="9" s="1"/>
  <c r="BP234" i="9" s="1"/>
  <c r="BQ234" i="9" s="1"/>
  <c r="BR234" i="9" s="1"/>
  <c r="BS234" i="9" s="1"/>
  <c r="BT234" i="9" s="1"/>
  <c r="BU234" i="9" s="1"/>
  <c r="L29" i="40"/>
  <c r="M29" i="40" s="1"/>
  <c r="K37" i="40" s="1"/>
  <c r="M37" i="40" s="1"/>
  <c r="N16" i="9"/>
  <c r="N216" i="13"/>
  <c r="AS170" i="9"/>
  <c r="AT170" i="9" s="1"/>
  <c r="AU170" i="9" s="1"/>
  <c r="AV170" i="9" s="1"/>
  <c r="AW170" i="9" s="1"/>
  <c r="AX170" i="9" s="1"/>
  <c r="AY170" i="9" s="1"/>
  <c r="AZ170" i="9" s="1"/>
  <c r="BA170" i="9" s="1"/>
  <c r="BB170" i="9" s="1"/>
  <c r="BC170" i="9" s="1"/>
  <c r="BD170" i="9" s="1"/>
  <c r="BE170" i="9" s="1"/>
  <c r="BF170" i="9" s="1"/>
  <c r="BG170" i="9" s="1"/>
  <c r="BH170" i="9" s="1"/>
  <c r="BI170" i="9" s="1"/>
  <c r="BJ170" i="9" s="1"/>
  <c r="BK170" i="9" s="1"/>
  <c r="BL170" i="9" s="1"/>
  <c r="BM170" i="9" s="1"/>
  <c r="BN170" i="9" s="1"/>
  <c r="BO170" i="9" s="1"/>
  <c r="BP170" i="9" s="1"/>
  <c r="BQ170" i="9" s="1"/>
  <c r="BR170" i="9" s="1"/>
  <c r="BS170" i="9" s="1"/>
  <c r="BT170" i="9" s="1"/>
  <c r="BU170" i="9" s="1"/>
  <c r="X184" i="9"/>
  <c r="X163" i="13" s="1"/>
  <c r="AH184" i="9"/>
  <c r="AJ184" i="9"/>
  <c r="K150" i="30"/>
  <c r="M150" i="30" s="1"/>
  <c r="K34" i="30"/>
  <c r="M34" i="30" s="1"/>
  <c r="N156" i="9"/>
  <c r="O156" i="9" s="1"/>
  <c r="N191" i="9"/>
  <c r="O191" i="9" s="1"/>
  <c r="U243" i="9"/>
  <c r="U222" i="13" s="1"/>
  <c r="L243" i="9"/>
  <c r="L222" i="13" s="1"/>
  <c r="AP232" i="9"/>
  <c r="AE243" i="9"/>
  <c r="M243" i="9"/>
  <c r="M222" i="13" s="1"/>
  <c r="F145" i="33"/>
  <c r="AR159" i="9"/>
  <c r="AS159" i="9" s="1"/>
  <c r="P160" i="9"/>
  <c r="Q160" i="9" s="1"/>
  <c r="AS54" i="9"/>
  <c r="AT54" i="9" s="1"/>
  <c r="AU54" i="9" s="1"/>
  <c r="AV54" i="9" s="1"/>
  <c r="AW54" i="9" s="1"/>
  <c r="AX54" i="9" s="1"/>
  <c r="AY54" i="9" s="1"/>
  <c r="AZ54" i="9" s="1"/>
  <c r="BA54" i="9" s="1"/>
  <c r="BB54" i="9" s="1"/>
  <c r="BC54" i="9" s="1"/>
  <c r="BD54" i="9" s="1"/>
  <c r="BE54" i="9" s="1"/>
  <c r="BF54" i="9" s="1"/>
  <c r="BG54" i="9" s="1"/>
  <c r="BH54" i="9" s="1"/>
  <c r="BI54" i="9" s="1"/>
  <c r="BJ54" i="9" s="1"/>
  <c r="BK54" i="9" s="1"/>
  <c r="BL54" i="9" s="1"/>
  <c r="BM54" i="9" s="1"/>
  <c r="BN54" i="9" s="1"/>
  <c r="BO54" i="9" s="1"/>
  <c r="BP54" i="9" s="1"/>
  <c r="BQ54" i="9" s="1"/>
  <c r="BR54" i="9" s="1"/>
  <c r="BS54" i="9" s="1"/>
  <c r="BT54" i="9" s="1"/>
  <c r="BU54" i="9" s="1"/>
  <c r="K36" i="52"/>
  <c r="M36" i="52" s="1"/>
  <c r="K152" i="52"/>
  <c r="M152" i="52" s="1"/>
  <c r="AS240" i="9"/>
  <c r="AT240" i="9" s="1"/>
  <c r="AU240" i="9" s="1"/>
  <c r="AV240" i="9" s="1"/>
  <c r="AW240" i="9" s="1"/>
  <c r="AX240" i="9" s="1"/>
  <c r="AY240" i="9" s="1"/>
  <c r="AZ240" i="9" s="1"/>
  <c r="BA240" i="9" s="1"/>
  <c r="BB240" i="9" s="1"/>
  <c r="BC240" i="9" s="1"/>
  <c r="BD240" i="9" s="1"/>
  <c r="BE240" i="9" s="1"/>
  <c r="BF240" i="9" s="1"/>
  <c r="BG240" i="9" s="1"/>
  <c r="BH240" i="9" s="1"/>
  <c r="BI240" i="9" s="1"/>
  <c r="BJ240" i="9" s="1"/>
  <c r="BK240" i="9" s="1"/>
  <c r="BL240" i="9" s="1"/>
  <c r="BM240" i="9" s="1"/>
  <c r="BN240" i="9" s="1"/>
  <c r="BO240" i="9" s="1"/>
  <c r="BP240" i="9" s="1"/>
  <c r="BQ240" i="9" s="1"/>
  <c r="BR240" i="9" s="1"/>
  <c r="BS240" i="9" s="1"/>
  <c r="BT240" i="9" s="1"/>
  <c r="BU240" i="9" s="1"/>
  <c r="N98" i="9"/>
  <c r="O98" i="9" s="1"/>
  <c r="R251" i="48"/>
  <c r="X251" i="48"/>
  <c r="S251" i="48"/>
  <c r="M251" i="48"/>
  <c r="L251" i="48"/>
  <c r="Y251" i="48"/>
  <c r="T251" i="48"/>
  <c r="U251" i="48"/>
  <c r="Q251" i="48"/>
  <c r="W251" i="48"/>
  <c r="P251" i="48"/>
  <c r="N251" i="48"/>
  <c r="O251" i="48"/>
  <c r="V251" i="48"/>
  <c r="Z251" i="48"/>
  <c r="K63" i="52"/>
  <c r="M57" i="52"/>
  <c r="M63" i="52" s="1"/>
  <c r="K66" i="52" s="1"/>
  <c r="N14" i="9"/>
  <c r="U247" i="31"/>
  <c r="O247" i="31"/>
  <c r="P247" i="31"/>
  <c r="Q247" i="31"/>
  <c r="Z247" i="31"/>
  <c r="N247" i="31"/>
  <c r="L247" i="31"/>
  <c r="X247" i="31"/>
  <c r="T247" i="31"/>
  <c r="W247" i="31"/>
  <c r="Y247" i="31"/>
  <c r="M247" i="31"/>
  <c r="R247" i="31"/>
  <c r="S247" i="31"/>
  <c r="V247" i="31"/>
  <c r="AR48" i="9"/>
  <c r="K150" i="40"/>
  <c r="M150" i="40" s="1"/>
  <c r="K34" i="40"/>
  <c r="M34" i="40" s="1"/>
  <c r="F173" i="33"/>
  <c r="T234" i="35"/>
  <c r="Q234" i="35"/>
  <c r="U234" i="35"/>
  <c r="P234" i="35"/>
  <c r="Z234" i="35"/>
  <c r="L233" i="35"/>
  <c r="N234" i="35"/>
  <c r="Y234" i="35"/>
  <c r="X234" i="35"/>
  <c r="O234" i="35"/>
  <c r="M233" i="35"/>
  <c r="S234" i="35"/>
  <c r="R234" i="35"/>
  <c r="W234" i="35"/>
  <c r="V234" i="35"/>
  <c r="Q217" i="9"/>
  <c r="Q192" i="13" s="1"/>
  <c r="AP84" i="9"/>
  <c r="AP204" i="9"/>
  <c r="O198" i="9"/>
  <c r="AP206" i="9"/>
  <c r="AI184" i="9"/>
  <c r="S67" i="9"/>
  <c r="S47" i="13" s="1"/>
  <c r="AP238" i="9"/>
  <c r="AP24" i="9"/>
  <c r="L34" i="9"/>
  <c r="L19" i="13" s="1"/>
  <c r="Y243" i="9"/>
  <c r="Y222" i="13" s="1"/>
  <c r="F116" i="33"/>
  <c r="U124" i="9"/>
  <c r="U105" i="13" s="1"/>
  <c r="J83" i="52"/>
  <c r="K83" i="52" s="1"/>
  <c r="M83" i="52" s="1"/>
  <c r="K80" i="52"/>
  <c r="M80" i="52" s="1"/>
  <c r="K79" i="52"/>
  <c r="M79" i="52" s="1"/>
  <c r="J84" i="52"/>
  <c r="K84" i="52" s="1"/>
  <c r="M84" i="52" s="1"/>
  <c r="K151" i="40"/>
  <c r="M151" i="40" s="1"/>
  <c r="K35" i="40"/>
  <c r="M35" i="40" s="1"/>
  <c r="AP59" i="9"/>
  <c r="AR59" i="9"/>
  <c r="AS59" i="9" s="1"/>
  <c r="AT59" i="9" s="1"/>
  <c r="AU59" i="9" s="1"/>
  <c r="AV59" i="9" s="1"/>
  <c r="AW59" i="9" s="1"/>
  <c r="AX59" i="9" s="1"/>
  <c r="AY59" i="9" s="1"/>
  <c r="AZ59" i="9" s="1"/>
  <c r="BA59" i="9" s="1"/>
  <c r="BB59" i="9" s="1"/>
  <c r="BC59" i="9" s="1"/>
  <c r="BD59" i="9" s="1"/>
  <c r="BE59" i="9" s="1"/>
  <c r="BF59" i="9" s="1"/>
  <c r="BG59" i="9" s="1"/>
  <c r="BH59" i="9" s="1"/>
  <c r="BI59" i="9" s="1"/>
  <c r="BJ59" i="9" s="1"/>
  <c r="BK59" i="9" s="1"/>
  <c r="BL59" i="9" s="1"/>
  <c r="BM59" i="9" s="1"/>
  <c r="BN59" i="9" s="1"/>
  <c r="BO59" i="9" s="1"/>
  <c r="BP59" i="9" s="1"/>
  <c r="BQ59" i="9" s="1"/>
  <c r="BR59" i="9" s="1"/>
  <c r="BS59" i="9" s="1"/>
  <c r="BT59" i="9" s="1"/>
  <c r="BU59" i="9" s="1"/>
  <c r="Q34" i="9"/>
  <c r="Q19" i="13" s="1"/>
  <c r="AR99" i="9"/>
  <c r="M99" i="9"/>
  <c r="N21" i="9"/>
  <c r="O21" i="9" s="1"/>
  <c r="P21" i="9" s="1"/>
  <c r="U268" i="31"/>
  <c r="U289" i="31"/>
  <c r="Q289" i="31"/>
  <c r="Q268" i="31"/>
  <c r="W219" i="19"/>
  <c r="Q219" i="19"/>
  <c r="N219" i="19"/>
  <c r="U219" i="19"/>
  <c r="M219" i="19"/>
  <c r="R219" i="19"/>
  <c r="T219" i="19"/>
  <c r="Y219" i="19"/>
  <c r="L219" i="19"/>
  <c r="V219" i="19"/>
  <c r="J153" i="19"/>
  <c r="K153" i="19" s="1"/>
  <c r="L153" i="19" s="1"/>
  <c r="L156" i="19" s="1"/>
  <c r="P219" i="19"/>
  <c r="O219" i="19"/>
  <c r="S219" i="19"/>
  <c r="K219" i="19"/>
  <c r="F37" i="56"/>
  <c r="H211" i="56" s="1"/>
  <c r="L35" i="13"/>
  <c r="L36" i="13" s="1"/>
  <c r="I43" i="33" s="1"/>
  <c r="E11" i="6"/>
  <c r="E14" i="6" s="1"/>
  <c r="X219" i="19"/>
  <c r="N222" i="9"/>
  <c r="AP116" i="9"/>
  <c r="AR192" i="9"/>
  <c r="M192" i="9"/>
  <c r="X124" i="9"/>
  <c r="X105" i="13" s="1"/>
  <c r="P124" i="9"/>
  <c r="P105" i="13" s="1"/>
  <c r="AJ124" i="9"/>
  <c r="K34" i="52"/>
  <c r="M34" i="52" s="1"/>
  <c r="K150" i="52"/>
  <c r="M150" i="52" s="1"/>
  <c r="K167" i="40"/>
  <c r="M167" i="40" s="1"/>
  <c r="M168" i="40" s="1"/>
  <c r="J268" i="40"/>
  <c r="AF92" i="9"/>
  <c r="P92" i="9"/>
  <c r="P75" i="13" s="1"/>
  <c r="AH92" i="9"/>
  <c r="K63" i="40"/>
  <c r="M57" i="40"/>
  <c r="M63" i="40" s="1"/>
  <c r="K66" i="40" s="1"/>
  <c r="F158" i="33"/>
  <c r="AP173" i="9"/>
  <c r="AR173" i="9"/>
  <c r="AS173" i="9" s="1"/>
  <c r="AT173" i="9" s="1"/>
  <c r="AU173" i="9" s="1"/>
  <c r="AV173" i="9" s="1"/>
  <c r="AW173" i="9" s="1"/>
  <c r="AX173" i="9" s="1"/>
  <c r="AY173" i="9" s="1"/>
  <c r="AZ173" i="9" s="1"/>
  <c r="BA173" i="9" s="1"/>
  <c r="BB173" i="9" s="1"/>
  <c r="BC173" i="9" s="1"/>
  <c r="BD173" i="9" s="1"/>
  <c r="BE173" i="9" s="1"/>
  <c r="BF173" i="9" s="1"/>
  <c r="BG173" i="9" s="1"/>
  <c r="BH173" i="9" s="1"/>
  <c r="BI173" i="9" s="1"/>
  <c r="BJ173" i="9" s="1"/>
  <c r="BK173" i="9" s="1"/>
  <c r="BL173" i="9" s="1"/>
  <c r="BM173" i="9" s="1"/>
  <c r="BN173" i="9" s="1"/>
  <c r="BO173" i="9" s="1"/>
  <c r="BP173" i="9" s="1"/>
  <c r="BQ173" i="9" s="1"/>
  <c r="BR173" i="9" s="1"/>
  <c r="BS173" i="9" s="1"/>
  <c r="BT173" i="9" s="1"/>
  <c r="BU173" i="9" s="1"/>
  <c r="M40" i="9"/>
  <c r="N40" i="9" s="1"/>
  <c r="AR40" i="9"/>
  <c r="N107" i="9"/>
  <c r="O107" i="9" s="1"/>
  <c r="R268" i="30"/>
  <c r="R246" i="30"/>
  <c r="R100" i="13" s="1"/>
  <c r="W67" i="9"/>
  <c r="W47" i="13" s="1"/>
  <c r="O67" i="9"/>
  <c r="O47" i="13" s="1"/>
  <c r="P67" i="9"/>
  <c r="P47" i="13" s="1"/>
  <c r="AI67" i="9"/>
  <c r="H264" i="56"/>
  <c r="I245" i="56"/>
  <c r="L220" i="29"/>
  <c r="L202" i="29"/>
  <c r="P220" i="29"/>
  <c r="P202" i="29"/>
  <c r="Q70" i="13" s="1"/>
  <c r="M229" i="9"/>
  <c r="AR229" i="9"/>
  <c r="N164" i="9"/>
  <c r="O164" i="9" s="1"/>
  <c r="W289" i="31"/>
  <c r="W268" i="31"/>
  <c r="K166" i="48"/>
  <c r="M166" i="48" s="1"/>
  <c r="K34" i="48"/>
  <c r="AR78" i="9"/>
  <c r="K33" i="40"/>
  <c r="K149" i="40"/>
  <c r="M149" i="40" s="1"/>
  <c r="AA184" i="9"/>
  <c r="Q67" i="9"/>
  <c r="Q47" i="13" s="1"/>
  <c r="O135" i="9"/>
  <c r="P135" i="9" s="1"/>
  <c r="O42" i="9"/>
  <c r="P42" i="9" s="1"/>
  <c r="L216" i="9"/>
  <c r="AR189" i="9"/>
  <c r="AB124" i="9"/>
  <c r="O79" i="9"/>
  <c r="P79" i="9" s="1"/>
  <c r="AR24" i="9"/>
  <c r="AS130" i="9"/>
  <c r="AT130" i="9" s="1"/>
  <c r="O130" i="9"/>
  <c r="P130" i="9" s="1"/>
  <c r="L234" i="35"/>
  <c r="M234" i="35"/>
  <c r="M34" i="9"/>
  <c r="M19" i="13" s="1"/>
  <c r="AJ34" i="9"/>
  <c r="AH34" i="9"/>
  <c r="AP55" i="9"/>
  <c r="AR55" i="9"/>
  <c r="AS55" i="9" s="1"/>
  <c r="AT55" i="9" s="1"/>
  <c r="AU55" i="9" s="1"/>
  <c r="AV55" i="9" s="1"/>
  <c r="AW55" i="9" s="1"/>
  <c r="AX55" i="9" s="1"/>
  <c r="AY55" i="9" s="1"/>
  <c r="AZ55" i="9" s="1"/>
  <c r="BA55" i="9" s="1"/>
  <c r="BB55" i="9" s="1"/>
  <c r="BC55" i="9" s="1"/>
  <c r="BD55" i="9" s="1"/>
  <c r="BE55" i="9" s="1"/>
  <c r="BF55" i="9" s="1"/>
  <c r="BG55" i="9" s="1"/>
  <c r="BH55" i="9" s="1"/>
  <c r="BI55" i="9" s="1"/>
  <c r="BJ55" i="9" s="1"/>
  <c r="BK55" i="9" s="1"/>
  <c r="BL55" i="9" s="1"/>
  <c r="BM55" i="9" s="1"/>
  <c r="BN55" i="9" s="1"/>
  <c r="BO55" i="9" s="1"/>
  <c r="BP55" i="9" s="1"/>
  <c r="BQ55" i="9" s="1"/>
  <c r="BR55" i="9" s="1"/>
  <c r="BS55" i="9" s="1"/>
  <c r="BT55" i="9" s="1"/>
  <c r="BU55" i="9" s="1"/>
  <c r="P289" i="31"/>
  <c r="P268" i="31"/>
  <c r="S289" i="31"/>
  <c r="S268" i="31"/>
  <c r="T243" i="9"/>
  <c r="T222" i="13" s="1"/>
  <c r="AD243" i="9"/>
  <c r="AK243" i="9"/>
  <c r="AI243" i="9"/>
  <c r="N159" i="9"/>
  <c r="F144" i="33"/>
  <c r="AS191" i="9"/>
  <c r="AP110" i="9"/>
  <c r="L124" i="9"/>
  <c r="L105" i="13" s="1"/>
  <c r="N124" i="9"/>
  <c r="N105" i="13" s="1"/>
  <c r="AL124" i="9"/>
  <c r="AR102" i="9"/>
  <c r="AD92" i="9"/>
  <c r="AA92" i="9"/>
  <c r="AI92" i="9"/>
  <c r="X92" i="9"/>
  <c r="X75" i="13" s="1"/>
  <c r="J83" i="40"/>
  <c r="K83" i="40" s="1"/>
  <c r="M83" i="40" s="1"/>
  <c r="K80" i="40"/>
  <c r="M80" i="40" s="1"/>
  <c r="J84" i="40"/>
  <c r="K84" i="40" s="1"/>
  <c r="M84" i="40" s="1"/>
  <c r="K79" i="40"/>
  <c r="M79" i="40" s="1"/>
  <c r="AR39" i="9"/>
  <c r="R216" i="13"/>
  <c r="AS214" i="9"/>
  <c r="AT214" i="9" s="1"/>
  <c r="AU214" i="9" s="1"/>
  <c r="AV214" i="9" s="1"/>
  <c r="AW214" i="9" s="1"/>
  <c r="AX214" i="9" s="1"/>
  <c r="AY214" i="9" s="1"/>
  <c r="AZ214" i="9" s="1"/>
  <c r="BA214" i="9" s="1"/>
  <c r="BB214" i="9" s="1"/>
  <c r="BC214" i="9" s="1"/>
  <c r="BD214" i="9" s="1"/>
  <c r="BE214" i="9" s="1"/>
  <c r="BF214" i="9" s="1"/>
  <c r="BG214" i="9" s="1"/>
  <c r="BH214" i="9" s="1"/>
  <c r="BI214" i="9" s="1"/>
  <c r="BJ214" i="9" s="1"/>
  <c r="BK214" i="9" s="1"/>
  <c r="BL214" i="9" s="1"/>
  <c r="BM214" i="9" s="1"/>
  <c r="BN214" i="9" s="1"/>
  <c r="BO214" i="9" s="1"/>
  <c r="BP214" i="9" s="1"/>
  <c r="BQ214" i="9" s="1"/>
  <c r="BR214" i="9" s="1"/>
  <c r="BS214" i="9" s="1"/>
  <c r="BT214" i="9" s="1"/>
  <c r="BU214" i="9" s="1"/>
  <c r="N103" i="9"/>
  <c r="AP53" i="9"/>
  <c r="L67" i="9"/>
  <c r="L47" i="13" s="1"/>
  <c r="AR53" i="9"/>
  <c r="AS53" i="9" s="1"/>
  <c r="AT53" i="9" s="1"/>
  <c r="AU53" i="9" s="1"/>
  <c r="AV53" i="9" s="1"/>
  <c r="AW53" i="9" s="1"/>
  <c r="AX53" i="9" s="1"/>
  <c r="AY53" i="9" s="1"/>
  <c r="AZ53" i="9" s="1"/>
  <c r="BA53" i="9" s="1"/>
  <c r="BB53" i="9" s="1"/>
  <c r="BC53" i="9" s="1"/>
  <c r="BD53" i="9" s="1"/>
  <c r="BE53" i="9" s="1"/>
  <c r="BF53" i="9" s="1"/>
  <c r="BG53" i="9" s="1"/>
  <c r="BH53" i="9" s="1"/>
  <c r="BI53" i="9" s="1"/>
  <c r="BJ53" i="9" s="1"/>
  <c r="BK53" i="9" s="1"/>
  <c r="BL53" i="9" s="1"/>
  <c r="BM53" i="9" s="1"/>
  <c r="BN53" i="9" s="1"/>
  <c r="BO53" i="9" s="1"/>
  <c r="BP53" i="9" s="1"/>
  <c r="BQ53" i="9" s="1"/>
  <c r="BR53" i="9" s="1"/>
  <c r="BS53" i="9" s="1"/>
  <c r="BT53" i="9" s="1"/>
  <c r="BU53" i="9" s="1"/>
  <c r="R67" i="9"/>
  <c r="R47" i="13" s="1"/>
  <c r="AC67" i="9"/>
  <c r="N166" i="9"/>
  <c r="S199" i="29"/>
  <c r="T72" i="13" s="1"/>
  <c r="U199" i="29"/>
  <c r="V72" i="13" s="1"/>
  <c r="L199" i="29"/>
  <c r="M72" i="13" s="1"/>
  <c r="N199" i="29"/>
  <c r="O72" i="13" s="1"/>
  <c r="W199" i="29"/>
  <c r="X72" i="13" s="1"/>
  <c r="R199" i="29"/>
  <c r="S72" i="13" s="1"/>
  <c r="X199" i="29"/>
  <c r="Y72" i="13" s="1"/>
  <c r="Q199" i="29"/>
  <c r="R72" i="13" s="1"/>
  <c r="Y199" i="29"/>
  <c r="Z72" i="13" s="1"/>
  <c r="K199" i="29"/>
  <c r="L72" i="13" s="1"/>
  <c r="E106" i="33"/>
  <c r="V199" i="29"/>
  <c r="W72" i="13" s="1"/>
  <c r="O199" i="29"/>
  <c r="P72" i="13" s="1"/>
  <c r="T199" i="29"/>
  <c r="U72" i="13" s="1"/>
  <c r="M199" i="29"/>
  <c r="N72" i="13" s="1"/>
  <c r="P199" i="29"/>
  <c r="Q72" i="13" s="1"/>
  <c r="N202" i="29"/>
  <c r="O70" i="13" s="1"/>
  <c r="N220" i="29"/>
  <c r="Q220" i="29"/>
  <c r="Q202" i="29"/>
  <c r="R70" i="13" s="1"/>
  <c r="M227" i="9"/>
  <c r="N227" i="9" s="1"/>
  <c r="O227" i="9" s="1"/>
  <c r="V217" i="9"/>
  <c r="V192" i="13" s="1"/>
  <c r="L91" i="9"/>
  <c r="AR72" i="9"/>
  <c r="M72" i="9"/>
  <c r="N72" i="9" s="1"/>
  <c r="M48" i="9"/>
  <c r="K79" i="30"/>
  <c r="M79" i="30" s="1"/>
  <c r="J84" i="30"/>
  <c r="K84" i="30" s="1"/>
  <c r="M84" i="30" s="1"/>
  <c r="K80" i="30"/>
  <c r="M80" i="30" s="1"/>
  <c r="J83" i="30"/>
  <c r="K83" i="30" s="1"/>
  <c r="M83" i="30" s="1"/>
  <c r="Z289" i="31"/>
  <c r="Z268" i="31"/>
  <c r="Q243" i="9"/>
  <c r="Q222" i="13" s="1"/>
  <c r="AM243" i="9"/>
  <c r="AM217" i="9"/>
  <c r="AK217" i="9"/>
  <c r="AO217" i="9"/>
  <c r="AG124" i="9"/>
  <c r="AR107" i="9"/>
  <c r="AS107" i="9" s="1"/>
  <c r="O47" i="9"/>
  <c r="N101" i="9"/>
  <c r="AS101" i="9"/>
  <c r="V184" i="9"/>
  <c r="V163" i="13" s="1"/>
  <c r="O220" i="29"/>
  <c r="O202" i="29"/>
  <c r="P70" i="13" s="1"/>
  <c r="V220" i="29"/>
  <c r="V202" i="29"/>
  <c r="W70" i="13" s="1"/>
  <c r="AR29" i="9"/>
  <c r="AS29" i="9" s="1"/>
  <c r="AT29" i="9" s="1"/>
  <c r="AU29" i="9" s="1"/>
  <c r="AV29" i="9" s="1"/>
  <c r="AW29" i="9" s="1"/>
  <c r="AX29" i="9" s="1"/>
  <c r="AY29" i="9" s="1"/>
  <c r="AZ29" i="9" s="1"/>
  <c r="BA29" i="9" s="1"/>
  <c r="BB29" i="9" s="1"/>
  <c r="BC29" i="9" s="1"/>
  <c r="BD29" i="9" s="1"/>
  <c r="BE29" i="9" s="1"/>
  <c r="BF29" i="9" s="1"/>
  <c r="BG29" i="9" s="1"/>
  <c r="BH29" i="9" s="1"/>
  <c r="BI29" i="9" s="1"/>
  <c r="BJ29" i="9" s="1"/>
  <c r="BK29" i="9" s="1"/>
  <c r="BL29" i="9" s="1"/>
  <c r="BM29" i="9" s="1"/>
  <c r="BN29" i="9" s="1"/>
  <c r="BO29" i="9" s="1"/>
  <c r="BP29" i="9" s="1"/>
  <c r="BQ29" i="9" s="1"/>
  <c r="BR29" i="9" s="1"/>
  <c r="BS29" i="9" s="1"/>
  <c r="BT29" i="9" s="1"/>
  <c r="BU29" i="9" s="1"/>
  <c r="W254" i="48"/>
  <c r="U254" i="48"/>
  <c r="Y254" i="48"/>
  <c r="T254" i="48"/>
  <c r="O254" i="48"/>
  <c r="Z254" i="48"/>
  <c r="Q254" i="48"/>
  <c r="R254" i="48"/>
  <c r="V254" i="48"/>
  <c r="N254" i="48"/>
  <c r="P254" i="48"/>
  <c r="S254" i="48"/>
  <c r="X254" i="48"/>
  <c r="N232" i="35"/>
  <c r="R232" i="35"/>
  <c r="P232" i="35"/>
  <c r="W232" i="35"/>
  <c r="X232" i="35"/>
  <c r="Z232" i="35"/>
  <c r="S232" i="35"/>
  <c r="U232" i="35"/>
  <c r="T232" i="35"/>
  <c r="V232" i="35"/>
  <c r="Y232" i="35"/>
  <c r="O232" i="35"/>
  <c r="Q232" i="35"/>
  <c r="AR204" i="9"/>
  <c r="AS204" i="9" s="1"/>
  <c r="AT204" i="9" s="1"/>
  <c r="AU204" i="9" s="1"/>
  <c r="AV204" i="9" s="1"/>
  <c r="AW204" i="9" s="1"/>
  <c r="AX204" i="9" s="1"/>
  <c r="AY204" i="9" s="1"/>
  <c r="AZ204" i="9" s="1"/>
  <c r="BA204" i="9" s="1"/>
  <c r="BB204" i="9" s="1"/>
  <c r="BC204" i="9" s="1"/>
  <c r="BD204" i="9" s="1"/>
  <c r="BE204" i="9" s="1"/>
  <c r="BF204" i="9" s="1"/>
  <c r="BG204" i="9" s="1"/>
  <c r="BH204" i="9" s="1"/>
  <c r="BI204" i="9" s="1"/>
  <c r="BJ204" i="9" s="1"/>
  <c r="BK204" i="9" s="1"/>
  <c r="BL204" i="9" s="1"/>
  <c r="BM204" i="9" s="1"/>
  <c r="BN204" i="9" s="1"/>
  <c r="BO204" i="9" s="1"/>
  <c r="BP204" i="9" s="1"/>
  <c r="BQ204" i="9" s="1"/>
  <c r="BR204" i="9" s="1"/>
  <c r="BS204" i="9" s="1"/>
  <c r="BT204" i="9" s="1"/>
  <c r="BU204" i="9" s="1"/>
  <c r="M189" i="9"/>
  <c r="M50" i="9"/>
  <c r="N50" i="9" s="1"/>
  <c r="AR50" i="9"/>
  <c r="AR64" i="9"/>
  <c r="AS64" i="9" s="1"/>
  <c r="AT64" i="9" s="1"/>
  <c r="AU64" i="9" s="1"/>
  <c r="AV64" i="9" s="1"/>
  <c r="AW64" i="9" s="1"/>
  <c r="AX64" i="9" s="1"/>
  <c r="AY64" i="9" s="1"/>
  <c r="AZ64" i="9" s="1"/>
  <c r="BA64" i="9" s="1"/>
  <c r="BB64" i="9" s="1"/>
  <c r="BC64" i="9" s="1"/>
  <c r="BD64" i="9" s="1"/>
  <c r="BE64" i="9" s="1"/>
  <c r="BF64" i="9" s="1"/>
  <c r="BG64" i="9" s="1"/>
  <c r="BH64" i="9" s="1"/>
  <c r="BI64" i="9" s="1"/>
  <c r="BJ64" i="9" s="1"/>
  <c r="BK64" i="9" s="1"/>
  <c r="BL64" i="9" s="1"/>
  <c r="BM64" i="9" s="1"/>
  <c r="BN64" i="9" s="1"/>
  <c r="BO64" i="9" s="1"/>
  <c r="BP64" i="9" s="1"/>
  <c r="BQ64" i="9" s="1"/>
  <c r="BR64" i="9" s="1"/>
  <c r="BS64" i="9" s="1"/>
  <c r="BT64" i="9" s="1"/>
  <c r="BU64" i="9" s="1"/>
  <c r="M102" i="9"/>
  <c r="N102" i="9" s="1"/>
  <c r="E170" i="33"/>
  <c r="Y261" i="48"/>
  <c r="Y214" i="13" s="1"/>
  <c r="V261" i="48"/>
  <c r="V214" i="13" s="1"/>
  <c r="X261" i="48"/>
  <c r="X214" i="13" s="1"/>
  <c r="T261" i="48"/>
  <c r="T214" i="13" s="1"/>
  <c r="W261" i="48"/>
  <c r="W214" i="13" s="1"/>
  <c r="M261" i="48"/>
  <c r="M214" i="13" s="1"/>
  <c r="R261" i="48"/>
  <c r="R214" i="13" s="1"/>
  <c r="P261" i="48"/>
  <c r="P214" i="13" s="1"/>
  <c r="Q261" i="48"/>
  <c r="Q214" i="13" s="1"/>
  <c r="L261" i="48"/>
  <c r="L214" i="13" s="1"/>
  <c r="U261" i="48"/>
  <c r="U214" i="13" s="1"/>
  <c r="Z261" i="48"/>
  <c r="Z214" i="13" s="1"/>
  <c r="N261" i="48"/>
  <c r="N214" i="13" s="1"/>
  <c r="S261" i="48"/>
  <c r="S214" i="13" s="1"/>
  <c r="O261" i="48"/>
  <c r="O214" i="13" s="1"/>
  <c r="L92" i="9"/>
  <c r="L75" i="13" s="1"/>
  <c r="AP82" i="9"/>
  <c r="AR82" i="9"/>
  <c r="AS82" i="9" s="1"/>
  <c r="AT82" i="9" s="1"/>
  <c r="AU82" i="9" s="1"/>
  <c r="AV82" i="9" s="1"/>
  <c r="AW82" i="9" s="1"/>
  <c r="AX82" i="9" s="1"/>
  <c r="AY82" i="9" s="1"/>
  <c r="AZ82" i="9" s="1"/>
  <c r="BA82" i="9" s="1"/>
  <c r="BB82" i="9" s="1"/>
  <c r="BC82" i="9" s="1"/>
  <c r="BD82" i="9" s="1"/>
  <c r="BE82" i="9" s="1"/>
  <c r="BF82" i="9" s="1"/>
  <c r="BG82" i="9" s="1"/>
  <c r="BH82" i="9" s="1"/>
  <c r="BI82" i="9" s="1"/>
  <c r="BJ82" i="9" s="1"/>
  <c r="BK82" i="9" s="1"/>
  <c r="BL82" i="9" s="1"/>
  <c r="BM82" i="9" s="1"/>
  <c r="BN82" i="9" s="1"/>
  <c r="BO82" i="9" s="1"/>
  <c r="BP82" i="9" s="1"/>
  <c r="BQ82" i="9" s="1"/>
  <c r="BR82" i="9" s="1"/>
  <c r="BS82" i="9" s="1"/>
  <c r="BT82" i="9" s="1"/>
  <c r="BU82" i="9" s="1"/>
  <c r="O92" i="9"/>
  <c r="O75" i="13" s="1"/>
  <c r="M92" i="9"/>
  <c r="M75" i="13" s="1"/>
  <c r="AO92" i="9"/>
  <c r="L123" i="9"/>
  <c r="AR96" i="9"/>
  <c r="M96" i="9"/>
  <c r="AP112" i="9"/>
  <c r="AS222" i="9"/>
  <c r="AT79" i="9"/>
  <c r="O15" i="9"/>
  <c r="L66" i="9"/>
  <c r="M39" i="9"/>
  <c r="W216" i="13"/>
  <c r="V67" i="9"/>
  <c r="V47" i="13" s="1"/>
  <c r="Z67" i="9"/>
  <c r="Z47" i="13" s="1"/>
  <c r="T67" i="9"/>
  <c r="T47" i="13" s="1"/>
  <c r="AK67" i="9"/>
  <c r="R225" i="35"/>
  <c r="Z225" i="35"/>
  <c r="N225" i="35"/>
  <c r="V225" i="35"/>
  <c r="T225" i="35"/>
  <c r="X225" i="35"/>
  <c r="O225" i="35"/>
  <c r="M225" i="35"/>
  <c r="S225" i="35"/>
  <c r="U225" i="35"/>
  <c r="Y225" i="35"/>
  <c r="L225" i="35"/>
  <c r="W225" i="35"/>
  <c r="P225" i="35"/>
  <c r="Q225" i="35"/>
  <c r="M25" i="30"/>
  <c r="L29" i="30"/>
  <c r="M29" i="30" s="1"/>
  <c r="AR227" i="9"/>
  <c r="Y220" i="29"/>
  <c r="Y202" i="29"/>
  <c r="Z70" i="13" s="1"/>
  <c r="N18" i="9"/>
  <c r="T34" i="9"/>
  <c r="T19" i="13" s="1"/>
  <c r="AF34" i="9"/>
  <c r="AC34" i="9"/>
  <c r="Y34" i="9"/>
  <c r="Y19" i="13" s="1"/>
  <c r="L33" i="9"/>
  <c r="AL14" i="6"/>
  <c r="AM14" i="6" s="1"/>
  <c r="AO14" i="6" s="1"/>
  <c r="AK15" i="6" s="1"/>
  <c r="O289" i="31"/>
  <c r="O268" i="31"/>
  <c r="R289" i="31"/>
  <c r="R268" i="31"/>
  <c r="R129" i="13" s="1"/>
  <c r="O243" i="9"/>
  <c r="O222" i="13" s="1"/>
  <c r="N243" i="9"/>
  <c r="N222" i="13" s="1"/>
  <c r="S243" i="9"/>
  <c r="S222" i="13" s="1"/>
  <c r="AJ243" i="9"/>
  <c r="K167" i="48"/>
  <c r="M167" i="48" s="1"/>
  <c r="K35" i="48"/>
  <c r="M35" i="48" s="1"/>
  <c r="U217" i="9"/>
  <c r="U192" i="13" s="1"/>
  <c r="AJ217" i="9"/>
  <c r="AA217" i="9"/>
  <c r="AL217" i="9"/>
  <c r="M33" i="35"/>
  <c r="K38" i="35"/>
  <c r="N165" i="9"/>
  <c r="S124" i="9"/>
  <c r="S105" i="13" s="1"/>
  <c r="M124" i="9"/>
  <c r="M105" i="13" s="1"/>
  <c r="Q124" i="9"/>
  <c r="Q105" i="13" s="1"/>
  <c r="AF124" i="9"/>
  <c r="K35" i="52"/>
  <c r="M35" i="52" s="1"/>
  <c r="K151" i="52"/>
  <c r="M151" i="52" s="1"/>
  <c r="AR221" i="9"/>
  <c r="AS221" i="9" s="1"/>
  <c r="AS20" i="9"/>
  <c r="AT20" i="9" s="1"/>
  <c r="N92" i="9"/>
  <c r="N75" i="13" s="1"/>
  <c r="AB92" i="9"/>
  <c r="Q92" i="9"/>
  <c r="Q75" i="13" s="1"/>
  <c r="AP234" i="9"/>
  <c r="K152" i="40"/>
  <c r="M152" i="40" s="1"/>
  <c r="K36" i="40"/>
  <c r="M36" i="40" s="1"/>
  <c r="P129" i="9"/>
  <c r="O163" i="9"/>
  <c r="P163" i="9" s="1"/>
  <c r="Q163" i="9" s="1"/>
  <c r="O100" i="9"/>
  <c r="Y216" i="13"/>
  <c r="Q216" i="13"/>
  <c r="AP214" i="9"/>
  <c r="Q184" i="9"/>
  <c r="Q163" i="13" s="1"/>
  <c r="AO184" i="9"/>
  <c r="AG184" i="9"/>
  <c r="Z184" i="9"/>
  <c r="Z163" i="13" s="1"/>
  <c r="O46" i="9"/>
  <c r="AF67" i="9"/>
  <c r="AO67" i="9"/>
  <c r="AB67" i="9"/>
  <c r="N45" i="9"/>
  <c r="L183" i="9"/>
  <c r="P104" i="9"/>
  <c r="V14" i="6"/>
  <c r="W14" i="6" s="1"/>
  <c r="Y14" i="6" s="1"/>
  <c r="U15" i="6" s="1"/>
  <c r="W220" i="29"/>
  <c r="W202" i="29"/>
  <c r="X70" i="13" s="1"/>
  <c r="AS85" i="9"/>
  <c r="AT85" i="9" s="1"/>
  <c r="AU85" i="9" s="1"/>
  <c r="AV85" i="9" s="1"/>
  <c r="AW85" i="9" s="1"/>
  <c r="AX85" i="9" s="1"/>
  <c r="AY85" i="9" s="1"/>
  <c r="AZ85" i="9" s="1"/>
  <c r="BA85" i="9" s="1"/>
  <c r="BB85" i="9" s="1"/>
  <c r="BC85" i="9" s="1"/>
  <c r="BD85" i="9" s="1"/>
  <c r="BE85" i="9" s="1"/>
  <c r="BF85" i="9" s="1"/>
  <c r="BG85" i="9" s="1"/>
  <c r="BH85" i="9" s="1"/>
  <c r="BI85" i="9" s="1"/>
  <c r="BJ85" i="9" s="1"/>
  <c r="BK85" i="9" s="1"/>
  <c r="BL85" i="9" s="1"/>
  <c r="BM85" i="9" s="1"/>
  <c r="BN85" i="9" s="1"/>
  <c r="BO85" i="9" s="1"/>
  <c r="BP85" i="9" s="1"/>
  <c r="BQ85" i="9" s="1"/>
  <c r="BR85" i="9" s="1"/>
  <c r="BS85" i="9" s="1"/>
  <c r="BT85" i="9" s="1"/>
  <c r="BU85" i="9" s="1"/>
  <c r="AP88" i="9"/>
  <c r="AA34" i="9"/>
  <c r="Z34" i="9"/>
  <c r="Z19" i="13" s="1"/>
  <c r="AM34" i="9"/>
  <c r="AP113" i="9"/>
  <c r="H342" i="56"/>
  <c r="I323" i="56"/>
  <c r="V289" i="31"/>
  <c r="V268" i="31"/>
  <c r="X268" i="31"/>
  <c r="X289" i="31"/>
  <c r="X243" i="9"/>
  <c r="X222" i="13" s="1"/>
  <c r="P243" i="9"/>
  <c r="P222" i="13" s="1"/>
  <c r="AB243" i="9"/>
  <c r="K168" i="48"/>
  <c r="M168" i="48" s="1"/>
  <c r="K36" i="48"/>
  <c r="M36" i="48" s="1"/>
  <c r="M217" i="9"/>
  <c r="M192" i="13" s="1"/>
  <c r="AB217" i="9"/>
  <c r="AP54" i="9"/>
  <c r="AR19" i="9"/>
  <c r="M19" i="9"/>
  <c r="N19" i="9" s="1"/>
  <c r="AR75" i="9"/>
  <c r="AR165" i="9"/>
  <c r="AS165" i="9" s="1"/>
  <c r="J40" i="19"/>
  <c r="J41" i="19" s="1"/>
  <c r="J42" i="19" s="1"/>
  <c r="J44" i="19" s="1"/>
  <c r="L44" i="19" s="1"/>
  <c r="J78" i="19"/>
  <c r="L78" i="19" s="1"/>
  <c r="J79" i="19"/>
  <c r="L79" i="19" s="1"/>
  <c r="J77" i="19"/>
  <c r="L77" i="19" s="1"/>
  <c r="AS137" i="9"/>
  <c r="T124" i="9"/>
  <c r="T105" i="13" s="1"/>
  <c r="AD124" i="9"/>
  <c r="AM124" i="9"/>
  <c r="O195" i="9"/>
  <c r="AS73" i="9"/>
  <c r="M77" i="35"/>
  <c r="L242" i="9"/>
  <c r="K75" i="48"/>
  <c r="M69" i="48"/>
  <c r="M75" i="48" s="1"/>
  <c r="P77" i="48" s="1"/>
  <c r="K78" i="48" s="1"/>
  <c r="AG92" i="9"/>
  <c r="AK92" i="9"/>
  <c r="V92" i="9"/>
  <c r="V75" i="13" s="1"/>
  <c r="AE92" i="9"/>
  <c r="AR17" i="9"/>
  <c r="M74" i="9"/>
  <c r="Z216" i="13"/>
  <c r="M216" i="13"/>
  <c r="AS166" i="9"/>
  <c r="E97" i="33"/>
  <c r="S193" i="29"/>
  <c r="T67" i="13" s="1"/>
  <c r="L193" i="29"/>
  <c r="M67" i="13" s="1"/>
  <c r="N193" i="29"/>
  <c r="O67" i="13" s="1"/>
  <c r="U193" i="29"/>
  <c r="V67" i="13" s="1"/>
  <c r="W193" i="29"/>
  <c r="X67" i="13" s="1"/>
  <c r="V193" i="29"/>
  <c r="W67" i="13" s="1"/>
  <c r="P193" i="29"/>
  <c r="Q67" i="13" s="1"/>
  <c r="X193" i="29"/>
  <c r="Y67" i="13" s="1"/>
  <c r="R193" i="29"/>
  <c r="S67" i="13" s="1"/>
  <c r="T193" i="29"/>
  <c r="U67" i="13" s="1"/>
  <c r="M193" i="29"/>
  <c r="N67" i="13" s="1"/>
  <c r="Q193" i="29"/>
  <c r="R67" i="13" s="1"/>
  <c r="Y193" i="29"/>
  <c r="Z67" i="13" s="1"/>
  <c r="K193" i="29"/>
  <c r="L67" i="13" s="1"/>
  <c r="O193" i="29"/>
  <c r="P67" i="13" s="1"/>
  <c r="O224" i="9"/>
  <c r="AN184" i="9"/>
  <c r="S184" i="9"/>
  <c r="S163" i="13" s="1"/>
  <c r="AB184" i="9"/>
  <c r="AF184" i="9"/>
  <c r="AD67" i="9"/>
  <c r="M67" i="9"/>
  <c r="M47" i="13" s="1"/>
  <c r="AL67" i="9"/>
  <c r="AH67" i="9"/>
  <c r="P106" i="9"/>
  <c r="AS131" i="9"/>
  <c r="AT131" i="9" s="1"/>
  <c r="K220" i="29"/>
  <c r="K202" i="29"/>
  <c r="L70" i="13" s="1"/>
  <c r="T220" i="29"/>
  <c r="T202" i="29"/>
  <c r="U70" i="13" s="1"/>
  <c r="M228" i="9"/>
  <c r="AP85" i="9"/>
  <c r="AL34" i="9"/>
  <c r="P34" i="9"/>
  <c r="P19" i="13" s="1"/>
  <c r="O34" i="9"/>
  <c r="O19" i="13" s="1"/>
  <c r="N136" i="9"/>
  <c r="U267" i="31"/>
  <c r="U131" i="13" s="1"/>
  <c r="E135" i="33"/>
  <c r="V267" i="31"/>
  <c r="V131" i="13" s="1"/>
  <c r="Y267" i="31"/>
  <c r="Y131" i="13" s="1"/>
  <c r="T267" i="31"/>
  <c r="T131" i="13" s="1"/>
  <c r="N267" i="31"/>
  <c r="N131" i="13" s="1"/>
  <c r="R267" i="31"/>
  <c r="R131" i="13" s="1"/>
  <c r="Q267" i="31"/>
  <c r="Q131" i="13" s="1"/>
  <c r="W267" i="31"/>
  <c r="W131" i="13" s="1"/>
  <c r="O267" i="31"/>
  <c r="O131" i="13" s="1"/>
  <c r="P267" i="31"/>
  <c r="P131" i="13" s="1"/>
  <c r="L267" i="31"/>
  <c r="L131" i="13" s="1"/>
  <c r="X267" i="31"/>
  <c r="X131" i="13" s="1"/>
  <c r="M267" i="31"/>
  <c r="M131" i="13" s="1"/>
  <c r="Z267" i="31"/>
  <c r="Z131" i="13" s="1"/>
  <c r="S267" i="31"/>
  <c r="S131" i="13" s="1"/>
  <c r="T289" i="31"/>
  <c r="T268" i="31"/>
  <c r="V243" i="9"/>
  <c r="V222" i="13" s="1"/>
  <c r="AN243" i="9"/>
  <c r="AC243" i="9"/>
  <c r="AH243" i="9"/>
  <c r="F174" i="33"/>
  <c r="W217" i="9"/>
  <c r="W192" i="13" s="1"/>
  <c r="Y217" i="9"/>
  <c r="Y192" i="13" s="1"/>
  <c r="R217" i="9"/>
  <c r="R192" i="13" s="1"/>
  <c r="O20" i="9"/>
  <c r="P20" i="9" s="1"/>
  <c r="Y124" i="9"/>
  <c r="Y105" i="13" s="1"/>
  <c r="AO124" i="9"/>
  <c r="V124" i="9"/>
  <c r="V105" i="13" s="1"/>
  <c r="AI124" i="9"/>
  <c r="AP239" i="9"/>
  <c r="AP240" i="9"/>
  <c r="W255" i="31"/>
  <c r="O255" i="31"/>
  <c r="R255" i="31"/>
  <c r="X255" i="31"/>
  <c r="U255" i="31"/>
  <c r="T255" i="31"/>
  <c r="Q255" i="31"/>
  <c r="Y255" i="31"/>
  <c r="L254" i="31"/>
  <c r="V255" i="31"/>
  <c r="M254" i="31"/>
  <c r="P255" i="31"/>
  <c r="N255" i="31"/>
  <c r="Z255" i="31"/>
  <c r="S255" i="31"/>
  <c r="AR98" i="9"/>
  <c r="AS98" i="9" s="1"/>
  <c r="AP179" i="9"/>
  <c r="K96" i="48"/>
  <c r="M96" i="48" s="1"/>
  <c r="K95" i="48"/>
  <c r="M95" i="48" s="1"/>
  <c r="AC92" i="9"/>
  <c r="T92" i="9"/>
  <c r="T75" i="13" s="1"/>
  <c r="AL92" i="9"/>
  <c r="AP178" i="9"/>
  <c r="AP27" i="9"/>
  <c r="M167" i="9"/>
  <c r="M183" i="9" s="1"/>
  <c r="U216" i="13"/>
  <c r="P216" i="13"/>
  <c r="E112" i="33"/>
  <c r="N237" i="30"/>
  <c r="N97" i="13" s="1"/>
  <c r="O237" i="30"/>
  <c r="O97" i="13" s="1"/>
  <c r="U237" i="30"/>
  <c r="U97" i="13" s="1"/>
  <c r="S237" i="30"/>
  <c r="S97" i="13" s="1"/>
  <c r="M237" i="30"/>
  <c r="M97" i="13" s="1"/>
  <c r="Q237" i="30"/>
  <c r="Q97" i="13" s="1"/>
  <c r="P237" i="30"/>
  <c r="P97" i="13" s="1"/>
  <c r="T237" i="30"/>
  <c r="T97" i="13" s="1"/>
  <c r="R237" i="30"/>
  <c r="R97" i="13" s="1"/>
  <c r="Y237" i="30"/>
  <c r="Y97" i="13" s="1"/>
  <c r="Z237" i="30"/>
  <c r="Z97" i="13" s="1"/>
  <c r="X237" i="30"/>
  <c r="X97" i="13" s="1"/>
  <c r="V237" i="30"/>
  <c r="V97" i="13" s="1"/>
  <c r="W237" i="30"/>
  <c r="W97" i="13" s="1"/>
  <c r="L237" i="30"/>
  <c r="L97" i="13" s="1"/>
  <c r="J40" i="29"/>
  <c r="J41" i="29" s="1"/>
  <c r="J42" i="29" s="1"/>
  <c r="J44" i="29" s="1"/>
  <c r="L44" i="29" s="1"/>
  <c r="J79" i="29"/>
  <c r="L79" i="29" s="1"/>
  <c r="J77" i="29"/>
  <c r="L77" i="29" s="1"/>
  <c r="J78" i="29"/>
  <c r="L78" i="29" s="1"/>
  <c r="T184" i="9"/>
  <c r="T163" i="13" s="1"/>
  <c r="AP170" i="9"/>
  <c r="L184" i="9"/>
  <c r="L163" i="13" s="1"/>
  <c r="P184" i="9"/>
  <c r="P163" i="13" s="1"/>
  <c r="AD184" i="9"/>
  <c r="AA67" i="9"/>
  <c r="AG67" i="9"/>
  <c r="U67" i="9"/>
  <c r="U47" i="13" s="1"/>
  <c r="AE67" i="9"/>
  <c r="K35" i="30"/>
  <c r="M35" i="30" s="1"/>
  <c r="K151" i="30"/>
  <c r="M151" i="30" s="1"/>
  <c r="N199" i="9"/>
  <c r="AR156" i="9"/>
  <c r="AS156" i="9" s="1"/>
  <c r="M202" i="29"/>
  <c r="N70" i="13" s="1"/>
  <c r="M220" i="29"/>
  <c r="R220" i="29"/>
  <c r="R202" i="29"/>
  <c r="S70" i="13" s="1"/>
  <c r="AS103" i="9"/>
  <c r="N73" i="9"/>
  <c r="N197" i="9"/>
  <c r="O197" i="9" s="1"/>
  <c r="V246" i="31"/>
  <c r="T246" i="31"/>
  <c r="Y246" i="31"/>
  <c r="R246" i="31"/>
  <c r="U246" i="31"/>
  <c r="L246" i="31"/>
  <c r="N246" i="31"/>
  <c r="M246" i="31"/>
  <c r="W246" i="31"/>
  <c r="O246" i="31"/>
  <c r="X246" i="31"/>
  <c r="Z246" i="31"/>
  <c r="S246" i="31"/>
  <c r="P246" i="31"/>
  <c r="Q246" i="31"/>
  <c r="Y289" i="48"/>
  <c r="Y268" i="48"/>
  <c r="F86" i="33"/>
  <c r="AS16" i="9"/>
  <c r="Y226" i="35"/>
  <c r="Q226" i="35"/>
  <c r="P226" i="35"/>
  <c r="Z226" i="35"/>
  <c r="O226" i="35"/>
  <c r="L226" i="35"/>
  <c r="W226" i="35"/>
  <c r="R226" i="35"/>
  <c r="S226" i="35"/>
  <c r="N226" i="35"/>
  <c r="T226" i="35"/>
  <c r="X226" i="35"/>
  <c r="U226" i="35"/>
  <c r="V226" i="35"/>
  <c r="M226" i="35"/>
  <c r="AR228" i="9"/>
  <c r="N137" i="9"/>
  <c r="O137" i="9" s="1"/>
  <c r="V34" i="9"/>
  <c r="V19" i="13" s="1"/>
  <c r="AI34" i="9"/>
  <c r="AD34" i="9"/>
  <c r="L268" i="31"/>
  <c r="L289" i="31"/>
  <c r="F18" i="56" s="1"/>
  <c r="I324" i="56" s="1"/>
  <c r="Y289" i="31"/>
  <c r="Y268" i="31"/>
  <c r="W243" i="9"/>
  <c r="W222" i="13" s="1"/>
  <c r="Z243" i="9"/>
  <c r="Z222" i="13" s="1"/>
  <c r="T217" i="9"/>
  <c r="T192" i="13" s="1"/>
  <c r="P217" i="9"/>
  <c r="P192" i="13" s="1"/>
  <c r="AI217" i="9"/>
  <c r="AT198" i="9"/>
  <c r="AP121" i="9"/>
  <c r="M256" i="31"/>
  <c r="L256" i="31"/>
  <c r="K119" i="35"/>
  <c r="M119" i="35" s="1"/>
  <c r="M120" i="35" s="1"/>
  <c r="M66" i="35"/>
  <c r="K155" i="35"/>
  <c r="M155" i="35" s="1"/>
  <c r="M156" i="35" s="1"/>
  <c r="M75" i="9"/>
  <c r="R124" i="9"/>
  <c r="R105" i="13" s="1"/>
  <c r="W124" i="9"/>
  <c r="W105" i="13" s="1"/>
  <c r="AE124" i="9"/>
  <c r="AN124" i="9"/>
  <c r="T233" i="35"/>
  <c r="V233" i="35"/>
  <c r="W233" i="35"/>
  <c r="R233" i="35"/>
  <c r="Y233" i="35"/>
  <c r="N233" i="35"/>
  <c r="S233" i="35"/>
  <c r="O233" i="35"/>
  <c r="X233" i="35"/>
  <c r="Q233" i="35"/>
  <c r="U233" i="35"/>
  <c r="P233" i="35"/>
  <c r="M232" i="35"/>
  <c r="Z233" i="35"/>
  <c r="L232" i="35"/>
  <c r="AS197" i="9"/>
  <c r="O193" i="9"/>
  <c r="AS21" i="9"/>
  <c r="Y92" i="9"/>
  <c r="Y75" i="13" s="1"/>
  <c r="U92" i="9"/>
  <c r="U75" i="13" s="1"/>
  <c r="W92" i="9"/>
  <c r="W75" i="13" s="1"/>
  <c r="AN92" i="9"/>
  <c r="AP181" i="9"/>
  <c r="P77" i="9"/>
  <c r="Q77" i="9" s="1"/>
  <c r="L216" i="13"/>
  <c r="X216" i="13"/>
  <c r="K63" i="30"/>
  <c r="M57" i="30"/>
  <c r="M63" i="30" s="1"/>
  <c r="K66" i="30" s="1"/>
  <c r="U184" i="9"/>
  <c r="U163" i="13" s="1"/>
  <c r="R184" i="9"/>
  <c r="R163" i="13" s="1"/>
  <c r="Y184" i="9"/>
  <c r="Y163" i="13" s="1"/>
  <c r="AL184" i="9"/>
  <c r="P161" i="9"/>
  <c r="AJ67" i="9"/>
  <c r="Y67" i="9"/>
  <c r="Y47" i="13" s="1"/>
  <c r="N67" i="9"/>
  <c r="N47" i="13" s="1"/>
  <c r="AN67" i="9"/>
  <c r="AS42" i="9"/>
  <c r="AT42" i="9" s="1"/>
  <c r="K36" i="30"/>
  <c r="M36" i="30" s="1"/>
  <c r="K152" i="30"/>
  <c r="M152" i="30" s="1"/>
  <c r="O76" i="9"/>
  <c r="Q247" i="35"/>
  <c r="Q158" i="13" s="1"/>
  <c r="Q270" i="35"/>
  <c r="S220" i="29"/>
  <c r="S202" i="29"/>
  <c r="T70" i="13" s="1"/>
  <c r="X220" i="29"/>
  <c r="X202" i="29"/>
  <c r="Y70" i="13" s="1"/>
  <c r="AP151" i="9" l="1"/>
  <c r="K81" i="31"/>
  <c r="M81" i="31" s="1"/>
  <c r="R249" i="31" s="1"/>
  <c r="AA126" i="13"/>
  <c r="L141" i="13" s="1"/>
  <c r="L6" i="33" s="1"/>
  <c r="M170" i="31"/>
  <c r="O256" i="31"/>
  <c r="X256" i="31"/>
  <c r="W256" i="31"/>
  <c r="S256" i="31"/>
  <c r="M255" i="31"/>
  <c r="U256" i="31"/>
  <c r="P256" i="31"/>
  <c r="Y256" i="31"/>
  <c r="Q256" i="31"/>
  <c r="L255" i="31"/>
  <c r="V256" i="31"/>
  <c r="N256" i="31"/>
  <c r="Z256" i="31"/>
  <c r="T256" i="31"/>
  <c r="K38" i="31"/>
  <c r="N129" i="13"/>
  <c r="X129" i="13"/>
  <c r="R132" i="9"/>
  <c r="S132" i="9" s="1"/>
  <c r="R133" i="9"/>
  <c r="S133" i="9" s="1"/>
  <c r="S129" i="13"/>
  <c r="S133" i="13" s="1"/>
  <c r="S136" i="13" s="1"/>
  <c r="T129" i="13"/>
  <c r="Q129" i="13"/>
  <c r="L129" i="13"/>
  <c r="P129" i="13"/>
  <c r="W129" i="13"/>
  <c r="V129" i="13"/>
  <c r="U129" i="13"/>
  <c r="Y129" i="13"/>
  <c r="O129" i="13"/>
  <c r="Z129" i="13"/>
  <c r="AV133" i="9"/>
  <c r="AW133" i="9" s="1"/>
  <c r="AT134" i="9"/>
  <c r="AU134" i="9" s="1"/>
  <c r="P134" i="9"/>
  <c r="Q134" i="9" s="1"/>
  <c r="AU132" i="9"/>
  <c r="AV132" i="9" s="1"/>
  <c r="AW132" i="9" s="1"/>
  <c r="X247" i="35"/>
  <c r="X158" i="13" s="1"/>
  <c r="AA134" i="13"/>
  <c r="X289" i="48"/>
  <c r="N289" i="48"/>
  <c r="Z268" i="48"/>
  <c r="Z217" i="13" s="1"/>
  <c r="R267" i="48"/>
  <c r="R219" i="13" s="1"/>
  <c r="T267" i="48"/>
  <c r="T219" i="13" s="1"/>
  <c r="R217" i="13"/>
  <c r="T262" i="31"/>
  <c r="T127" i="13" s="1"/>
  <c r="L267" i="48"/>
  <c r="L219" i="13" s="1"/>
  <c r="Y267" i="48"/>
  <c r="Y219" i="13" s="1"/>
  <c r="Z267" i="48"/>
  <c r="Z219" i="13" s="1"/>
  <c r="E178" i="33"/>
  <c r="F178" i="33" s="1"/>
  <c r="U267" i="48"/>
  <c r="U219" i="13" s="1"/>
  <c r="N267" i="48"/>
  <c r="N219" i="13" s="1"/>
  <c r="X267" i="48"/>
  <c r="X219" i="13" s="1"/>
  <c r="Q267" i="48"/>
  <c r="Q219" i="13" s="1"/>
  <c r="M267" i="48"/>
  <c r="M219" i="13" s="1"/>
  <c r="V267" i="48"/>
  <c r="V219" i="13" s="1"/>
  <c r="S243" i="30"/>
  <c r="S102" i="13" s="1"/>
  <c r="S267" i="48"/>
  <c r="S219" i="13" s="1"/>
  <c r="P267" i="48"/>
  <c r="P219" i="13" s="1"/>
  <c r="O267" i="48"/>
  <c r="O219" i="13" s="1"/>
  <c r="U158" i="13"/>
  <c r="AU193" i="9"/>
  <c r="V100" i="13"/>
  <c r="Y158" i="13"/>
  <c r="L158" i="13"/>
  <c r="AU195" i="9"/>
  <c r="Y217" i="13"/>
  <c r="Z268" i="30"/>
  <c r="N217" i="13"/>
  <c r="S158" i="13"/>
  <c r="T158" i="13"/>
  <c r="V268" i="30"/>
  <c r="R158" i="13"/>
  <c r="L217" i="13"/>
  <c r="AS227" i="9"/>
  <c r="AT227" i="9" s="1"/>
  <c r="AU227" i="9" s="1"/>
  <c r="AV194" i="9"/>
  <c r="AW194" i="9" s="1"/>
  <c r="R270" i="35"/>
  <c r="W247" i="35"/>
  <c r="W158" i="13" s="1"/>
  <c r="V217" i="13"/>
  <c r="Z247" i="35"/>
  <c r="Z158" i="13" s="1"/>
  <c r="W243" i="30"/>
  <c r="W102" i="13" s="1"/>
  <c r="T217" i="13"/>
  <c r="V289" i="48"/>
  <c r="Q243" i="30"/>
  <c r="Q102" i="13" s="1"/>
  <c r="Y270" i="35"/>
  <c r="E121" i="33"/>
  <c r="F121" i="33" s="1"/>
  <c r="M246" i="30"/>
  <c r="E122" i="33" s="1"/>
  <c r="F122" i="33" s="1"/>
  <c r="AS190" i="9"/>
  <c r="AT190" i="9" s="1"/>
  <c r="AA13" i="13"/>
  <c r="AU46" i="9"/>
  <c r="U243" i="30"/>
  <c r="U102" i="13" s="1"/>
  <c r="O247" i="35"/>
  <c r="O158" i="13" s="1"/>
  <c r="AT136" i="9"/>
  <c r="W262" i="31"/>
  <c r="W127" i="13" s="1"/>
  <c r="V243" i="30"/>
  <c r="V102" i="13" s="1"/>
  <c r="AU162" i="9"/>
  <c r="AV162" i="9" s="1"/>
  <c r="L243" i="30"/>
  <c r="L102" i="13" s="1"/>
  <c r="S100" i="13"/>
  <c r="M243" i="30"/>
  <c r="M102" i="13" s="1"/>
  <c r="X217" i="13"/>
  <c r="M268" i="48"/>
  <c r="E179" i="33" s="1"/>
  <c r="F179" i="33" s="1"/>
  <c r="X243" i="30"/>
  <c r="X102" i="13" s="1"/>
  <c r="O243" i="30"/>
  <c r="O102" i="13" s="1"/>
  <c r="P268" i="48"/>
  <c r="P217" i="13" s="1"/>
  <c r="AS17" i="9"/>
  <c r="AT17" i="9" s="1"/>
  <c r="Y243" i="30"/>
  <c r="Y102" i="13" s="1"/>
  <c r="N243" i="30"/>
  <c r="N102" i="13" s="1"/>
  <c r="T289" i="48"/>
  <c r="M237" i="52"/>
  <c r="M39" i="13" s="1"/>
  <c r="AS200" i="9"/>
  <c r="AT200" i="9" s="1"/>
  <c r="M129" i="13"/>
  <c r="AT199" i="9"/>
  <c r="T243" i="30"/>
  <c r="T102" i="13" s="1"/>
  <c r="R243" i="30"/>
  <c r="R102" i="13" s="1"/>
  <c r="O268" i="48"/>
  <c r="O217" i="13" s="1"/>
  <c r="L237" i="52"/>
  <c r="L39" i="13" s="1"/>
  <c r="O237" i="52"/>
  <c r="O39" i="13" s="1"/>
  <c r="P196" i="9"/>
  <c r="Q196" i="9" s="1"/>
  <c r="Z243" i="30"/>
  <c r="Z102" i="13" s="1"/>
  <c r="V237" i="52"/>
  <c r="V39" i="13" s="1"/>
  <c r="AA69" i="13"/>
  <c r="X262" i="31"/>
  <c r="X127" i="13" s="1"/>
  <c r="M262" i="31"/>
  <c r="M127" i="13" s="1"/>
  <c r="AT98" i="9"/>
  <c r="AU98" i="9" s="1"/>
  <c r="S245" i="35"/>
  <c r="S160" i="13" s="1"/>
  <c r="O262" i="31"/>
  <c r="O127" i="13" s="1"/>
  <c r="P262" i="31"/>
  <c r="P127" i="13" s="1"/>
  <c r="Y237" i="52"/>
  <c r="Y39" i="13" s="1"/>
  <c r="N262" i="31"/>
  <c r="N127" i="13" s="1"/>
  <c r="U262" i="31"/>
  <c r="U127" i="13" s="1"/>
  <c r="E128" i="33"/>
  <c r="F128" i="33" s="1"/>
  <c r="Q262" i="31"/>
  <c r="Q127" i="13" s="1"/>
  <c r="Q237" i="52"/>
  <c r="Q39" i="13" s="1"/>
  <c r="R262" i="31"/>
  <c r="R127" i="13" s="1"/>
  <c r="R133" i="13" s="1"/>
  <c r="R136" i="13" s="1"/>
  <c r="AT166" i="9"/>
  <c r="M270" i="35"/>
  <c r="V262" i="31"/>
  <c r="V127" i="13" s="1"/>
  <c r="Y262" i="31"/>
  <c r="Y127" i="13" s="1"/>
  <c r="N237" i="52"/>
  <c r="N39" i="13" s="1"/>
  <c r="O100" i="13"/>
  <c r="Z262" i="31"/>
  <c r="Z127" i="13" s="1"/>
  <c r="L262" i="31"/>
  <c r="L127" i="13" s="1"/>
  <c r="X237" i="52"/>
  <c r="X39" i="13" s="1"/>
  <c r="AU43" i="9"/>
  <c r="AV43" i="9" s="1"/>
  <c r="Z100" i="13"/>
  <c r="Q240" i="35"/>
  <c r="Q156" i="13" s="1"/>
  <c r="T270" i="35"/>
  <c r="AU97" i="9"/>
  <c r="AV97" i="9" s="1"/>
  <c r="P245" i="35"/>
  <c r="P160" i="13" s="1"/>
  <c r="S240" i="35"/>
  <c r="S156" i="13" s="1"/>
  <c r="W237" i="52"/>
  <c r="W39" i="13" s="1"/>
  <c r="Z237" i="52"/>
  <c r="Z39" i="13" s="1"/>
  <c r="N49" i="9"/>
  <c r="O49" i="9" s="1"/>
  <c r="P49" i="9" s="1"/>
  <c r="V245" i="35"/>
  <c r="V160" i="13" s="1"/>
  <c r="N247" i="35"/>
  <c r="N158" i="13" s="1"/>
  <c r="T268" i="30"/>
  <c r="S268" i="48"/>
  <c r="S217" i="13" s="1"/>
  <c r="S237" i="52"/>
  <c r="S39" i="13" s="1"/>
  <c r="U237" i="52"/>
  <c r="U39" i="13" s="1"/>
  <c r="U245" i="35"/>
  <c r="U160" i="13" s="1"/>
  <c r="S268" i="30"/>
  <c r="T237" i="52"/>
  <c r="T39" i="13" s="1"/>
  <c r="AS228" i="9"/>
  <c r="U268" i="48"/>
  <c r="U217" i="13" s="1"/>
  <c r="AT101" i="9"/>
  <c r="R237" i="52"/>
  <c r="R39" i="13" s="1"/>
  <c r="W100" i="13"/>
  <c r="AU198" i="9"/>
  <c r="I128" i="56"/>
  <c r="H303" i="56"/>
  <c r="I298" i="56" s="1"/>
  <c r="AV225" i="9"/>
  <c r="AT21" i="9"/>
  <c r="AU21" i="9" s="1"/>
  <c r="AV21" i="9" s="1"/>
  <c r="AT73" i="9"/>
  <c r="Q225" i="9"/>
  <c r="R225" i="9" s="1"/>
  <c r="S225" i="9" s="1"/>
  <c r="T225" i="9" s="1"/>
  <c r="AU47" i="9"/>
  <c r="O73" i="9"/>
  <c r="AU79" i="9"/>
  <c r="AV79" i="9" s="1"/>
  <c r="AT107" i="9"/>
  <c r="AU107" i="9" s="1"/>
  <c r="AS102" i="9"/>
  <c r="AT102" i="9" s="1"/>
  <c r="AV160" i="9"/>
  <c r="AW160" i="9" s="1"/>
  <c r="U270" i="35"/>
  <c r="W268" i="30"/>
  <c r="AT44" i="9"/>
  <c r="AU44" i="9" s="1"/>
  <c r="W268" i="48"/>
  <c r="W217" i="13" s="1"/>
  <c r="AU224" i="9"/>
  <c r="W245" i="35"/>
  <c r="W160" i="13" s="1"/>
  <c r="L289" i="48"/>
  <c r="F17" i="56" s="1"/>
  <c r="I285" i="56" s="1"/>
  <c r="J285" i="56" s="1"/>
  <c r="J287" i="56" s="1"/>
  <c r="W267" i="52"/>
  <c r="Q267" i="52"/>
  <c r="M11" i="6"/>
  <c r="M14" i="6" s="1"/>
  <c r="N14" i="6" s="1"/>
  <c r="O14" i="6" s="1"/>
  <c r="Q14" i="6" s="1"/>
  <c r="M15" i="6" s="1"/>
  <c r="N15" i="6" s="1"/>
  <c r="O15" i="6" s="1"/>
  <c r="Q15" i="6" s="1"/>
  <c r="O267" i="52"/>
  <c r="V267" i="52"/>
  <c r="Y267" i="52"/>
  <c r="S267" i="52"/>
  <c r="L267" i="52"/>
  <c r="L63" i="13"/>
  <c r="L64" i="13" s="1"/>
  <c r="F43" i="33" s="1"/>
  <c r="N267" i="52"/>
  <c r="X267" i="52"/>
  <c r="P267" i="52"/>
  <c r="R267" i="52"/>
  <c r="F34" i="56"/>
  <c r="H94" i="56" s="1"/>
  <c r="Z267" i="52"/>
  <c r="K191" i="52"/>
  <c r="L191" i="52" s="1"/>
  <c r="M191" i="52" s="1"/>
  <c r="M194" i="52" s="1"/>
  <c r="T267" i="52"/>
  <c r="U267" i="52"/>
  <c r="M267" i="52"/>
  <c r="Q20" i="9"/>
  <c r="R20" i="9" s="1"/>
  <c r="AT16" i="9"/>
  <c r="AU226" i="9"/>
  <c r="AV226" i="9" s="1"/>
  <c r="AW226" i="9" s="1"/>
  <c r="O268" i="30"/>
  <c r="N246" i="30"/>
  <c r="N100" i="13" s="1"/>
  <c r="P247" i="35"/>
  <c r="P158" i="13" s="1"/>
  <c r="Q245" i="35"/>
  <c r="Q160" i="13" s="1"/>
  <c r="AU20" i="9"/>
  <c r="AV20" i="9" s="1"/>
  <c r="AU14" i="6"/>
  <c r="AW14" i="6" s="1"/>
  <c r="AS15" i="6" s="1"/>
  <c r="L246" i="30"/>
  <c r="L100" i="13" s="1"/>
  <c r="O17" i="9"/>
  <c r="P17" i="9" s="1"/>
  <c r="P105" i="9"/>
  <c r="Q105" i="9" s="1"/>
  <c r="R105" i="9" s="1"/>
  <c r="AU105" i="9"/>
  <c r="L245" i="35"/>
  <c r="L160" i="13" s="1"/>
  <c r="O190" i="9"/>
  <c r="P190" i="9" s="1"/>
  <c r="AT164" i="9"/>
  <c r="AU164" i="9" s="1"/>
  <c r="AT197" i="9"/>
  <c r="AU197" i="9" s="1"/>
  <c r="V247" i="35"/>
  <c r="V158" i="13" s="1"/>
  <c r="Q97" i="9"/>
  <c r="R97" i="9" s="1"/>
  <c r="AT165" i="9"/>
  <c r="T245" i="35"/>
  <c r="T160" i="13" s="1"/>
  <c r="P164" i="9"/>
  <c r="Q164" i="9" s="1"/>
  <c r="O16" i="9"/>
  <c r="P16" i="9" s="1"/>
  <c r="Q16" i="9" s="1"/>
  <c r="R16" i="9" s="1"/>
  <c r="P98" i="9"/>
  <c r="Q98" i="9" s="1"/>
  <c r="T100" i="13"/>
  <c r="AU163" i="9"/>
  <c r="AV163" i="9" s="1"/>
  <c r="AW163" i="9" s="1"/>
  <c r="P223" i="9"/>
  <c r="Q223" i="9" s="1"/>
  <c r="R223" i="9" s="1"/>
  <c r="E142" i="33"/>
  <c r="F142" i="33" s="1"/>
  <c r="X240" i="35"/>
  <c r="X156" i="13" s="1"/>
  <c r="AT41" i="9"/>
  <c r="AU41" i="9" s="1"/>
  <c r="AU131" i="9"/>
  <c r="AV131" i="9" s="1"/>
  <c r="AV106" i="9"/>
  <c r="X245" i="35"/>
  <c r="X160" i="13" s="1"/>
  <c r="Z245" i="35"/>
  <c r="Z160" i="13" s="1"/>
  <c r="AT221" i="9"/>
  <c r="AU221" i="9" s="1"/>
  <c r="AS39" i="9"/>
  <c r="AT191" i="9"/>
  <c r="AU191" i="9" s="1"/>
  <c r="L240" i="35"/>
  <c r="L156" i="13" s="1"/>
  <c r="M240" i="35"/>
  <c r="M156" i="13" s="1"/>
  <c r="AS192" i="9"/>
  <c r="Y268" i="30"/>
  <c r="Y246" i="30"/>
  <c r="Y100" i="13" s="1"/>
  <c r="Z240" i="35"/>
  <c r="Z156" i="13" s="1"/>
  <c r="L270" i="35"/>
  <c r="F13" i="56" s="1"/>
  <c r="I129" i="56" s="1"/>
  <c r="J129" i="56" s="1"/>
  <c r="M158" i="13"/>
  <c r="AU130" i="9"/>
  <c r="AV130" i="9" s="1"/>
  <c r="AT159" i="9"/>
  <c r="P246" i="30"/>
  <c r="P100" i="13" s="1"/>
  <c r="P268" i="30"/>
  <c r="S270" i="35"/>
  <c r="R245" i="35"/>
  <c r="R160" i="13" s="1"/>
  <c r="E149" i="33"/>
  <c r="F149" i="33" s="1"/>
  <c r="O240" i="35"/>
  <c r="O156" i="13" s="1"/>
  <c r="T240" i="35"/>
  <c r="T156" i="13" s="1"/>
  <c r="H186" i="56"/>
  <c r="I181" i="56" s="1"/>
  <c r="I167" i="56"/>
  <c r="I175" i="56" s="1"/>
  <c r="I176" i="56" s="1"/>
  <c r="AS223" i="9"/>
  <c r="AT223" i="9" s="1"/>
  <c r="AU223" i="9" s="1"/>
  <c r="N240" i="35"/>
  <c r="N156" i="13" s="1"/>
  <c r="Q131" i="9"/>
  <c r="R131" i="9" s="1"/>
  <c r="Q268" i="30"/>
  <c r="Q246" i="30"/>
  <c r="Q100" i="13" s="1"/>
  <c r="R240" i="35"/>
  <c r="R156" i="13" s="1"/>
  <c r="Y240" i="35"/>
  <c r="Y156" i="13" s="1"/>
  <c r="AU42" i="9"/>
  <c r="AV42" i="9" s="1"/>
  <c r="O136" i="9"/>
  <c r="P136" i="9" s="1"/>
  <c r="Q268" i="48"/>
  <c r="Q217" i="13" s="1"/>
  <c r="P156" i="9"/>
  <c r="Q156" i="9" s="1"/>
  <c r="R156" i="9" s="1"/>
  <c r="Y245" i="35"/>
  <c r="Y160" i="13" s="1"/>
  <c r="N245" i="35"/>
  <c r="N160" i="13" s="1"/>
  <c r="R289" i="48"/>
  <c r="V240" i="35"/>
  <c r="V156" i="13" s="1"/>
  <c r="U240" i="35"/>
  <c r="U156" i="13" s="1"/>
  <c r="N33" i="9"/>
  <c r="X268" i="30"/>
  <c r="X246" i="30"/>
  <c r="X100" i="13" s="1"/>
  <c r="AT196" i="9"/>
  <c r="AU196" i="9" s="1"/>
  <c r="R77" i="9"/>
  <c r="S77" i="9" s="1"/>
  <c r="T77" i="9" s="1"/>
  <c r="AT156" i="9"/>
  <c r="AU156" i="9" s="1"/>
  <c r="M245" i="35"/>
  <c r="M160" i="13" s="1"/>
  <c r="P240" i="35"/>
  <c r="P156" i="13" s="1"/>
  <c r="U246" i="30"/>
  <c r="U100" i="13" s="1"/>
  <c r="U268" i="30"/>
  <c r="Q43" i="9"/>
  <c r="R43" i="9" s="1"/>
  <c r="K117" i="52"/>
  <c r="M117" i="52" s="1"/>
  <c r="M118" i="52" s="1"/>
  <c r="M66" i="52"/>
  <c r="K153" i="52"/>
  <c r="M153" i="52" s="1"/>
  <c r="O199" i="9"/>
  <c r="AA97" i="13"/>
  <c r="L112" i="13" s="1"/>
  <c r="Z232" i="52"/>
  <c r="W232" i="52"/>
  <c r="V232" i="52"/>
  <c r="S232" i="52"/>
  <c r="T232" i="52"/>
  <c r="O232" i="52"/>
  <c r="Y232" i="52"/>
  <c r="P232" i="52"/>
  <c r="R232" i="52"/>
  <c r="L231" i="52"/>
  <c r="Q232" i="52"/>
  <c r="N232" i="52"/>
  <c r="U232" i="52"/>
  <c r="X232" i="52"/>
  <c r="M231" i="52"/>
  <c r="M216" i="9"/>
  <c r="Q130" i="9"/>
  <c r="K38" i="48"/>
  <c r="M34" i="48"/>
  <c r="O267" i="40"/>
  <c r="Q267" i="40"/>
  <c r="T267" i="40"/>
  <c r="U267" i="40"/>
  <c r="V267" i="40"/>
  <c r="Z267" i="40"/>
  <c r="Y267" i="40"/>
  <c r="S267" i="40"/>
  <c r="X267" i="40"/>
  <c r="L208" i="13"/>
  <c r="L209" i="13" s="1"/>
  <c r="E43" i="33" s="1"/>
  <c r="P267" i="40"/>
  <c r="N267" i="40"/>
  <c r="R267" i="40"/>
  <c r="W267" i="40"/>
  <c r="M267" i="40"/>
  <c r="K191" i="40"/>
  <c r="L191" i="40" s="1"/>
  <c r="M191" i="40" s="1"/>
  <c r="M194" i="40" s="1"/>
  <c r="L267" i="40"/>
  <c r="F33" i="56"/>
  <c r="H55" i="56" s="1"/>
  <c r="BA11" i="6"/>
  <c r="BA14" i="6" s="1"/>
  <c r="N75" i="9"/>
  <c r="O75" i="9" s="1"/>
  <c r="P137" i="9"/>
  <c r="Q137" i="9" s="1"/>
  <c r="AT137" i="9"/>
  <c r="AU137" i="9" s="1"/>
  <c r="L256" i="48"/>
  <c r="M256" i="48"/>
  <c r="AS96" i="9"/>
  <c r="P221" i="9"/>
  <c r="Q221" i="9" s="1"/>
  <c r="AP124" i="9"/>
  <c r="AR34" i="9"/>
  <c r="AS24" i="9"/>
  <c r="AS74" i="9"/>
  <c r="K38" i="40"/>
  <c r="M33" i="40"/>
  <c r="M38" i="40" s="1"/>
  <c r="E155" i="33" s="1"/>
  <c r="O255" i="48"/>
  <c r="M254" i="48"/>
  <c r="U255" i="48"/>
  <c r="V255" i="48"/>
  <c r="Q255" i="48"/>
  <c r="N255" i="48"/>
  <c r="P255" i="48"/>
  <c r="Z255" i="48"/>
  <c r="T255" i="48"/>
  <c r="R255" i="48"/>
  <c r="X255" i="48"/>
  <c r="Y255" i="48"/>
  <c r="W255" i="48"/>
  <c r="L254" i="48"/>
  <c r="S255" i="48"/>
  <c r="M70" i="13"/>
  <c r="AA70" i="13" s="1"/>
  <c r="L84" i="13" s="1"/>
  <c r="J8" i="33" s="1"/>
  <c r="J31" i="33" s="1"/>
  <c r="E107" i="33"/>
  <c r="Q104" i="9"/>
  <c r="R104" i="9" s="1"/>
  <c r="S104" i="9" s="1"/>
  <c r="O40" i="9"/>
  <c r="X241" i="40"/>
  <c r="N241" i="40"/>
  <c r="Q241" i="40"/>
  <c r="E163" i="33"/>
  <c r="O241" i="40"/>
  <c r="T241" i="40"/>
  <c r="Y241" i="40"/>
  <c r="U241" i="40"/>
  <c r="M241" i="40"/>
  <c r="V241" i="40"/>
  <c r="R241" i="40"/>
  <c r="P241" i="40"/>
  <c r="L241" i="40"/>
  <c r="S241" i="40"/>
  <c r="Z241" i="40"/>
  <c r="W241" i="40"/>
  <c r="X220" i="19"/>
  <c r="X202" i="19"/>
  <c r="Y14" i="13" s="1"/>
  <c r="Y199" i="19"/>
  <c r="Z16" i="13" s="1"/>
  <c r="O199" i="19"/>
  <c r="P16" i="13" s="1"/>
  <c r="V199" i="19"/>
  <c r="W16" i="13" s="1"/>
  <c r="S199" i="19"/>
  <c r="T16" i="13" s="1"/>
  <c r="E76" i="33"/>
  <c r="L199" i="19"/>
  <c r="M16" i="13" s="1"/>
  <c r="R199" i="19"/>
  <c r="S16" i="13" s="1"/>
  <c r="P199" i="19"/>
  <c r="Q16" i="13" s="1"/>
  <c r="N199" i="19"/>
  <c r="O16" i="13" s="1"/>
  <c r="K199" i="19"/>
  <c r="L16" i="13" s="1"/>
  <c r="M199" i="19"/>
  <c r="N16" i="13" s="1"/>
  <c r="Q199" i="19"/>
  <c r="R16" i="13" s="1"/>
  <c r="X199" i="19"/>
  <c r="Y16" i="13" s="1"/>
  <c r="T199" i="19"/>
  <c r="U16" i="13" s="1"/>
  <c r="W199" i="19"/>
  <c r="X16" i="13" s="1"/>
  <c r="U199" i="19"/>
  <c r="V16" i="13" s="1"/>
  <c r="N220" i="19"/>
  <c r="N202" i="19"/>
  <c r="O14" i="13" s="1"/>
  <c r="M109" i="52"/>
  <c r="AS167" i="9"/>
  <c r="AA192" i="13"/>
  <c r="X228" i="35"/>
  <c r="X166" i="13" s="1"/>
  <c r="S228" i="35"/>
  <c r="S166" i="13" s="1"/>
  <c r="N228" i="35"/>
  <c r="N166" i="13" s="1"/>
  <c r="M228" i="35"/>
  <c r="M166" i="13" s="1"/>
  <c r="U228" i="35"/>
  <c r="U166" i="13" s="1"/>
  <c r="V228" i="35"/>
  <c r="V166" i="13" s="1"/>
  <c r="T228" i="35"/>
  <c r="T166" i="13" s="1"/>
  <c r="Q228" i="35"/>
  <c r="Q166" i="13" s="1"/>
  <c r="W228" i="35"/>
  <c r="W166" i="13" s="1"/>
  <c r="P228" i="35"/>
  <c r="P166" i="13" s="1"/>
  <c r="O228" i="35"/>
  <c r="O166" i="13" s="1"/>
  <c r="L228" i="35"/>
  <c r="L166" i="13" s="1"/>
  <c r="Y228" i="35"/>
  <c r="Y166" i="13" s="1"/>
  <c r="Z228" i="35"/>
  <c r="Z166" i="13" s="1"/>
  <c r="R228" i="35"/>
  <c r="R166" i="13" s="1"/>
  <c r="P197" i="9"/>
  <c r="S223" i="30"/>
  <c r="W223" i="30"/>
  <c r="N223" i="30"/>
  <c r="T223" i="30"/>
  <c r="P223" i="30"/>
  <c r="Y223" i="30"/>
  <c r="R223" i="30"/>
  <c r="U223" i="30"/>
  <c r="O223" i="30"/>
  <c r="Q223" i="30"/>
  <c r="V223" i="30"/>
  <c r="Z223" i="30"/>
  <c r="X223" i="30"/>
  <c r="M223" i="30"/>
  <c r="L223" i="30"/>
  <c r="M127" i="48"/>
  <c r="P193" i="9"/>
  <c r="P44" i="9"/>
  <c r="P224" i="9"/>
  <c r="N74" i="9"/>
  <c r="O74" i="9" s="1"/>
  <c r="K223" i="48"/>
  <c r="M223" i="48" s="1"/>
  <c r="M225" i="48" s="1"/>
  <c r="K81" i="48"/>
  <c r="M81" i="48" s="1"/>
  <c r="D16" i="25"/>
  <c r="D17" i="25" s="1"/>
  <c r="D18" i="25" s="1"/>
  <c r="L80" i="19"/>
  <c r="AS19" i="9"/>
  <c r="AT19" i="9" s="1"/>
  <c r="P46" i="9"/>
  <c r="Q129" i="9"/>
  <c r="O165" i="9"/>
  <c r="M38" i="35"/>
  <c r="W224" i="35"/>
  <c r="O224" i="35"/>
  <c r="Q224" i="35"/>
  <c r="L224" i="35"/>
  <c r="Y224" i="35"/>
  <c r="Z224" i="35"/>
  <c r="R224" i="35"/>
  <c r="N224" i="35"/>
  <c r="X224" i="35"/>
  <c r="P224" i="35"/>
  <c r="M224" i="35"/>
  <c r="U224" i="35"/>
  <c r="V224" i="35"/>
  <c r="S224" i="35"/>
  <c r="T224" i="35"/>
  <c r="M255" i="48"/>
  <c r="W256" i="48"/>
  <c r="P256" i="48"/>
  <c r="S256" i="48"/>
  <c r="N256" i="48"/>
  <c r="T256" i="48"/>
  <c r="Q256" i="48"/>
  <c r="Z256" i="48"/>
  <c r="X256" i="48"/>
  <c r="O256" i="48"/>
  <c r="R256" i="48"/>
  <c r="V256" i="48"/>
  <c r="U256" i="48"/>
  <c r="Y256" i="48"/>
  <c r="L255" i="48"/>
  <c r="O18" i="9"/>
  <c r="P18" i="9" s="1"/>
  <c r="P15" i="9"/>
  <c r="AA214" i="13"/>
  <c r="L229" i="13" s="1"/>
  <c r="M170" i="48"/>
  <c r="O166" i="9"/>
  <c r="Q162" i="9"/>
  <c r="P41" i="9"/>
  <c r="Q41" i="9" s="1"/>
  <c r="AS78" i="9"/>
  <c r="Q231" i="52"/>
  <c r="S231" i="52"/>
  <c r="Y231" i="52"/>
  <c r="V231" i="52"/>
  <c r="M230" i="52"/>
  <c r="T231" i="52"/>
  <c r="N231" i="52"/>
  <c r="X231" i="52"/>
  <c r="W231" i="52"/>
  <c r="Z231" i="52"/>
  <c r="U231" i="52"/>
  <c r="R231" i="52"/>
  <c r="O231" i="52"/>
  <c r="P231" i="52"/>
  <c r="L230" i="52"/>
  <c r="F14" i="6"/>
  <c r="G14" i="6" s="1"/>
  <c r="I14" i="6" s="1"/>
  <c r="E15" i="6" s="1"/>
  <c r="V220" i="19"/>
  <c r="V202" i="19"/>
  <c r="W14" i="13" s="1"/>
  <c r="N48" i="9"/>
  <c r="AA11" i="13"/>
  <c r="L26" i="13" s="1"/>
  <c r="AP217" i="9"/>
  <c r="Q161" i="9"/>
  <c r="R161" i="9" s="1"/>
  <c r="E141" i="33"/>
  <c r="T239" i="35"/>
  <c r="T155" i="13" s="1"/>
  <c r="W239" i="35"/>
  <c r="W155" i="13" s="1"/>
  <c r="X239" i="35"/>
  <c r="X155" i="13" s="1"/>
  <c r="L239" i="35"/>
  <c r="L155" i="13" s="1"/>
  <c r="V239" i="35"/>
  <c r="V155" i="13" s="1"/>
  <c r="S239" i="35"/>
  <c r="S155" i="13" s="1"/>
  <c r="N239" i="35"/>
  <c r="N155" i="13" s="1"/>
  <c r="U239" i="35"/>
  <c r="U155" i="13" s="1"/>
  <c r="R239" i="35"/>
  <c r="R155" i="13" s="1"/>
  <c r="M239" i="35"/>
  <c r="M155" i="13" s="1"/>
  <c r="O239" i="35"/>
  <c r="O155" i="13" s="1"/>
  <c r="Q239" i="35"/>
  <c r="Q155" i="13" s="1"/>
  <c r="P239" i="35"/>
  <c r="P155" i="13" s="1"/>
  <c r="Y239" i="35"/>
  <c r="Y155" i="13" s="1"/>
  <c r="Z239" i="35"/>
  <c r="Z155" i="13" s="1"/>
  <c r="I337" i="56"/>
  <c r="AL15" i="6"/>
  <c r="AM15" i="6" s="1"/>
  <c r="AO15" i="6" s="1"/>
  <c r="K33" i="30"/>
  <c r="K149" i="30"/>
  <c r="M149" i="30" s="1"/>
  <c r="I182" i="56"/>
  <c r="J168" i="56"/>
  <c r="I170" i="56"/>
  <c r="F150" i="33"/>
  <c r="M220" i="19"/>
  <c r="M202" i="19"/>
  <c r="N14" i="13" s="1"/>
  <c r="K38" i="52"/>
  <c r="M33" i="52"/>
  <c r="M38" i="52" s="1"/>
  <c r="E82" i="33" s="1"/>
  <c r="M123" i="9"/>
  <c r="N96" i="9"/>
  <c r="AA105" i="13"/>
  <c r="S230" i="40"/>
  <c r="Q230" i="40"/>
  <c r="M154" i="40"/>
  <c r="V230" i="40"/>
  <c r="W230" i="40"/>
  <c r="N230" i="40"/>
  <c r="P230" i="40"/>
  <c r="T230" i="40"/>
  <c r="X230" i="40"/>
  <c r="Y230" i="40"/>
  <c r="Z230" i="40"/>
  <c r="R230" i="40"/>
  <c r="O230" i="40"/>
  <c r="U230" i="40"/>
  <c r="AS40" i="9"/>
  <c r="AT40" i="9" s="1"/>
  <c r="U202" i="19"/>
  <c r="V14" i="13" s="1"/>
  <c r="U220" i="19"/>
  <c r="O14" i="9"/>
  <c r="P14" i="9" s="1"/>
  <c r="F136" i="33"/>
  <c r="S235" i="35"/>
  <c r="M235" i="35"/>
  <c r="M161" i="13" s="1"/>
  <c r="X235" i="35"/>
  <c r="U235" i="35"/>
  <c r="T235" i="35"/>
  <c r="Q235" i="35"/>
  <c r="W235" i="35"/>
  <c r="V235" i="35"/>
  <c r="P235" i="35"/>
  <c r="Y235" i="35"/>
  <c r="R235" i="35"/>
  <c r="N235" i="35"/>
  <c r="O235" i="35"/>
  <c r="Z235" i="35"/>
  <c r="L235" i="35"/>
  <c r="L161" i="13" s="1"/>
  <c r="Y232" i="30"/>
  <c r="Z232" i="30"/>
  <c r="P232" i="30"/>
  <c r="N232" i="30"/>
  <c r="S232" i="30"/>
  <c r="R232" i="30"/>
  <c r="T232" i="30"/>
  <c r="W232" i="30"/>
  <c r="V232" i="30"/>
  <c r="Q232" i="30"/>
  <c r="O232" i="30"/>
  <c r="U232" i="30"/>
  <c r="X232" i="30"/>
  <c r="M38" i="31"/>
  <c r="Z245" i="31"/>
  <c r="O245" i="31"/>
  <c r="X245" i="31"/>
  <c r="U245" i="31"/>
  <c r="L245" i="31"/>
  <c r="N245" i="31"/>
  <c r="M245" i="31"/>
  <c r="Y245" i="31"/>
  <c r="Q245" i="31"/>
  <c r="W245" i="31"/>
  <c r="P245" i="31"/>
  <c r="S245" i="31"/>
  <c r="T245" i="31"/>
  <c r="R245" i="31"/>
  <c r="V245" i="31"/>
  <c r="Q186" i="19"/>
  <c r="X186" i="19"/>
  <c r="L186" i="19"/>
  <c r="P186" i="19"/>
  <c r="K186" i="19"/>
  <c r="N186" i="19"/>
  <c r="R186" i="19"/>
  <c r="U186" i="19"/>
  <c r="W186" i="19"/>
  <c r="T186" i="19"/>
  <c r="D10" i="25"/>
  <c r="D11" i="25" s="1"/>
  <c r="D12" i="25" s="1"/>
  <c r="V186" i="19"/>
  <c r="O186" i="19"/>
  <c r="S186" i="19"/>
  <c r="M186" i="19"/>
  <c r="Y186" i="19"/>
  <c r="J115" i="19"/>
  <c r="O19" i="9"/>
  <c r="P19" i="9" s="1"/>
  <c r="P100" i="9"/>
  <c r="R163" i="9"/>
  <c r="S163" i="9" s="1"/>
  <c r="E143" i="33"/>
  <c r="R242" i="35"/>
  <c r="R157" i="13" s="1"/>
  <c r="U242" i="35"/>
  <c r="U157" i="13" s="1"/>
  <c r="L242" i="35"/>
  <c r="L157" i="13" s="1"/>
  <c r="V242" i="35"/>
  <c r="V157" i="13" s="1"/>
  <c r="S242" i="35"/>
  <c r="S157" i="13" s="1"/>
  <c r="X242" i="35"/>
  <c r="X157" i="13" s="1"/>
  <c r="N242" i="35"/>
  <c r="N157" i="13" s="1"/>
  <c r="Z242" i="35"/>
  <c r="Z157" i="13" s="1"/>
  <c r="Q242" i="35"/>
  <c r="Q157" i="13" s="1"/>
  <c r="T242" i="35"/>
  <c r="T157" i="13" s="1"/>
  <c r="Y242" i="35"/>
  <c r="Y157" i="13" s="1"/>
  <c r="W242" i="35"/>
  <c r="W157" i="13" s="1"/>
  <c r="P242" i="35"/>
  <c r="P157" i="13" s="1"/>
  <c r="O242" i="35"/>
  <c r="O157" i="13" s="1"/>
  <c r="M242" i="35"/>
  <c r="M157" i="13" s="1"/>
  <c r="N167" i="9"/>
  <c r="O167" i="9" s="1"/>
  <c r="AA47" i="13"/>
  <c r="K117" i="40"/>
  <c r="M117" i="40" s="1"/>
  <c r="M118" i="40" s="1"/>
  <c r="K153" i="40"/>
  <c r="M153" i="40" s="1"/>
  <c r="M66" i="40"/>
  <c r="L220" i="19"/>
  <c r="L202" i="19"/>
  <c r="Q21" i="9"/>
  <c r="AA19" i="13"/>
  <c r="M33" i="9"/>
  <c r="O231" i="30"/>
  <c r="R231" i="30"/>
  <c r="Q231" i="30"/>
  <c r="X231" i="30"/>
  <c r="T231" i="30"/>
  <c r="U231" i="30"/>
  <c r="S231" i="30"/>
  <c r="W231" i="30"/>
  <c r="N231" i="30"/>
  <c r="V231" i="30"/>
  <c r="P231" i="30"/>
  <c r="M231" i="30"/>
  <c r="Y231" i="30"/>
  <c r="Z231" i="30"/>
  <c r="L231" i="30"/>
  <c r="O222" i="9"/>
  <c r="M242" i="9"/>
  <c r="D98" i="25"/>
  <c r="D99" i="25" s="1"/>
  <c r="D100" i="25" s="1"/>
  <c r="L80" i="29"/>
  <c r="AD15" i="6"/>
  <c r="AE15" i="6" s="1"/>
  <c r="AG15" i="6" s="1"/>
  <c r="AA131" i="13"/>
  <c r="L144" i="13" s="1"/>
  <c r="L9" i="33" s="1"/>
  <c r="Q106" i="9"/>
  <c r="R106" i="9" s="1"/>
  <c r="S106" i="9" s="1"/>
  <c r="F97" i="33"/>
  <c r="L232" i="40"/>
  <c r="M232" i="40"/>
  <c r="O45" i="9"/>
  <c r="P45" i="9" s="1"/>
  <c r="AA75" i="13"/>
  <c r="F170" i="33"/>
  <c r="P107" i="9"/>
  <c r="Q107" i="9" s="1"/>
  <c r="M109" i="30"/>
  <c r="F106" i="33"/>
  <c r="AP67" i="9"/>
  <c r="AV161" i="9"/>
  <c r="AV129" i="9"/>
  <c r="I259" i="56"/>
  <c r="N192" i="9"/>
  <c r="H225" i="56"/>
  <c r="I206" i="56"/>
  <c r="Y220" i="19"/>
  <c r="Y202" i="19"/>
  <c r="Z14" i="13" s="1"/>
  <c r="W220" i="19"/>
  <c r="W202" i="19"/>
  <c r="X14" i="13" s="1"/>
  <c r="AP34" i="9"/>
  <c r="R194" i="9"/>
  <c r="AP243" i="9"/>
  <c r="F112" i="33"/>
  <c r="O236" i="35"/>
  <c r="N236" i="35"/>
  <c r="T236" i="35"/>
  <c r="P236" i="35"/>
  <c r="Q236" i="35"/>
  <c r="X236" i="35"/>
  <c r="U236" i="35"/>
  <c r="V236" i="35"/>
  <c r="S236" i="35"/>
  <c r="Y236" i="35"/>
  <c r="R236" i="35"/>
  <c r="Z236" i="35"/>
  <c r="W236" i="35"/>
  <c r="M91" i="9"/>
  <c r="P202" i="19"/>
  <c r="Q14" i="13" s="1"/>
  <c r="P220" i="19"/>
  <c r="N99" i="9"/>
  <c r="O99" i="9" s="1"/>
  <c r="X246" i="48"/>
  <c r="P246" i="48"/>
  <c r="R246" i="48"/>
  <c r="T246" i="48"/>
  <c r="O246" i="48"/>
  <c r="L246" i="48"/>
  <c r="S246" i="48"/>
  <c r="Z246" i="48"/>
  <c r="M246" i="48"/>
  <c r="N246" i="48"/>
  <c r="U246" i="48"/>
  <c r="Q246" i="48"/>
  <c r="V246" i="48"/>
  <c r="Y246" i="48"/>
  <c r="W246" i="48"/>
  <c r="P76" i="9"/>
  <c r="AU15" i="9"/>
  <c r="AT14" i="9"/>
  <c r="AS99" i="9"/>
  <c r="AS48" i="9"/>
  <c r="F67" i="33"/>
  <c r="L232" i="30"/>
  <c r="M232" i="30"/>
  <c r="J324" i="56"/>
  <c r="I338" i="56"/>
  <c r="I340" i="56" s="1"/>
  <c r="I348" i="56" s="1"/>
  <c r="AV104" i="9"/>
  <c r="AA163" i="13"/>
  <c r="N228" i="9"/>
  <c r="AT45" i="9"/>
  <c r="P195" i="9"/>
  <c r="AS75" i="9"/>
  <c r="V15" i="6"/>
  <c r="W15" i="6" s="1"/>
  <c r="Y15" i="6" s="1"/>
  <c r="M66" i="9"/>
  <c r="AT18" i="9"/>
  <c r="O101" i="9"/>
  <c r="P101" i="9" s="1"/>
  <c r="AU76" i="9"/>
  <c r="AS72" i="9"/>
  <c r="AT72" i="9" s="1"/>
  <c r="AA72" i="13"/>
  <c r="L85" i="13" s="1"/>
  <c r="J9" i="33" s="1"/>
  <c r="J32" i="33" s="1"/>
  <c r="AS189" i="9"/>
  <c r="Q42" i="9"/>
  <c r="O72" i="9"/>
  <c r="P72" i="9" s="1"/>
  <c r="K202" i="19"/>
  <c r="L14" i="13" s="1"/>
  <c r="K220" i="19"/>
  <c r="T220" i="19"/>
  <c r="T202" i="19"/>
  <c r="U14" i="13" s="1"/>
  <c r="W231" i="40"/>
  <c r="T231" i="40"/>
  <c r="U231" i="40"/>
  <c r="N231" i="40"/>
  <c r="O231" i="40"/>
  <c r="Z231" i="40"/>
  <c r="M230" i="40"/>
  <c r="Q231" i="40"/>
  <c r="P231" i="40"/>
  <c r="S231" i="40"/>
  <c r="V231" i="40"/>
  <c r="R231" i="40"/>
  <c r="X231" i="40"/>
  <c r="Y231" i="40"/>
  <c r="L230" i="40"/>
  <c r="AU135" i="9"/>
  <c r="AV135" i="9" s="1"/>
  <c r="AA222" i="13"/>
  <c r="P191" i="9"/>
  <c r="L250" i="31"/>
  <c r="X250" i="31"/>
  <c r="T250" i="31"/>
  <c r="Z250" i="31"/>
  <c r="Y250" i="31"/>
  <c r="R250" i="31"/>
  <c r="O250" i="31"/>
  <c r="M250" i="31"/>
  <c r="S250" i="31"/>
  <c r="Q250" i="31"/>
  <c r="P250" i="31"/>
  <c r="U250" i="31"/>
  <c r="W250" i="31"/>
  <c r="V250" i="31"/>
  <c r="N250" i="31"/>
  <c r="O220" i="19"/>
  <c r="O202" i="19"/>
  <c r="P14" i="13" s="1"/>
  <c r="L231" i="40"/>
  <c r="O232" i="40"/>
  <c r="N232" i="40"/>
  <c r="Q232" i="40"/>
  <c r="M231" i="40"/>
  <c r="Y232" i="40"/>
  <c r="P232" i="40"/>
  <c r="W232" i="40"/>
  <c r="U232" i="40"/>
  <c r="S232" i="40"/>
  <c r="R232" i="40"/>
  <c r="T232" i="40"/>
  <c r="X232" i="40"/>
  <c r="V232" i="40"/>
  <c r="Z232" i="40"/>
  <c r="BJ15" i="6"/>
  <c r="BK15" i="6" s="1"/>
  <c r="BM15" i="6" s="1"/>
  <c r="AA216" i="13"/>
  <c r="O200" i="9"/>
  <c r="P200" i="9" s="1"/>
  <c r="M247" i="48"/>
  <c r="N247" i="48"/>
  <c r="O247" i="48"/>
  <c r="X247" i="48"/>
  <c r="Y247" i="48"/>
  <c r="P247" i="48"/>
  <c r="Q247" i="48"/>
  <c r="V247" i="48"/>
  <c r="R247" i="48"/>
  <c r="W247" i="48"/>
  <c r="T247" i="48"/>
  <c r="L247" i="48"/>
  <c r="S247" i="48"/>
  <c r="Z247" i="48"/>
  <c r="U247" i="48"/>
  <c r="R226" i="9"/>
  <c r="P227" i="9"/>
  <c r="O237" i="40"/>
  <c r="O184" i="13" s="1"/>
  <c r="M237" i="40"/>
  <c r="M184" i="13" s="1"/>
  <c r="X237" i="40"/>
  <c r="X184" i="13" s="1"/>
  <c r="Z237" i="40"/>
  <c r="Z184" i="13" s="1"/>
  <c r="Y237" i="40"/>
  <c r="Y184" i="13" s="1"/>
  <c r="W237" i="40"/>
  <c r="W184" i="13" s="1"/>
  <c r="T237" i="40"/>
  <c r="T184" i="13" s="1"/>
  <c r="S237" i="40"/>
  <c r="S184" i="13" s="1"/>
  <c r="P237" i="40"/>
  <c r="P184" i="13" s="1"/>
  <c r="U237" i="40"/>
  <c r="U184" i="13" s="1"/>
  <c r="N237" i="40"/>
  <c r="N184" i="13" s="1"/>
  <c r="Q237" i="40"/>
  <c r="Q184" i="13" s="1"/>
  <c r="L237" i="40"/>
  <c r="L184" i="13" s="1"/>
  <c r="V237" i="40"/>
  <c r="V184" i="13" s="1"/>
  <c r="R237" i="40"/>
  <c r="R184" i="13" s="1"/>
  <c r="V186" i="29"/>
  <c r="Y186" i="29"/>
  <c r="U186" i="29"/>
  <c r="X186" i="29"/>
  <c r="M186" i="29"/>
  <c r="W186" i="29"/>
  <c r="R186" i="29"/>
  <c r="L186" i="29"/>
  <c r="D92" i="25"/>
  <c r="D93" i="25" s="1"/>
  <c r="D94" i="25" s="1"/>
  <c r="S186" i="29"/>
  <c r="Q186" i="29"/>
  <c r="O186" i="29"/>
  <c r="P186" i="29"/>
  <c r="N186" i="29"/>
  <c r="T186" i="29"/>
  <c r="K186" i="29"/>
  <c r="J115" i="29"/>
  <c r="F16" i="56"/>
  <c r="I246" i="56" s="1"/>
  <c r="Z219" i="29"/>
  <c r="AT222" i="9"/>
  <c r="AP92" i="9"/>
  <c r="N78" i="9"/>
  <c r="Q202" i="19"/>
  <c r="R14" i="13" s="1"/>
  <c r="Q220" i="19"/>
  <c r="M66" i="30"/>
  <c r="K117" i="30"/>
  <c r="M117" i="30" s="1"/>
  <c r="M118" i="30" s="1"/>
  <c r="K153" i="30"/>
  <c r="M153" i="30" s="1"/>
  <c r="Y224" i="30"/>
  <c r="V224" i="30"/>
  <c r="O224" i="30"/>
  <c r="U224" i="30"/>
  <c r="M224" i="30"/>
  <c r="P224" i="30"/>
  <c r="S224" i="30"/>
  <c r="X224" i="30"/>
  <c r="Z224" i="30"/>
  <c r="T224" i="30"/>
  <c r="N224" i="30"/>
  <c r="L224" i="30"/>
  <c r="Q224" i="30"/>
  <c r="R224" i="30"/>
  <c r="W224" i="30"/>
  <c r="AT103" i="9"/>
  <c r="F135" i="33"/>
  <c r="N150" i="9"/>
  <c r="AA67" i="13"/>
  <c r="L82" i="13" s="1"/>
  <c r="I331" i="56"/>
  <c r="I332" i="56" s="1"/>
  <c r="I326" i="56"/>
  <c r="I328" i="56" s="1"/>
  <c r="J323" i="56" s="1"/>
  <c r="P198" i="9"/>
  <c r="I142" i="56"/>
  <c r="N39" i="9"/>
  <c r="O102" i="9"/>
  <c r="AS50" i="9"/>
  <c r="AT50" i="9" s="1"/>
  <c r="P47" i="9"/>
  <c r="AU100" i="9"/>
  <c r="AV77" i="9"/>
  <c r="AW77" i="9" s="1"/>
  <c r="O103" i="9"/>
  <c r="M109" i="40"/>
  <c r="Q79" i="9"/>
  <c r="N189" i="9"/>
  <c r="AS229" i="9"/>
  <c r="N229" i="9"/>
  <c r="S220" i="19"/>
  <c r="S202" i="19"/>
  <c r="T14" i="13" s="1"/>
  <c r="R220" i="19"/>
  <c r="R202" i="19"/>
  <c r="S14" i="13" s="1"/>
  <c r="L232" i="52"/>
  <c r="M232" i="52"/>
  <c r="R160" i="9"/>
  <c r="S160" i="9" s="1"/>
  <c r="T160" i="9" s="1"/>
  <c r="Q230" i="52"/>
  <c r="R230" i="52"/>
  <c r="S230" i="52"/>
  <c r="Y230" i="52"/>
  <c r="T230" i="52"/>
  <c r="X230" i="52"/>
  <c r="Z230" i="52"/>
  <c r="W230" i="52"/>
  <c r="U230" i="52"/>
  <c r="V230" i="52"/>
  <c r="N230" i="52"/>
  <c r="O230" i="52"/>
  <c r="P230" i="52"/>
  <c r="M154" i="52"/>
  <c r="Q135" i="9"/>
  <c r="O50" i="9"/>
  <c r="O159" i="9"/>
  <c r="L249" i="31" l="1"/>
  <c r="L137" i="13" s="1"/>
  <c r="L48" i="33"/>
  <c r="Z249" i="31"/>
  <c r="Z137" i="13" s="1"/>
  <c r="S249" i="31"/>
  <c r="S137" i="13" s="1"/>
  <c r="S138" i="13" s="1"/>
  <c r="W249" i="31"/>
  <c r="W137" i="13" s="1"/>
  <c r="P249" i="31"/>
  <c r="P137" i="13" s="1"/>
  <c r="N249" i="31"/>
  <c r="N252" i="31" s="1"/>
  <c r="N259" i="31" s="1"/>
  <c r="N271" i="31" s="1"/>
  <c r="Y249" i="31"/>
  <c r="Y137" i="13" s="1"/>
  <c r="Q249" i="31"/>
  <c r="Q252" i="31" s="1"/>
  <c r="Q259" i="31" s="1"/>
  <c r="Q271" i="31" s="1"/>
  <c r="M249" i="31"/>
  <c r="M252" i="31" s="1"/>
  <c r="M259" i="31" s="1"/>
  <c r="M271" i="31" s="1"/>
  <c r="V249" i="31"/>
  <c r="V137" i="13" s="1"/>
  <c r="T249" i="31"/>
  <c r="T252" i="31" s="1"/>
  <c r="T259" i="31" s="1"/>
  <c r="T271" i="31" s="1"/>
  <c r="X249" i="31"/>
  <c r="X252" i="31" s="1"/>
  <c r="X259" i="31" s="1"/>
  <c r="X271" i="31" s="1"/>
  <c r="U249" i="31"/>
  <c r="U137" i="13" s="1"/>
  <c r="O249" i="31"/>
  <c r="O252" i="31" s="1"/>
  <c r="O259" i="31" s="1"/>
  <c r="O271" i="31" s="1"/>
  <c r="AX132" i="9"/>
  <c r="AY132" i="9" s="1"/>
  <c r="N133" i="13"/>
  <c r="N136" i="13" s="1"/>
  <c r="X133" i="13"/>
  <c r="X136" i="13" s="1"/>
  <c r="AX133" i="9"/>
  <c r="AY133" i="9" s="1"/>
  <c r="T132" i="9"/>
  <c r="U132" i="9" s="1"/>
  <c r="V132" i="9" s="1"/>
  <c r="T133" i="9"/>
  <c r="U133" i="9" s="1"/>
  <c r="Q133" i="13"/>
  <c r="Q136" i="13" s="1"/>
  <c r="T133" i="13"/>
  <c r="T136" i="13" s="1"/>
  <c r="L133" i="13"/>
  <c r="L136" i="13" s="1"/>
  <c r="W133" i="13"/>
  <c r="W136" i="13" s="1"/>
  <c r="P133" i="13"/>
  <c r="P136" i="13" s="1"/>
  <c r="O133" i="13"/>
  <c r="O136" i="13" s="1"/>
  <c r="V133" i="13"/>
  <c r="V136" i="13" s="1"/>
  <c r="Y133" i="13"/>
  <c r="Y136" i="13" s="1"/>
  <c r="U133" i="13"/>
  <c r="U136" i="13" s="1"/>
  <c r="AA129" i="13"/>
  <c r="L143" i="13" s="1"/>
  <c r="L8" i="33" s="1"/>
  <c r="L31" i="33" s="1"/>
  <c r="Z133" i="13"/>
  <c r="Z136" i="13" s="1"/>
  <c r="AV134" i="9"/>
  <c r="AW134" i="9" s="1"/>
  <c r="AU18" i="9"/>
  <c r="AV18" i="9" s="1"/>
  <c r="AV193" i="9"/>
  <c r="AA219" i="13"/>
  <c r="L232" i="13" s="1"/>
  <c r="K9" i="33" s="1"/>
  <c r="K32" i="33" s="1"/>
  <c r="AV195" i="9"/>
  <c r="R164" i="9"/>
  <c r="S164" i="9" s="1"/>
  <c r="AV98" i="9"/>
  <c r="AW98" i="9" s="1"/>
  <c r="AV46" i="9"/>
  <c r="AW20" i="9"/>
  <c r="AX20" i="9" s="1"/>
  <c r="M100" i="13"/>
  <c r="AA100" i="13" s="1"/>
  <c r="L114" i="13" s="1"/>
  <c r="H8" i="33" s="1"/>
  <c r="H31" i="33" s="1"/>
  <c r="AA102" i="13"/>
  <c r="L115" i="13" s="1"/>
  <c r="H9" i="33" s="1"/>
  <c r="H32" i="33" s="1"/>
  <c r="M217" i="13"/>
  <c r="AA217" i="13" s="1"/>
  <c r="L231" i="13" s="1"/>
  <c r="K8" i="33" s="1"/>
  <c r="K31" i="33" s="1"/>
  <c r="M133" i="13"/>
  <c r="M136" i="13" s="1"/>
  <c r="AU103" i="9"/>
  <c r="S230" i="35"/>
  <c r="S237" i="35" s="1"/>
  <c r="S249" i="35" s="1"/>
  <c r="AV196" i="9"/>
  <c r="AW196" i="9" s="1"/>
  <c r="AU136" i="9"/>
  <c r="AV136" i="9" s="1"/>
  <c r="Q49" i="9"/>
  <c r="R49" i="9" s="1"/>
  <c r="AU165" i="9"/>
  <c r="AU199" i="9"/>
  <c r="AA39" i="13"/>
  <c r="L54" i="13" s="1"/>
  <c r="F48" i="33" s="1"/>
  <c r="AA127" i="13"/>
  <c r="L142" i="13" s="1"/>
  <c r="L7" i="33" s="1"/>
  <c r="E137" i="33"/>
  <c r="H134" i="33" s="1"/>
  <c r="AW225" i="9"/>
  <c r="AX225" i="9" s="1"/>
  <c r="AY225" i="9" s="1"/>
  <c r="AZ225" i="9" s="1"/>
  <c r="AV221" i="9"/>
  <c r="AW221" i="9" s="1"/>
  <c r="I292" i="56"/>
  <c r="I293" i="56" s="1"/>
  <c r="Z230" i="35"/>
  <c r="Z237" i="35" s="1"/>
  <c r="Z249" i="35" s="1"/>
  <c r="I172" i="56"/>
  <c r="J167" i="56" s="1"/>
  <c r="AX77" i="9"/>
  <c r="AY77" i="9" s="1"/>
  <c r="AZ77" i="9" s="1"/>
  <c r="I299" i="56"/>
  <c r="I301" i="56" s="1"/>
  <c r="I309" i="56" s="1"/>
  <c r="AU166" i="9"/>
  <c r="AU14" i="9"/>
  <c r="AV14" i="9" s="1"/>
  <c r="AV197" i="9"/>
  <c r="N183" i="9"/>
  <c r="AV105" i="9"/>
  <c r="AW105" i="9" s="1"/>
  <c r="AX105" i="9" s="1"/>
  <c r="AW131" i="9"/>
  <c r="AX131" i="9" s="1"/>
  <c r="I287" i="56"/>
  <c r="I289" i="56" s="1"/>
  <c r="J284" i="56" s="1"/>
  <c r="T230" i="35"/>
  <c r="T237" i="35" s="1"/>
  <c r="T249" i="35" s="1"/>
  <c r="R230" i="35"/>
  <c r="R237" i="35" s="1"/>
  <c r="R249" i="35" s="1"/>
  <c r="AW43" i="9"/>
  <c r="AX43" i="9" s="1"/>
  <c r="AT49" i="9"/>
  <c r="AU49" i="9" s="1"/>
  <c r="AV49" i="9" s="1"/>
  <c r="P73" i="9"/>
  <c r="Q73" i="9" s="1"/>
  <c r="R73" i="9" s="1"/>
  <c r="AT229" i="9"/>
  <c r="AW104" i="9"/>
  <c r="AX104" i="9" s="1"/>
  <c r="AY104" i="9" s="1"/>
  <c r="AU16" i="9"/>
  <c r="AV16" i="9" s="1"/>
  <c r="AW16" i="9" s="1"/>
  <c r="AX16" i="9" s="1"/>
  <c r="AU17" i="9"/>
  <c r="AV17" i="9" s="1"/>
  <c r="AW129" i="9"/>
  <c r="V230" i="35"/>
  <c r="V237" i="35" s="1"/>
  <c r="V249" i="35" s="1"/>
  <c r="AU190" i="9"/>
  <c r="AV190" i="9" s="1"/>
  <c r="S20" i="9"/>
  <c r="T20" i="9" s="1"/>
  <c r="AV224" i="9"/>
  <c r="AX226" i="9"/>
  <c r="F137" i="33"/>
  <c r="AV41" i="9"/>
  <c r="AW41" i="9" s="1"/>
  <c r="AU73" i="9"/>
  <c r="AV100" i="9"/>
  <c r="Q17" i="9"/>
  <c r="R17" i="9" s="1"/>
  <c r="R161" i="13"/>
  <c r="R162" i="13" s="1"/>
  <c r="R165" i="13" s="1"/>
  <c r="R167" i="13" s="1"/>
  <c r="AA156" i="13"/>
  <c r="R268" i="52"/>
  <c r="R246" i="52"/>
  <c r="R42" i="13" s="1"/>
  <c r="V268" i="52"/>
  <c r="V246" i="52"/>
  <c r="V42" i="13" s="1"/>
  <c r="S131" i="9"/>
  <c r="T131" i="9" s="1"/>
  <c r="P246" i="52"/>
  <c r="P42" i="13" s="1"/>
  <c r="P268" i="52"/>
  <c r="O268" i="52"/>
  <c r="O246" i="52"/>
  <c r="O42" i="13" s="1"/>
  <c r="AU50" i="9"/>
  <c r="AT99" i="9"/>
  <c r="AU99" i="9" s="1"/>
  <c r="M268" i="52"/>
  <c r="M246" i="52"/>
  <c r="X268" i="52"/>
  <c r="X246" i="52"/>
  <c r="X42" i="13" s="1"/>
  <c r="N268" i="52"/>
  <c r="N246" i="52"/>
  <c r="N42" i="13" s="1"/>
  <c r="T268" i="52"/>
  <c r="T246" i="52"/>
  <c r="T42" i="13" s="1"/>
  <c r="AT15" i="6"/>
  <c r="AU15" i="6" s="1"/>
  <c r="AW15" i="6" s="1"/>
  <c r="AS16" i="6" s="1"/>
  <c r="S161" i="13"/>
  <c r="S162" i="13" s="1"/>
  <c r="S165" i="13" s="1"/>
  <c r="S167" i="13" s="1"/>
  <c r="AW97" i="9"/>
  <c r="AX97" i="9" s="1"/>
  <c r="S243" i="52"/>
  <c r="S44" i="13" s="1"/>
  <c r="R243" i="52"/>
  <c r="R44" i="13" s="1"/>
  <c r="V243" i="52"/>
  <c r="V44" i="13" s="1"/>
  <c r="U243" i="52"/>
  <c r="U44" i="13" s="1"/>
  <c r="Q243" i="52"/>
  <c r="Q44" i="13" s="1"/>
  <c r="N243" i="52"/>
  <c r="N44" i="13" s="1"/>
  <c r="O243" i="52"/>
  <c r="O44" i="13" s="1"/>
  <c r="T243" i="52"/>
  <c r="T44" i="13" s="1"/>
  <c r="M243" i="52"/>
  <c r="M44" i="13" s="1"/>
  <c r="X243" i="52"/>
  <c r="X44" i="13" s="1"/>
  <c r="P243" i="52"/>
  <c r="P44" i="13" s="1"/>
  <c r="Z243" i="52"/>
  <c r="Z44" i="13" s="1"/>
  <c r="W243" i="52"/>
  <c r="W44" i="13" s="1"/>
  <c r="E90" i="33"/>
  <c r="F90" i="33" s="1"/>
  <c r="L243" i="52"/>
  <c r="L44" i="13" s="1"/>
  <c r="Y243" i="52"/>
  <c r="Y44" i="13" s="1"/>
  <c r="L268" i="52"/>
  <c r="F12" i="56" s="1"/>
  <c r="I90" i="56" s="1"/>
  <c r="L246" i="52"/>
  <c r="L42" i="13" s="1"/>
  <c r="Q268" i="52"/>
  <c r="Q246" i="52"/>
  <c r="Q42" i="13" s="1"/>
  <c r="I136" i="56"/>
  <c r="I137" i="56" s="1"/>
  <c r="AA160" i="13"/>
  <c r="L173" i="13" s="1"/>
  <c r="G9" i="33" s="1"/>
  <c r="G32" i="33" s="1"/>
  <c r="AV164" i="9"/>
  <c r="AW164" i="9" s="1"/>
  <c r="Z246" i="52"/>
  <c r="Z42" i="13" s="1"/>
  <c r="Z268" i="52"/>
  <c r="S268" i="52"/>
  <c r="S246" i="52"/>
  <c r="S42" i="13" s="1"/>
  <c r="U268" i="52"/>
  <c r="U246" i="52"/>
  <c r="U42" i="13" s="1"/>
  <c r="AU40" i="9"/>
  <c r="W246" i="52"/>
  <c r="W42" i="13" s="1"/>
  <c r="W268" i="52"/>
  <c r="AU72" i="9"/>
  <c r="AV72" i="9" s="1"/>
  <c r="AU101" i="9"/>
  <c r="AV101" i="9" s="1"/>
  <c r="AA158" i="13"/>
  <c r="L172" i="13" s="1"/>
  <c r="G8" i="33" s="1"/>
  <c r="G31" i="33" s="1"/>
  <c r="Q190" i="9"/>
  <c r="R190" i="9" s="1"/>
  <c r="H108" i="56"/>
  <c r="I89" i="56"/>
  <c r="Y246" i="52"/>
  <c r="Y42" i="13" s="1"/>
  <c r="Y268" i="52"/>
  <c r="S43" i="9"/>
  <c r="T43" i="9" s="1"/>
  <c r="U43" i="9" s="1"/>
  <c r="P150" i="9"/>
  <c r="Q136" i="9"/>
  <c r="R136" i="9" s="1"/>
  <c r="R137" i="9"/>
  <c r="S137" i="9" s="1"/>
  <c r="T137" i="9" s="1"/>
  <c r="X161" i="13"/>
  <c r="X162" i="13" s="1"/>
  <c r="X165" i="13" s="1"/>
  <c r="X167" i="13" s="1"/>
  <c r="AU200" i="9"/>
  <c r="AV200" i="9" s="1"/>
  <c r="I143" i="56"/>
  <c r="I145" i="56" s="1"/>
  <c r="AV223" i="9"/>
  <c r="AW223" i="9" s="1"/>
  <c r="AX223" i="9" s="1"/>
  <c r="AV107" i="9"/>
  <c r="AW107" i="9" s="1"/>
  <c r="M230" i="35"/>
  <c r="M237" i="35" s="1"/>
  <c r="O230" i="35"/>
  <c r="O237" i="35" s="1"/>
  <c r="O249" i="35" s="1"/>
  <c r="AV156" i="9"/>
  <c r="AW156" i="9" s="1"/>
  <c r="AX156" i="9" s="1"/>
  <c r="O150" i="9"/>
  <c r="R42" i="9"/>
  <c r="S42" i="9" s="1"/>
  <c r="L230" i="35"/>
  <c r="L237" i="35" s="1"/>
  <c r="L249" i="35" s="1"/>
  <c r="AU45" i="9"/>
  <c r="AV45" i="9" s="1"/>
  <c r="I334" i="56"/>
  <c r="I345" i="56" s="1"/>
  <c r="AW42" i="9"/>
  <c r="AT75" i="9"/>
  <c r="AU75" i="9" s="1"/>
  <c r="AW162" i="9"/>
  <c r="I178" i="56"/>
  <c r="I189" i="56" s="1"/>
  <c r="AV191" i="9"/>
  <c r="I131" i="56"/>
  <c r="X230" i="35"/>
  <c r="X237" i="35" s="1"/>
  <c r="X249" i="35" s="1"/>
  <c r="W230" i="35"/>
  <c r="W237" i="35" s="1"/>
  <c r="W249" i="35" s="1"/>
  <c r="AX163" i="9"/>
  <c r="AY163" i="9" s="1"/>
  <c r="AW161" i="9"/>
  <c r="AX161" i="9" s="1"/>
  <c r="T161" i="13"/>
  <c r="T162" i="13" s="1"/>
  <c r="T165" i="13" s="1"/>
  <c r="T167" i="13" s="1"/>
  <c r="N230" i="35"/>
  <c r="N237" i="35" s="1"/>
  <c r="N249" i="35" s="1"/>
  <c r="S105" i="9"/>
  <c r="AV137" i="9"/>
  <c r="AW137" i="9" s="1"/>
  <c r="N66" i="9"/>
  <c r="AT39" i="9"/>
  <c r="O39" i="9"/>
  <c r="U160" i="9"/>
  <c r="AV47" i="9"/>
  <c r="Q47" i="9"/>
  <c r="R47" i="9" s="1"/>
  <c r="I349" i="56"/>
  <c r="O78" i="9"/>
  <c r="P78" i="9" s="1"/>
  <c r="U78" i="13"/>
  <c r="T187" i="29"/>
  <c r="R187" i="29"/>
  <c r="S78" i="13"/>
  <c r="P99" i="9"/>
  <c r="Q99" i="9" s="1"/>
  <c r="R107" i="9"/>
  <c r="S107" i="9" s="1"/>
  <c r="Z233" i="52"/>
  <c r="Z45" i="13" s="1"/>
  <c r="N233" i="52"/>
  <c r="N45" i="13" s="1"/>
  <c r="Q233" i="52"/>
  <c r="Q45" i="13" s="1"/>
  <c r="Y233" i="52"/>
  <c r="Y45" i="13" s="1"/>
  <c r="S233" i="52"/>
  <c r="S45" i="13" s="1"/>
  <c r="M233" i="52"/>
  <c r="M45" i="13" s="1"/>
  <c r="V233" i="52"/>
  <c r="V45" i="13" s="1"/>
  <c r="O233" i="52"/>
  <c r="O45" i="13" s="1"/>
  <c r="L233" i="52"/>
  <c r="L45" i="13" s="1"/>
  <c r="W233" i="52"/>
  <c r="W45" i="13" s="1"/>
  <c r="X233" i="52"/>
  <c r="X45" i="13" s="1"/>
  <c r="P233" i="52"/>
  <c r="P45" i="13" s="1"/>
  <c r="U233" i="52"/>
  <c r="U45" i="13" s="1"/>
  <c r="R233" i="52"/>
  <c r="R45" i="13" s="1"/>
  <c r="T233" i="52"/>
  <c r="T45" i="13" s="1"/>
  <c r="K115" i="29"/>
  <c r="L115" i="29"/>
  <c r="L117" i="29" s="1"/>
  <c r="E102" i="33" s="1"/>
  <c r="W78" i="13"/>
  <c r="V187" i="29"/>
  <c r="N187" i="29"/>
  <c r="O78" i="13"/>
  <c r="R196" i="9"/>
  <c r="S16" i="9"/>
  <c r="S161" i="9"/>
  <c r="T161" i="9" s="1"/>
  <c r="E171" i="33"/>
  <c r="M262" i="48"/>
  <c r="M215" i="13" s="1"/>
  <c r="O262" i="48"/>
  <c r="O215" i="13" s="1"/>
  <c r="O221" i="13" s="1"/>
  <c r="O224" i="13" s="1"/>
  <c r="Y262" i="48"/>
  <c r="Y215" i="13" s="1"/>
  <c r="Y221" i="13" s="1"/>
  <c r="Y224" i="13" s="1"/>
  <c r="V262" i="48"/>
  <c r="V215" i="13" s="1"/>
  <c r="V221" i="13" s="1"/>
  <c r="V224" i="13" s="1"/>
  <c r="R262" i="48"/>
  <c r="R215" i="13" s="1"/>
  <c r="R221" i="13" s="1"/>
  <c r="R224" i="13" s="1"/>
  <c r="X262" i="48"/>
  <c r="X215" i="13" s="1"/>
  <c r="X221" i="13" s="1"/>
  <c r="X224" i="13" s="1"/>
  <c r="N262" i="48"/>
  <c r="N215" i="13" s="1"/>
  <c r="N221" i="13" s="1"/>
  <c r="N224" i="13" s="1"/>
  <c r="P262" i="48"/>
  <c r="P215" i="13" s="1"/>
  <c r="P221" i="13" s="1"/>
  <c r="P224" i="13" s="1"/>
  <c r="T262" i="48"/>
  <c r="T215" i="13" s="1"/>
  <c r="T221" i="13" s="1"/>
  <c r="T224" i="13" s="1"/>
  <c r="Z262" i="48"/>
  <c r="Z215" i="13" s="1"/>
  <c r="Z221" i="13" s="1"/>
  <c r="Z224" i="13" s="1"/>
  <c r="W262" i="48"/>
  <c r="W215" i="13" s="1"/>
  <c r="W221" i="13" s="1"/>
  <c r="W224" i="13" s="1"/>
  <c r="S262" i="48"/>
  <c r="S215" i="13" s="1"/>
  <c r="S221" i="13" s="1"/>
  <c r="S224" i="13" s="1"/>
  <c r="U262" i="48"/>
  <c r="U215" i="13" s="1"/>
  <c r="U221" i="13" s="1"/>
  <c r="U224" i="13" s="1"/>
  <c r="L262" i="48"/>
  <c r="L215" i="13" s="1"/>
  <c r="Q262" i="48"/>
  <c r="Q215" i="13" s="1"/>
  <c r="Q221" i="13" s="1"/>
  <c r="Q224" i="13" s="1"/>
  <c r="I260" i="56"/>
  <c r="J246" i="56"/>
  <c r="J248" i="56" s="1"/>
  <c r="I248" i="56"/>
  <c r="I250" i="56" s="1"/>
  <c r="O228" i="9"/>
  <c r="AT228" i="9"/>
  <c r="N242" i="9"/>
  <c r="AT192" i="9"/>
  <c r="O192" i="9"/>
  <c r="X238" i="40"/>
  <c r="X185" i="13" s="1"/>
  <c r="P238" i="40"/>
  <c r="P185" i="13" s="1"/>
  <c r="Y238" i="40"/>
  <c r="Y185" i="13" s="1"/>
  <c r="O238" i="40"/>
  <c r="O185" i="13" s="1"/>
  <c r="N238" i="40"/>
  <c r="N185" i="13" s="1"/>
  <c r="W238" i="40"/>
  <c r="W185" i="13" s="1"/>
  <c r="Q238" i="40"/>
  <c r="Q185" i="13" s="1"/>
  <c r="U238" i="40"/>
  <c r="U185" i="13" s="1"/>
  <c r="Z238" i="40"/>
  <c r="Z185" i="13" s="1"/>
  <c r="V238" i="40"/>
  <c r="V185" i="13" s="1"/>
  <c r="S238" i="40"/>
  <c r="S185" i="13" s="1"/>
  <c r="L238" i="40"/>
  <c r="L185" i="13" s="1"/>
  <c r="T238" i="40"/>
  <c r="T185" i="13" s="1"/>
  <c r="E156" i="33"/>
  <c r="R238" i="40"/>
  <c r="R185" i="13" s="1"/>
  <c r="M238" i="40"/>
  <c r="M185" i="13" s="1"/>
  <c r="J331" i="56"/>
  <c r="J332" i="56" s="1"/>
  <c r="I253" i="56"/>
  <c r="I254" i="56" s="1"/>
  <c r="U16" i="6"/>
  <c r="E114" i="33"/>
  <c r="Z240" i="30"/>
  <c r="Z99" i="13" s="1"/>
  <c r="P240" i="30"/>
  <c r="P99" i="13" s="1"/>
  <c r="V240" i="30"/>
  <c r="V99" i="13" s="1"/>
  <c r="T240" i="30"/>
  <c r="T99" i="13" s="1"/>
  <c r="X240" i="30"/>
  <c r="X99" i="13" s="1"/>
  <c r="N240" i="30"/>
  <c r="N99" i="13" s="1"/>
  <c r="Y240" i="30"/>
  <c r="Y99" i="13" s="1"/>
  <c r="O240" i="30"/>
  <c r="O99" i="13" s="1"/>
  <c r="U240" i="30"/>
  <c r="U99" i="13" s="1"/>
  <c r="Q240" i="30"/>
  <c r="Q99" i="13" s="1"/>
  <c r="M240" i="30"/>
  <c r="M99" i="13" s="1"/>
  <c r="R240" i="30"/>
  <c r="R99" i="13" s="1"/>
  <c r="S240" i="30"/>
  <c r="S99" i="13" s="1"/>
  <c r="L240" i="30"/>
  <c r="L99" i="13" s="1"/>
  <c r="W240" i="30"/>
  <c r="W99" i="13" s="1"/>
  <c r="F15" i="56"/>
  <c r="I207" i="56" s="1"/>
  <c r="I214" i="56" s="1"/>
  <c r="I215" i="56" s="1"/>
  <c r="Z219" i="19"/>
  <c r="P74" i="9"/>
  <c r="Q74" i="9" s="1"/>
  <c r="K168" i="56"/>
  <c r="K170" i="56" s="1"/>
  <c r="J182" i="56"/>
  <c r="J184" i="56" s="1"/>
  <c r="J192" i="56" s="1"/>
  <c r="J170" i="56"/>
  <c r="T106" i="9"/>
  <c r="U106" i="9" s="1"/>
  <c r="V106" i="9" s="1"/>
  <c r="W106" i="9" s="1"/>
  <c r="T104" i="9"/>
  <c r="U104" i="9" s="1"/>
  <c r="V104" i="9" s="1"/>
  <c r="P33" i="9"/>
  <c r="Q14" i="9"/>
  <c r="X78" i="13"/>
  <c r="W187" i="29"/>
  <c r="O183" i="9"/>
  <c r="R98" i="9"/>
  <c r="R135" i="9"/>
  <c r="AA184" i="13"/>
  <c r="L199" i="13" s="1"/>
  <c r="S156" i="9"/>
  <c r="T156" i="9" s="1"/>
  <c r="U156" i="9" s="1"/>
  <c r="Q76" i="9"/>
  <c r="E157" i="33"/>
  <c r="R240" i="40"/>
  <c r="R186" i="13" s="1"/>
  <c r="S240" i="40"/>
  <c r="S186" i="13" s="1"/>
  <c r="U240" i="40"/>
  <c r="U186" i="13" s="1"/>
  <c r="X240" i="40"/>
  <c r="X186" i="13" s="1"/>
  <c r="V240" i="40"/>
  <c r="V186" i="13" s="1"/>
  <c r="Z240" i="40"/>
  <c r="Z186" i="13" s="1"/>
  <c r="O240" i="40"/>
  <c r="O186" i="13" s="1"/>
  <c r="P240" i="40"/>
  <c r="P186" i="13" s="1"/>
  <c r="L240" i="40"/>
  <c r="L186" i="13" s="1"/>
  <c r="T240" i="40"/>
  <c r="T186" i="13" s="1"/>
  <c r="M240" i="40"/>
  <c r="M186" i="13" s="1"/>
  <c r="W240" i="40"/>
  <c r="W186" i="13" s="1"/>
  <c r="N240" i="40"/>
  <c r="N186" i="13" s="1"/>
  <c r="Q240" i="40"/>
  <c r="Q186" i="13" s="1"/>
  <c r="Y240" i="40"/>
  <c r="Y186" i="13" s="1"/>
  <c r="N123" i="9"/>
  <c r="M33" i="30"/>
  <c r="K38" i="30"/>
  <c r="L162" i="13"/>
  <c r="AA155" i="13"/>
  <c r="L170" i="13" s="1"/>
  <c r="Q15" i="9"/>
  <c r="P165" i="9"/>
  <c r="Z249" i="48"/>
  <c r="R249" i="48"/>
  <c r="S249" i="48"/>
  <c r="X249" i="48"/>
  <c r="M249" i="48"/>
  <c r="Q249" i="48"/>
  <c r="U249" i="48"/>
  <c r="T249" i="48"/>
  <c r="Y249" i="48"/>
  <c r="W249" i="48"/>
  <c r="P249" i="48"/>
  <c r="O249" i="48"/>
  <c r="V249" i="48"/>
  <c r="L249" i="48"/>
  <c r="N249" i="48"/>
  <c r="N246" i="40"/>
  <c r="N187" i="13" s="1"/>
  <c r="N268" i="40"/>
  <c r="U246" i="40"/>
  <c r="U187" i="13" s="1"/>
  <c r="U268" i="40"/>
  <c r="R79" i="9"/>
  <c r="AW79" i="9"/>
  <c r="J48" i="33"/>
  <c r="J6" i="33"/>
  <c r="Q100" i="9"/>
  <c r="R100" i="9" s="1"/>
  <c r="O226" i="30"/>
  <c r="N226" i="30"/>
  <c r="S226" i="30"/>
  <c r="Y226" i="30"/>
  <c r="M226" i="30"/>
  <c r="X226" i="30"/>
  <c r="P226" i="30"/>
  <c r="V226" i="30"/>
  <c r="U226" i="30"/>
  <c r="T226" i="30"/>
  <c r="R226" i="30"/>
  <c r="L226" i="30"/>
  <c r="Q226" i="30"/>
  <c r="Z226" i="30"/>
  <c r="W226" i="30"/>
  <c r="L78" i="13"/>
  <c r="K187" i="29"/>
  <c r="M78" i="13"/>
  <c r="L187" i="29"/>
  <c r="J143" i="56"/>
  <c r="K129" i="56"/>
  <c r="J131" i="56"/>
  <c r="Q227" i="9"/>
  <c r="R227" i="9" s="1"/>
  <c r="AW135" i="9"/>
  <c r="S223" i="9"/>
  <c r="O96" i="9"/>
  <c r="Q195" i="9"/>
  <c r="R195" i="9" s="1"/>
  <c r="U77" i="9"/>
  <c r="V77" i="9" s="1"/>
  <c r="AW21" i="9"/>
  <c r="M14" i="13"/>
  <c r="AA14" i="13" s="1"/>
  <c r="L28" i="13" s="1"/>
  <c r="I8" i="33" s="1"/>
  <c r="I31" i="33" s="1"/>
  <c r="L147" i="19"/>
  <c r="E77" i="33" s="1"/>
  <c r="O187" i="19"/>
  <c r="P22" i="13"/>
  <c r="L22" i="13"/>
  <c r="K187" i="19"/>
  <c r="Z161" i="13"/>
  <c r="Z162" i="13" s="1"/>
  <c r="Z165" i="13" s="1"/>
  <c r="Z167" i="13" s="1"/>
  <c r="Q161" i="13"/>
  <c r="Q162" i="13" s="1"/>
  <c r="Q165" i="13" s="1"/>
  <c r="Q167" i="13" s="1"/>
  <c r="AK16" i="6"/>
  <c r="P40" i="9"/>
  <c r="AS34" i="9"/>
  <c r="AT24" i="9"/>
  <c r="P75" i="9"/>
  <c r="L246" i="40"/>
  <c r="L187" i="13" s="1"/>
  <c r="L268" i="40"/>
  <c r="F11" i="56"/>
  <c r="I51" i="56" s="1"/>
  <c r="I53" i="56" s="1"/>
  <c r="Q78" i="13"/>
  <c r="P187" i="29"/>
  <c r="N78" i="13"/>
  <c r="M187" i="29"/>
  <c r="J338" i="56"/>
  <c r="K324" i="56"/>
  <c r="R21" i="9"/>
  <c r="S238" i="30"/>
  <c r="S98" i="13" s="1"/>
  <c r="P238" i="30"/>
  <c r="P98" i="13" s="1"/>
  <c r="V238" i="30"/>
  <c r="V98" i="13" s="1"/>
  <c r="M238" i="30"/>
  <c r="M98" i="13" s="1"/>
  <c r="R238" i="30"/>
  <c r="R98" i="13" s="1"/>
  <c r="Y238" i="30"/>
  <c r="Y98" i="13" s="1"/>
  <c r="Q238" i="30"/>
  <c r="Q98" i="13" s="1"/>
  <c r="E113" i="33"/>
  <c r="Z238" i="30"/>
  <c r="Z98" i="13" s="1"/>
  <c r="T238" i="30"/>
  <c r="T98" i="13" s="1"/>
  <c r="W238" i="30"/>
  <c r="W98" i="13" s="1"/>
  <c r="N238" i="30"/>
  <c r="N98" i="13" s="1"/>
  <c r="U238" i="30"/>
  <c r="U98" i="13" s="1"/>
  <c r="X238" i="30"/>
  <c r="X98" i="13" s="1"/>
  <c r="O238" i="30"/>
  <c r="O98" i="13" s="1"/>
  <c r="L238" i="30"/>
  <c r="L98" i="13" s="1"/>
  <c r="P222" i="9"/>
  <c r="Q222" i="9" s="1"/>
  <c r="R222" i="9" s="1"/>
  <c r="T187" i="19"/>
  <c r="U22" i="13"/>
  <c r="F82" i="33"/>
  <c r="I184" i="56"/>
  <c r="F107" i="33"/>
  <c r="AW130" i="9"/>
  <c r="R130" i="9"/>
  <c r="E84" i="33"/>
  <c r="Z240" i="52"/>
  <c r="Z41" i="13" s="1"/>
  <c r="L240" i="52"/>
  <c r="L41" i="13" s="1"/>
  <c r="M240" i="52"/>
  <c r="M41" i="13" s="1"/>
  <c r="T240" i="52"/>
  <c r="T41" i="13" s="1"/>
  <c r="U240" i="52"/>
  <c r="U41" i="13" s="1"/>
  <c r="S240" i="52"/>
  <c r="S41" i="13" s="1"/>
  <c r="R240" i="52"/>
  <c r="R41" i="13" s="1"/>
  <c r="Y240" i="52"/>
  <c r="Y41" i="13" s="1"/>
  <c r="Q240" i="52"/>
  <c r="Q41" i="13" s="1"/>
  <c r="O240" i="52"/>
  <c r="O41" i="13" s="1"/>
  <c r="W240" i="52"/>
  <c r="W41" i="13" s="1"/>
  <c r="X240" i="52"/>
  <c r="X41" i="13" s="1"/>
  <c r="V240" i="52"/>
  <c r="V41" i="13" s="1"/>
  <c r="P240" i="52"/>
  <c r="P41" i="13" s="1"/>
  <c r="N240" i="52"/>
  <c r="N41" i="13" s="1"/>
  <c r="AX194" i="9"/>
  <c r="AU222" i="9"/>
  <c r="P78" i="13"/>
  <c r="O187" i="29"/>
  <c r="Y78" i="13"/>
  <c r="X187" i="29"/>
  <c r="Q191" i="9"/>
  <c r="AV227" i="9"/>
  <c r="AU102" i="9"/>
  <c r="AX160" i="9"/>
  <c r="AY160" i="9" s="1"/>
  <c r="AZ160" i="9" s="1"/>
  <c r="J326" i="56"/>
  <c r="J328" i="56" s="1"/>
  <c r="R194" i="29"/>
  <c r="S68" i="13" s="1"/>
  <c r="S74" i="13" s="1"/>
  <c r="P194" i="29"/>
  <c r="Q68" i="13" s="1"/>
  <c r="Q74" i="13" s="1"/>
  <c r="E98" i="33"/>
  <c r="U194" i="29"/>
  <c r="V68" i="13" s="1"/>
  <c r="V74" i="13" s="1"/>
  <c r="X194" i="29"/>
  <c r="Y68" i="13" s="1"/>
  <c r="Y74" i="13" s="1"/>
  <c r="O194" i="29"/>
  <c r="P68" i="13" s="1"/>
  <c r="P74" i="13" s="1"/>
  <c r="M194" i="29"/>
  <c r="N68" i="13" s="1"/>
  <c r="N74" i="13" s="1"/>
  <c r="N194" i="29"/>
  <c r="O68" i="13" s="1"/>
  <c r="O74" i="13" s="1"/>
  <c r="W194" i="29"/>
  <c r="X68" i="13" s="1"/>
  <c r="X74" i="13" s="1"/>
  <c r="T194" i="29"/>
  <c r="U68" i="13" s="1"/>
  <c r="U74" i="13" s="1"/>
  <c r="L194" i="29"/>
  <c r="M68" i="13" s="1"/>
  <c r="M74" i="13" s="1"/>
  <c r="S194" i="29"/>
  <c r="T68" i="13" s="1"/>
  <c r="T74" i="13" s="1"/>
  <c r="V194" i="29"/>
  <c r="W68" i="13" s="1"/>
  <c r="W74" i="13" s="1"/>
  <c r="Q194" i="29"/>
  <c r="R68" i="13" s="1"/>
  <c r="R74" i="13" s="1"/>
  <c r="Y194" i="29"/>
  <c r="Z68" i="13" s="1"/>
  <c r="Z74" i="13" s="1"/>
  <c r="K194" i="29"/>
  <c r="L68" i="13" s="1"/>
  <c r="P167" i="9"/>
  <c r="Q167" i="9" s="1"/>
  <c r="K115" i="19"/>
  <c r="L115" i="19"/>
  <c r="L117" i="19" s="1"/>
  <c r="E72" i="33" s="1"/>
  <c r="X22" i="13"/>
  <c r="W187" i="19"/>
  <c r="R22" i="13"/>
  <c r="Q187" i="19"/>
  <c r="Y161" i="13"/>
  <c r="Y162" i="13" s="1"/>
  <c r="Y165" i="13" s="1"/>
  <c r="Y167" i="13" s="1"/>
  <c r="K48" i="33"/>
  <c r="K6" i="33"/>
  <c r="U230" i="35"/>
  <c r="U237" i="35" s="1"/>
  <c r="U249" i="35" s="1"/>
  <c r="R129" i="9"/>
  <c r="M268" i="40"/>
  <c r="M246" i="40"/>
  <c r="E165" i="33" s="1"/>
  <c r="Y268" i="40"/>
  <c r="Y246" i="40"/>
  <c r="Y187" i="13" s="1"/>
  <c r="O246" i="40"/>
  <c r="O187" i="13" s="1"/>
  <c r="O268" i="40"/>
  <c r="X187" i="19"/>
  <c r="Y22" i="13"/>
  <c r="P50" i="9"/>
  <c r="P102" i="9"/>
  <c r="T163" i="9"/>
  <c r="U163" i="9" s="1"/>
  <c r="AV198" i="9"/>
  <c r="Q198" i="9"/>
  <c r="R134" i="9"/>
  <c r="S134" i="9" s="1"/>
  <c r="AT189" i="9"/>
  <c r="J299" i="56"/>
  <c r="K285" i="56"/>
  <c r="AW106" i="9"/>
  <c r="AX106" i="9" s="1"/>
  <c r="AY106" i="9" s="1"/>
  <c r="W226" i="40"/>
  <c r="Y226" i="40"/>
  <c r="Z226" i="40"/>
  <c r="T226" i="40"/>
  <c r="U226" i="40"/>
  <c r="S226" i="40"/>
  <c r="N226" i="40"/>
  <c r="M226" i="40"/>
  <c r="R226" i="40"/>
  <c r="V226" i="40"/>
  <c r="X226" i="40"/>
  <c r="O226" i="40"/>
  <c r="P226" i="40"/>
  <c r="L226" i="40"/>
  <c r="Q226" i="40"/>
  <c r="P103" i="9"/>
  <c r="Z22" i="13"/>
  <c r="Y187" i="19"/>
  <c r="V22" i="13"/>
  <c r="U187" i="19"/>
  <c r="P161" i="13"/>
  <c r="P162" i="13" s="1"/>
  <c r="P165" i="13" s="1"/>
  <c r="P167" i="13" s="1"/>
  <c r="O33" i="9"/>
  <c r="I342" i="56"/>
  <c r="J337" i="56" s="1"/>
  <c r="R221" i="9"/>
  <c r="S194" i="9"/>
  <c r="F15" i="6"/>
  <c r="G15" i="6" s="1"/>
  <c r="I15" i="6" s="1"/>
  <c r="AT78" i="9"/>
  <c r="U238" i="52"/>
  <c r="U40" i="13" s="1"/>
  <c r="Z238" i="52"/>
  <c r="Z40" i="13" s="1"/>
  <c r="W238" i="52"/>
  <c r="W40" i="13" s="1"/>
  <c r="P238" i="52"/>
  <c r="P40" i="13" s="1"/>
  <c r="V238" i="52"/>
  <c r="V40" i="13" s="1"/>
  <c r="S238" i="52"/>
  <c r="S40" i="13" s="1"/>
  <c r="E83" i="33"/>
  <c r="M238" i="52"/>
  <c r="M40" i="13" s="1"/>
  <c r="T238" i="52"/>
  <c r="T40" i="13" s="1"/>
  <c r="Y238" i="52"/>
  <c r="Y40" i="13" s="1"/>
  <c r="R238" i="52"/>
  <c r="R40" i="13" s="1"/>
  <c r="Q238" i="52"/>
  <c r="Q40" i="13" s="1"/>
  <c r="O238" i="52"/>
  <c r="O40" i="13" s="1"/>
  <c r="L238" i="52"/>
  <c r="L40" i="13" s="1"/>
  <c r="X238" i="52"/>
  <c r="X40" i="13" s="1"/>
  <c r="N238" i="52"/>
  <c r="N40" i="13" s="1"/>
  <c r="O229" i="9"/>
  <c r="W246" i="40"/>
  <c r="W187" i="13" s="1"/>
  <c r="W268" i="40"/>
  <c r="Z246" i="40"/>
  <c r="Z187" i="13" s="1"/>
  <c r="Z268" i="40"/>
  <c r="M16" i="6"/>
  <c r="X268" i="40"/>
  <c r="X246" i="40"/>
  <c r="X187" i="13" s="1"/>
  <c r="AU159" i="9"/>
  <c r="P159" i="9"/>
  <c r="AC16" i="6"/>
  <c r="L55" i="33"/>
  <c r="L56" i="33"/>
  <c r="L29" i="33"/>
  <c r="O48" i="9"/>
  <c r="N216" i="9"/>
  <c r="O189" i="9"/>
  <c r="P189" i="9" s="1"/>
  <c r="U225" i="9"/>
  <c r="V225" i="9" s="1"/>
  <c r="Q187" i="29"/>
  <c r="R78" i="13"/>
  <c r="U187" i="29"/>
  <c r="V78" i="13"/>
  <c r="BI16" i="6"/>
  <c r="R137" i="13"/>
  <c r="R138" i="13" s="1"/>
  <c r="O233" i="30"/>
  <c r="V233" i="30"/>
  <c r="L233" i="30"/>
  <c r="N233" i="30"/>
  <c r="S233" i="30"/>
  <c r="Y233" i="30"/>
  <c r="W233" i="30"/>
  <c r="M233" i="30"/>
  <c r="U233" i="30"/>
  <c r="P233" i="30"/>
  <c r="R233" i="30"/>
  <c r="X233" i="30"/>
  <c r="Z233" i="30"/>
  <c r="Q233" i="30"/>
  <c r="T233" i="30"/>
  <c r="S187" i="29"/>
  <c r="T78" i="13"/>
  <c r="Y187" i="29"/>
  <c r="Z78" i="13"/>
  <c r="S226" i="9"/>
  <c r="Q200" i="9"/>
  <c r="M187" i="19"/>
  <c r="N22" i="13"/>
  <c r="R187" i="19"/>
  <c r="S22" i="13"/>
  <c r="R252" i="31"/>
  <c r="R259" i="31" s="1"/>
  <c r="R271" i="31" s="1"/>
  <c r="V161" i="13"/>
  <c r="V162" i="13" s="1"/>
  <c r="V165" i="13" s="1"/>
  <c r="V167" i="13" s="1"/>
  <c r="Q72" i="9"/>
  <c r="R162" i="9"/>
  <c r="S162" i="9" s="1"/>
  <c r="T162" i="9" s="1"/>
  <c r="Q44" i="9"/>
  <c r="AV44" i="9"/>
  <c r="P199" i="9"/>
  <c r="N91" i="9"/>
  <c r="M230" i="30"/>
  <c r="Q230" i="30"/>
  <c r="L230" i="30"/>
  <c r="Z230" i="30"/>
  <c r="O230" i="30"/>
  <c r="R230" i="30"/>
  <c r="P230" i="30"/>
  <c r="T230" i="30"/>
  <c r="V230" i="30"/>
  <c r="W230" i="30"/>
  <c r="U230" i="30"/>
  <c r="M154" i="30"/>
  <c r="E117" i="33" s="1"/>
  <c r="S230" i="30"/>
  <c r="N230" i="30"/>
  <c r="Y230" i="30"/>
  <c r="X230" i="30"/>
  <c r="E151" i="33"/>
  <c r="H143" i="33" s="1"/>
  <c r="F141" i="33"/>
  <c r="I48" i="33"/>
  <c r="I6" i="33"/>
  <c r="R41" i="9"/>
  <c r="Q18" i="9"/>
  <c r="O194" i="19"/>
  <c r="P12" i="13" s="1"/>
  <c r="P18" i="13" s="1"/>
  <c r="V194" i="19"/>
  <c r="W12" i="13" s="1"/>
  <c r="W18" i="13" s="1"/>
  <c r="E68" i="33"/>
  <c r="W194" i="19"/>
  <c r="X12" i="13" s="1"/>
  <c r="X18" i="13" s="1"/>
  <c r="T194" i="19"/>
  <c r="U12" i="13" s="1"/>
  <c r="U18" i="13" s="1"/>
  <c r="U194" i="19"/>
  <c r="V12" i="13" s="1"/>
  <c r="V18" i="13" s="1"/>
  <c r="M194" i="19"/>
  <c r="N12" i="13" s="1"/>
  <c r="N18" i="13" s="1"/>
  <c r="Y194" i="19"/>
  <c r="Z12" i="13" s="1"/>
  <c r="Z18" i="13" s="1"/>
  <c r="L194" i="19"/>
  <c r="M12" i="13" s="1"/>
  <c r="N194" i="19"/>
  <c r="O12" i="13" s="1"/>
  <c r="O18" i="13" s="1"/>
  <c r="Q194" i="19"/>
  <c r="R12" i="13" s="1"/>
  <c r="R18" i="13" s="1"/>
  <c r="P194" i="19"/>
  <c r="Q12" i="13" s="1"/>
  <c r="Q18" i="13" s="1"/>
  <c r="S194" i="19"/>
  <c r="T12" i="13" s="1"/>
  <c r="T18" i="13" s="1"/>
  <c r="X194" i="19"/>
  <c r="Y12" i="13" s="1"/>
  <c r="Y18" i="13" s="1"/>
  <c r="R194" i="19"/>
  <c r="S12" i="13" s="1"/>
  <c r="S18" i="13" s="1"/>
  <c r="K194" i="19"/>
  <c r="L12" i="13" s="1"/>
  <c r="S97" i="9"/>
  <c r="AA16" i="13"/>
  <c r="L29" i="13" s="1"/>
  <c r="I9" i="33" s="1"/>
  <c r="I32" i="33" s="1"/>
  <c r="AT74" i="9"/>
  <c r="AU74" i="9" s="1"/>
  <c r="E164" i="33"/>
  <c r="Z243" i="40"/>
  <c r="Z189" i="13" s="1"/>
  <c r="U243" i="40"/>
  <c r="U189" i="13" s="1"/>
  <c r="S243" i="40"/>
  <c r="S189" i="13" s="1"/>
  <c r="O243" i="40"/>
  <c r="O189" i="13" s="1"/>
  <c r="N243" i="40"/>
  <c r="N189" i="13" s="1"/>
  <c r="W243" i="40"/>
  <c r="W189" i="13" s="1"/>
  <c r="Y243" i="40"/>
  <c r="Y189" i="13" s="1"/>
  <c r="V243" i="40"/>
  <c r="V189" i="13" s="1"/>
  <c r="L243" i="40"/>
  <c r="L189" i="13" s="1"/>
  <c r="Q243" i="40"/>
  <c r="Q189" i="13" s="1"/>
  <c r="R243" i="40"/>
  <c r="R189" i="13" s="1"/>
  <c r="T243" i="40"/>
  <c r="T189" i="13" s="1"/>
  <c r="P243" i="40"/>
  <c r="P189" i="13" s="1"/>
  <c r="M243" i="40"/>
  <c r="M189" i="13" s="1"/>
  <c r="X243" i="40"/>
  <c r="X189" i="13" s="1"/>
  <c r="S268" i="40"/>
  <c r="S246" i="40"/>
  <c r="S187" i="13" s="1"/>
  <c r="Q45" i="9"/>
  <c r="R45" i="9" s="1"/>
  <c r="P226" i="52"/>
  <c r="W226" i="52"/>
  <c r="N226" i="52"/>
  <c r="Z226" i="52"/>
  <c r="T226" i="52"/>
  <c r="X226" i="52"/>
  <c r="M226" i="52"/>
  <c r="R226" i="52"/>
  <c r="V226" i="52"/>
  <c r="O226" i="52"/>
  <c r="S226" i="52"/>
  <c r="U226" i="52"/>
  <c r="L226" i="52"/>
  <c r="Q226" i="52"/>
  <c r="Y226" i="52"/>
  <c r="I220" i="56"/>
  <c r="L32" i="33"/>
  <c r="L233" i="40"/>
  <c r="L190" i="13" s="1"/>
  <c r="W233" i="40"/>
  <c r="W190" i="13" s="1"/>
  <c r="N233" i="40"/>
  <c r="N190" i="13" s="1"/>
  <c r="R233" i="40"/>
  <c r="R190" i="13" s="1"/>
  <c r="Q233" i="40"/>
  <c r="Q190" i="13" s="1"/>
  <c r="X233" i="40"/>
  <c r="X190" i="13" s="1"/>
  <c r="T233" i="40"/>
  <c r="T190" i="13" s="1"/>
  <c r="E160" i="33"/>
  <c r="O233" i="40"/>
  <c r="O190" i="13" s="1"/>
  <c r="P233" i="40"/>
  <c r="P190" i="13" s="1"/>
  <c r="S233" i="40"/>
  <c r="S190" i="13" s="1"/>
  <c r="M233" i="40"/>
  <c r="M190" i="13" s="1"/>
  <c r="Y233" i="40"/>
  <c r="Y190" i="13" s="1"/>
  <c r="Z233" i="40"/>
  <c r="Z190" i="13" s="1"/>
  <c r="U233" i="40"/>
  <c r="U190" i="13" s="1"/>
  <c r="V233" i="40"/>
  <c r="V190" i="13" s="1"/>
  <c r="AA157" i="13"/>
  <c r="S187" i="19"/>
  <c r="T22" i="13"/>
  <c r="O22" i="13"/>
  <c r="N187" i="19"/>
  <c r="W161" i="13"/>
  <c r="W162" i="13" s="1"/>
  <c r="W165" i="13" s="1"/>
  <c r="W167" i="13" s="1"/>
  <c r="Y230" i="35"/>
  <c r="Y237" i="35" s="1"/>
  <c r="Y249" i="35" s="1"/>
  <c r="F163" i="33"/>
  <c r="R246" i="40"/>
  <c r="R187" i="13" s="1"/>
  <c r="R268" i="40"/>
  <c r="V268" i="40"/>
  <c r="V246" i="40"/>
  <c r="V187" i="13" s="1"/>
  <c r="L245" i="48"/>
  <c r="M38" i="48"/>
  <c r="R245" i="48"/>
  <c r="Y245" i="48"/>
  <c r="M245" i="48"/>
  <c r="S245" i="48"/>
  <c r="O245" i="48"/>
  <c r="Z245" i="48"/>
  <c r="N245" i="48"/>
  <c r="P245" i="48"/>
  <c r="U245" i="48"/>
  <c r="W245" i="48"/>
  <c r="Q245" i="48"/>
  <c r="T245" i="48"/>
  <c r="X245" i="48"/>
  <c r="V245" i="48"/>
  <c r="H48" i="33"/>
  <c r="H6" i="33"/>
  <c r="Q19" i="9"/>
  <c r="R19" i="9" s="1"/>
  <c r="V187" i="19"/>
  <c r="W22" i="13"/>
  <c r="Q22" i="13"/>
  <c r="P187" i="19"/>
  <c r="O161" i="13"/>
  <c r="O162" i="13" s="1"/>
  <c r="O165" i="13" s="1"/>
  <c r="O167" i="13" s="1"/>
  <c r="P166" i="9"/>
  <c r="Q230" i="35"/>
  <c r="Q237" i="35" s="1"/>
  <c r="Q249" i="35" s="1"/>
  <c r="Q46" i="9"/>
  <c r="R46" i="9" s="1"/>
  <c r="L250" i="48"/>
  <c r="Z250" i="48"/>
  <c r="P250" i="48"/>
  <c r="T250" i="48"/>
  <c r="W250" i="48"/>
  <c r="Y250" i="48"/>
  <c r="M250" i="48"/>
  <c r="V250" i="48"/>
  <c r="U250" i="48"/>
  <c r="R250" i="48"/>
  <c r="X250" i="48"/>
  <c r="S250" i="48"/>
  <c r="N250" i="48"/>
  <c r="O250" i="48"/>
  <c r="Q250" i="48"/>
  <c r="AA166" i="13"/>
  <c r="L176" i="13" s="1"/>
  <c r="G11" i="33" s="1"/>
  <c r="F76" i="33"/>
  <c r="BB14" i="6"/>
  <c r="BC14" i="6" s="1"/>
  <c r="BE14" i="6" s="1"/>
  <c r="BA15" i="6" s="1"/>
  <c r="P268" i="40"/>
  <c r="P246" i="40"/>
  <c r="P187" i="13" s="1"/>
  <c r="T246" i="40"/>
  <c r="T187" i="13" s="1"/>
  <c r="T268" i="40"/>
  <c r="AV76" i="9"/>
  <c r="Q101" i="9"/>
  <c r="R101" i="9" s="1"/>
  <c r="AT48" i="9"/>
  <c r="AV15" i="9"/>
  <c r="Q197" i="9"/>
  <c r="F143" i="33"/>
  <c r="M22" i="13"/>
  <c r="L187" i="19"/>
  <c r="N161" i="13"/>
  <c r="N162" i="13" s="1"/>
  <c r="N165" i="13" s="1"/>
  <c r="N167" i="13" s="1"/>
  <c r="U161" i="13"/>
  <c r="U162" i="13" s="1"/>
  <c r="U165" i="13" s="1"/>
  <c r="U167" i="13" s="1"/>
  <c r="M162" i="13"/>
  <c r="M165" i="13" s="1"/>
  <c r="M167" i="13" s="1"/>
  <c r="P230" i="35"/>
  <c r="P237" i="35" s="1"/>
  <c r="P249" i="35" s="1"/>
  <c r="AU19" i="9"/>
  <c r="AV19" i="9" s="1"/>
  <c r="Q224" i="9"/>
  <c r="R224" i="9" s="1"/>
  <c r="Q193" i="9"/>
  <c r="AT167" i="9"/>
  <c r="AU167" i="9" s="1"/>
  <c r="F155" i="33"/>
  <c r="AT96" i="9"/>
  <c r="J364" i="56"/>
  <c r="M364" i="56"/>
  <c r="T364" i="56"/>
  <c r="V364" i="56"/>
  <c r="N364" i="56"/>
  <c r="I364" i="56"/>
  <c r="P364" i="56"/>
  <c r="O364" i="56"/>
  <c r="W364" i="56"/>
  <c r="S364" i="56"/>
  <c r="L364" i="56"/>
  <c r="U364" i="56"/>
  <c r="R364" i="56"/>
  <c r="K364" i="56"/>
  <c r="Q364" i="56"/>
  <c r="I50" i="56"/>
  <c r="H69" i="56"/>
  <c r="Q246" i="40"/>
  <c r="Q187" i="13" s="1"/>
  <c r="Q268" i="40"/>
  <c r="L252" i="31" l="1"/>
  <c r="L259" i="31" s="1"/>
  <c r="L271" i="31" s="1"/>
  <c r="Z252" i="31"/>
  <c r="Z259" i="31" s="1"/>
  <c r="Z271" i="31" s="1"/>
  <c r="S252" i="31"/>
  <c r="S259" i="31" s="1"/>
  <c r="S271" i="31" s="1"/>
  <c r="W252" i="31"/>
  <c r="W259" i="31" s="1"/>
  <c r="W271" i="31" s="1"/>
  <c r="N137" i="13"/>
  <c r="N138" i="13" s="1"/>
  <c r="P252" i="31"/>
  <c r="P259" i="31" s="1"/>
  <c r="P271" i="31" s="1"/>
  <c r="O137" i="13"/>
  <c r="O138" i="13" s="1"/>
  <c r="U252" i="31"/>
  <c r="U259" i="31" s="1"/>
  <c r="U271" i="31" s="1"/>
  <c r="Y252" i="31"/>
  <c r="Y259" i="31" s="1"/>
  <c r="Y271" i="31" s="1"/>
  <c r="Q137" i="13"/>
  <c r="Q138" i="13" s="1"/>
  <c r="X137" i="13"/>
  <c r="X138" i="13" s="1"/>
  <c r="T137" i="13"/>
  <c r="T138" i="13" s="1"/>
  <c r="V252" i="31"/>
  <c r="V259" i="31" s="1"/>
  <c r="V271" i="31" s="1"/>
  <c r="M137" i="13"/>
  <c r="M138" i="13" s="1"/>
  <c r="AZ132" i="9"/>
  <c r="BA132" i="9" s="1"/>
  <c r="BB132" i="9" s="1"/>
  <c r="AZ133" i="9"/>
  <c r="BA133" i="9" s="1"/>
  <c r="Z138" i="13"/>
  <c r="L138" i="13"/>
  <c r="W138" i="13"/>
  <c r="P138" i="13"/>
  <c r="V138" i="13"/>
  <c r="Y138" i="13"/>
  <c r="U138" i="13"/>
  <c r="M221" i="13"/>
  <c r="M224" i="13" s="1"/>
  <c r="AW193" i="9"/>
  <c r="AX164" i="9"/>
  <c r="AY164" i="9" s="1"/>
  <c r="T164" i="9"/>
  <c r="U164" i="9" s="1"/>
  <c r="I295" i="56"/>
  <c r="I306" i="56" s="1"/>
  <c r="AW76" i="9"/>
  <c r="AW17" i="9"/>
  <c r="AX17" i="9" s="1"/>
  <c r="AV199" i="9"/>
  <c r="AW49" i="9"/>
  <c r="AX49" i="9" s="1"/>
  <c r="I303" i="56"/>
  <c r="J298" i="56" s="1"/>
  <c r="AY131" i="9"/>
  <c r="AZ131" i="9" s="1"/>
  <c r="N103" i="13"/>
  <c r="N104" i="13" s="1"/>
  <c r="N107" i="13" s="1"/>
  <c r="Q203" i="29"/>
  <c r="H127" i="33"/>
  <c r="AA133" i="13"/>
  <c r="H137" i="33" s="1"/>
  <c r="I137" i="33" s="1"/>
  <c r="AX41" i="9"/>
  <c r="I256" i="56"/>
  <c r="I267" i="56" s="1"/>
  <c r="AV165" i="9"/>
  <c r="I310" i="56"/>
  <c r="H132" i="33"/>
  <c r="H130" i="33"/>
  <c r="AW197" i="9"/>
  <c r="AX129" i="9"/>
  <c r="F6" i="33"/>
  <c r="F29" i="33" s="1"/>
  <c r="AW190" i="9"/>
  <c r="AX190" i="9" s="1"/>
  <c r="H135" i="33"/>
  <c r="Q150" i="9"/>
  <c r="H133" i="33"/>
  <c r="H129" i="33"/>
  <c r="H131" i="33"/>
  <c r="H128" i="33"/>
  <c r="H136" i="33"/>
  <c r="I193" i="56"/>
  <c r="AV73" i="9"/>
  <c r="AW73" i="9" s="1"/>
  <c r="AX73" i="9" s="1"/>
  <c r="AV74" i="9"/>
  <c r="AW74" i="9" s="1"/>
  <c r="Q191" i="13"/>
  <c r="Q194" i="13" s="1"/>
  <c r="AZ106" i="9"/>
  <c r="BA106" i="9" s="1"/>
  <c r="BB106" i="9" s="1"/>
  <c r="BC106" i="9" s="1"/>
  <c r="AW227" i="9"/>
  <c r="AX227" i="9" s="1"/>
  <c r="S73" i="9"/>
  <c r="AY156" i="9"/>
  <c r="AZ156" i="9" s="1"/>
  <c r="BA156" i="9" s="1"/>
  <c r="M18" i="13"/>
  <c r="X103" i="13"/>
  <c r="X104" i="13" s="1"/>
  <c r="X107" i="13" s="1"/>
  <c r="AY20" i="9"/>
  <c r="AZ20" i="9" s="1"/>
  <c r="AY43" i="9"/>
  <c r="AZ43" i="9" s="1"/>
  <c r="BA43" i="9" s="1"/>
  <c r="AU96" i="9"/>
  <c r="V203" i="19"/>
  <c r="N203" i="19"/>
  <c r="AW18" i="9"/>
  <c r="R103" i="13"/>
  <c r="R104" i="13" s="1"/>
  <c r="R107" i="13" s="1"/>
  <c r="AX137" i="9"/>
  <c r="AY137" i="9" s="1"/>
  <c r="AZ137" i="9" s="1"/>
  <c r="U20" i="9"/>
  <c r="V20" i="9" s="1"/>
  <c r="P46" i="13"/>
  <c r="P49" i="13" s="1"/>
  <c r="N225" i="13"/>
  <c r="N226" i="13" s="1"/>
  <c r="AA44" i="13"/>
  <c r="L57" i="13" s="1"/>
  <c r="F9" i="33" s="1"/>
  <c r="F32" i="33" s="1"/>
  <c r="W203" i="29"/>
  <c r="AY161" i="9"/>
  <c r="AZ161" i="9" s="1"/>
  <c r="S190" i="9"/>
  <c r="T190" i="9" s="1"/>
  <c r="I350" i="56"/>
  <c r="I352" i="56" s="1"/>
  <c r="I353" i="56" s="1"/>
  <c r="I354" i="56" s="1"/>
  <c r="I355" i="56" s="1"/>
  <c r="I357" i="56" s="1"/>
  <c r="I358" i="56" s="1"/>
  <c r="AY105" i="9"/>
  <c r="M187" i="13"/>
  <c r="M191" i="13" s="1"/>
  <c r="M194" i="13" s="1"/>
  <c r="AV99" i="9"/>
  <c r="AW99" i="9" s="1"/>
  <c r="AW47" i="9"/>
  <c r="AX47" i="9" s="1"/>
  <c r="E91" i="33"/>
  <c r="F91" i="33" s="1"/>
  <c r="M42" i="13"/>
  <c r="M46" i="13" s="1"/>
  <c r="M49" i="13" s="1"/>
  <c r="P203" i="19"/>
  <c r="R14" i="9"/>
  <c r="X203" i="19"/>
  <c r="U161" i="9"/>
  <c r="V161" i="9" s="1"/>
  <c r="I97" i="56"/>
  <c r="I98" i="56" s="1"/>
  <c r="U203" i="29"/>
  <c r="U225" i="13"/>
  <c r="U226" i="13" s="1"/>
  <c r="I139" i="56"/>
  <c r="I150" i="56" s="1"/>
  <c r="I103" i="56"/>
  <c r="V156" i="9"/>
  <c r="W156" i="9" s="1"/>
  <c r="W104" i="9"/>
  <c r="X104" i="9" s="1"/>
  <c r="Y104" i="9" s="1"/>
  <c r="Z104" i="9" s="1"/>
  <c r="AX196" i="9"/>
  <c r="O66" i="9"/>
  <c r="R99" i="9"/>
  <c r="S99" i="9" s="1"/>
  <c r="T99" i="9" s="1"/>
  <c r="U99" i="9" s="1"/>
  <c r="T105" i="9"/>
  <c r="U105" i="9" s="1"/>
  <c r="S46" i="13"/>
  <c r="S49" i="13" s="1"/>
  <c r="O191" i="13"/>
  <c r="O194" i="13" s="1"/>
  <c r="AX135" i="9"/>
  <c r="AW200" i="9"/>
  <c r="I92" i="56"/>
  <c r="I94" i="56" s="1"/>
  <c r="I104" i="56"/>
  <c r="J90" i="56"/>
  <c r="R203" i="19"/>
  <c r="AW19" i="9"/>
  <c r="AX19" i="9" s="1"/>
  <c r="AW101" i="9"/>
  <c r="AX101" i="9" s="1"/>
  <c r="AY97" i="9"/>
  <c r="V103" i="13"/>
  <c r="V104" i="13" s="1"/>
  <c r="V107" i="13" s="1"/>
  <c r="AW14" i="9"/>
  <c r="T42" i="9"/>
  <c r="U42" i="9" s="1"/>
  <c r="AX107" i="9"/>
  <c r="AY107" i="9" s="1"/>
  <c r="I153" i="56"/>
  <c r="I147" i="56"/>
  <c r="J142" i="56" s="1"/>
  <c r="T103" i="13"/>
  <c r="T104" i="13" s="1"/>
  <c r="T107" i="13" s="1"/>
  <c r="AV222" i="9"/>
  <c r="AW222" i="9" s="1"/>
  <c r="AX222" i="9" s="1"/>
  <c r="I133" i="56"/>
  <c r="BA225" i="9"/>
  <c r="BB225" i="9" s="1"/>
  <c r="P103" i="13"/>
  <c r="P104" i="13" s="1"/>
  <c r="P107" i="13" s="1"/>
  <c r="S203" i="29"/>
  <c r="Y46" i="13"/>
  <c r="Y49" i="13" s="1"/>
  <c r="Z46" i="13"/>
  <c r="Z49" i="13" s="1"/>
  <c r="R167" i="9"/>
  <c r="S167" i="9" s="1"/>
  <c r="AX79" i="9"/>
  <c r="P192" i="9"/>
  <c r="P216" i="9" s="1"/>
  <c r="AW136" i="9"/>
  <c r="AX136" i="9" s="1"/>
  <c r="AA161" i="13"/>
  <c r="L171" i="13" s="1"/>
  <c r="G7" i="33" s="1"/>
  <c r="G30" i="33" s="1"/>
  <c r="U46" i="13"/>
  <c r="U49" i="13" s="1"/>
  <c r="AA99" i="13"/>
  <c r="AU78" i="9"/>
  <c r="AV78" i="9" s="1"/>
  <c r="Q102" i="9"/>
  <c r="Q165" i="9"/>
  <c r="E166" i="33"/>
  <c r="H162" i="33" s="1"/>
  <c r="Y203" i="19"/>
  <c r="AV102" i="9"/>
  <c r="AW195" i="9"/>
  <c r="AX195" i="9" s="1"/>
  <c r="T191" i="13"/>
  <c r="T194" i="13" s="1"/>
  <c r="N191" i="13"/>
  <c r="N194" i="13" s="1"/>
  <c r="AU228" i="9"/>
  <c r="T203" i="29"/>
  <c r="AU48" i="9"/>
  <c r="W252" i="48"/>
  <c r="W259" i="48" s="1"/>
  <c r="W271" i="48" s="1"/>
  <c r="Y252" i="48"/>
  <c r="Y259" i="48" s="1"/>
  <c r="Y271" i="48" s="1"/>
  <c r="W191" i="13"/>
  <c r="W194" i="13" s="1"/>
  <c r="O91" i="9"/>
  <c r="P252" i="48"/>
  <c r="P259" i="48" s="1"/>
  <c r="P271" i="48" s="1"/>
  <c r="U103" i="13"/>
  <c r="U104" i="13" s="1"/>
  <c r="U107" i="13" s="1"/>
  <c r="AW44" i="9"/>
  <c r="W203" i="19"/>
  <c r="T107" i="9"/>
  <c r="U107" i="9" s="1"/>
  <c r="T203" i="19"/>
  <c r="O225" i="13"/>
  <c r="O226" i="13" s="1"/>
  <c r="X225" i="13"/>
  <c r="X226" i="13" s="1"/>
  <c r="AX42" i="9"/>
  <c r="AY42" i="9" s="1"/>
  <c r="V191" i="13"/>
  <c r="V194" i="13" s="1"/>
  <c r="Q252" i="48"/>
  <c r="Q259" i="48" s="1"/>
  <c r="Q271" i="48" s="1"/>
  <c r="M252" i="48"/>
  <c r="M259" i="48" s="1"/>
  <c r="M271" i="48" s="1"/>
  <c r="AA189" i="13"/>
  <c r="L202" i="13" s="1"/>
  <c r="E9" i="33" s="1"/>
  <c r="F151" i="33"/>
  <c r="W103" i="13"/>
  <c r="W104" i="13" s="1"/>
  <c r="W107" i="13" s="1"/>
  <c r="Q103" i="13"/>
  <c r="Q104" i="13" s="1"/>
  <c r="Q107" i="13" s="1"/>
  <c r="O46" i="13"/>
  <c r="O49" i="13" s="1"/>
  <c r="V46" i="13"/>
  <c r="V49" i="13" s="1"/>
  <c r="O203" i="29"/>
  <c r="P225" i="13"/>
  <c r="P226" i="13" s="1"/>
  <c r="S225" i="13"/>
  <c r="S226" i="13" s="1"/>
  <c r="R191" i="13"/>
  <c r="R194" i="13" s="1"/>
  <c r="K323" i="56"/>
  <c r="J349" i="56"/>
  <c r="BB15" i="6"/>
  <c r="BC15" i="6" s="1"/>
  <c r="BE15" i="6" s="1"/>
  <c r="AA190" i="13"/>
  <c r="P191" i="13"/>
  <c r="P194" i="13" s="1"/>
  <c r="X191" i="13"/>
  <c r="X194" i="13" s="1"/>
  <c r="Z191" i="13"/>
  <c r="Z194" i="13" s="1"/>
  <c r="S191" i="13"/>
  <c r="S194" i="13" s="1"/>
  <c r="Y191" i="13"/>
  <c r="Y194" i="13" s="1"/>
  <c r="J245" i="56"/>
  <c r="I271" i="56"/>
  <c r="U191" i="13"/>
  <c r="U194" i="13" s="1"/>
  <c r="L103" i="13"/>
  <c r="L104" i="13" s="1"/>
  <c r="T226" i="9"/>
  <c r="U226" i="9" s="1"/>
  <c r="AD16" i="6"/>
  <c r="AE16" i="6" s="1"/>
  <c r="AC12" i="6"/>
  <c r="T195" i="13"/>
  <c r="T228" i="40"/>
  <c r="T235" i="40" s="1"/>
  <c r="T247" i="40" s="1"/>
  <c r="AA98" i="13"/>
  <c r="AA78" i="13"/>
  <c r="L88" i="13" s="1"/>
  <c r="J11" i="33" s="1"/>
  <c r="H55" i="33"/>
  <c r="H56" i="33"/>
  <c r="H29" i="33"/>
  <c r="F164" i="33"/>
  <c r="AA12" i="13"/>
  <c r="L27" i="13" s="1"/>
  <c r="L18" i="13"/>
  <c r="H146" i="33"/>
  <c r="H147" i="33"/>
  <c r="H148" i="33"/>
  <c r="H145" i="33"/>
  <c r="H144" i="33"/>
  <c r="H142" i="33"/>
  <c r="H149" i="33"/>
  <c r="H150" i="33"/>
  <c r="J175" i="56"/>
  <c r="J176" i="56" s="1"/>
  <c r="J178" i="56" s="1"/>
  <c r="J172" i="56"/>
  <c r="K167" i="56" s="1"/>
  <c r="S136" i="9"/>
  <c r="T136" i="9" s="1"/>
  <c r="O216" i="9"/>
  <c r="P229" i="9"/>
  <c r="Q229" i="9" s="1"/>
  <c r="R229" i="9" s="1"/>
  <c r="T46" i="13"/>
  <c r="T49" i="13" s="1"/>
  <c r="X195" i="13"/>
  <c r="X228" i="40"/>
  <c r="X235" i="40" s="1"/>
  <c r="X247" i="40" s="1"/>
  <c r="Z195" i="13"/>
  <c r="Z228" i="40"/>
  <c r="Z235" i="40" s="1"/>
  <c r="Z247" i="40" s="1"/>
  <c r="Q50" i="9"/>
  <c r="R50" i="9" s="1"/>
  <c r="R191" i="9"/>
  <c r="S222" i="9"/>
  <c r="T222" i="9" s="1"/>
  <c r="U222" i="9" s="1"/>
  <c r="V222" i="9" s="1"/>
  <c r="W222" i="9" s="1"/>
  <c r="F77" i="33"/>
  <c r="AZ163" i="9"/>
  <c r="BA163" i="9" s="1"/>
  <c r="L225" i="13"/>
  <c r="Q225" i="13"/>
  <c r="Q226" i="13" s="1"/>
  <c r="G48" i="33"/>
  <c r="G6" i="33"/>
  <c r="V16" i="6"/>
  <c r="W16" i="6" s="1"/>
  <c r="U12" i="6"/>
  <c r="S196" i="9"/>
  <c r="T196" i="9" s="1"/>
  <c r="S224" i="9"/>
  <c r="T224" i="9" s="1"/>
  <c r="U224" i="9" s="1"/>
  <c r="S46" i="9"/>
  <c r="M249" i="35"/>
  <c r="AA269" i="35" s="1"/>
  <c r="U252" i="48"/>
  <c r="U259" i="48" s="1"/>
  <c r="U271" i="48" s="1"/>
  <c r="R252" i="48"/>
  <c r="R259" i="48" s="1"/>
  <c r="R271" i="48" s="1"/>
  <c r="S50" i="13"/>
  <c r="S228" i="52"/>
  <c r="S235" i="52" s="1"/>
  <c r="S247" i="52" s="1"/>
  <c r="N50" i="13"/>
  <c r="N228" i="52"/>
  <c r="N235" i="52" s="1"/>
  <c r="N247" i="52" s="1"/>
  <c r="R18" i="9"/>
  <c r="M103" i="13"/>
  <c r="M104" i="13" s="1"/>
  <c r="M107" i="13" s="1"/>
  <c r="R72" i="9"/>
  <c r="AW46" i="9"/>
  <c r="AX46" i="9" s="1"/>
  <c r="R200" i="9"/>
  <c r="S200" i="9" s="1"/>
  <c r="T200" i="9" s="1"/>
  <c r="Q159" i="9"/>
  <c r="N16" i="6"/>
  <c r="O16" i="6" s="1"/>
  <c r="M12" i="6"/>
  <c r="N46" i="13"/>
  <c r="N49" i="13" s="1"/>
  <c r="T194" i="9"/>
  <c r="W77" i="9"/>
  <c r="X77" i="9" s="1"/>
  <c r="Y77" i="9" s="1"/>
  <c r="V195" i="13"/>
  <c r="V228" i="40"/>
  <c r="V235" i="40" s="1"/>
  <c r="V247" i="40" s="1"/>
  <c r="Y195" i="13"/>
  <c r="Y228" i="40"/>
  <c r="Y235" i="40" s="1"/>
  <c r="Y247" i="40" s="1"/>
  <c r="K299" i="56"/>
  <c r="K301" i="56" s="1"/>
  <c r="K309" i="56" s="1"/>
  <c r="L285" i="56"/>
  <c r="K287" i="56"/>
  <c r="AW198" i="9"/>
  <c r="AY16" i="9"/>
  <c r="S21" i="9"/>
  <c r="T21" i="9" s="1"/>
  <c r="R150" i="9"/>
  <c r="S129" i="9"/>
  <c r="Q203" i="19"/>
  <c r="K131" i="56"/>
  <c r="AA41" i="13"/>
  <c r="O242" i="9"/>
  <c r="AV50" i="9"/>
  <c r="T223" i="9"/>
  <c r="U223" i="9" s="1"/>
  <c r="V223" i="9" s="1"/>
  <c r="S100" i="9"/>
  <c r="V225" i="13"/>
  <c r="V226" i="13" s="1"/>
  <c r="M225" i="13"/>
  <c r="U131" i="9"/>
  <c r="L165" i="13"/>
  <c r="L167" i="13" s="1"/>
  <c r="AA162" i="13"/>
  <c r="S98" i="9"/>
  <c r="AW100" i="9"/>
  <c r="AX100" i="9" s="1"/>
  <c r="AX221" i="9"/>
  <c r="L30" i="33"/>
  <c r="AA185" i="13"/>
  <c r="AA215" i="13"/>
  <c r="L230" i="13" s="1"/>
  <c r="L221" i="13"/>
  <c r="AV103" i="9"/>
  <c r="S135" i="9"/>
  <c r="T135" i="9" s="1"/>
  <c r="U135" i="9" s="1"/>
  <c r="V135" i="9" s="1"/>
  <c r="W135" i="9" s="1"/>
  <c r="X135" i="9" s="1"/>
  <c r="Y135" i="9" s="1"/>
  <c r="Z135" i="9" s="1"/>
  <c r="AA135" i="9" s="1"/>
  <c r="AB135" i="9" s="1"/>
  <c r="AC135" i="9" s="1"/>
  <c r="AD135" i="9" s="1"/>
  <c r="AE135" i="9" s="1"/>
  <c r="AF135" i="9" s="1"/>
  <c r="AG135" i="9" s="1"/>
  <c r="AH135" i="9" s="1"/>
  <c r="AI135" i="9" s="1"/>
  <c r="AJ135" i="9" s="1"/>
  <c r="AK135" i="9" s="1"/>
  <c r="AL135" i="9" s="1"/>
  <c r="AM135" i="9" s="1"/>
  <c r="AN135" i="9" s="1"/>
  <c r="AO135" i="9" s="1"/>
  <c r="AP135" i="9" s="1"/>
  <c r="Q78" i="9"/>
  <c r="K55" i="33"/>
  <c r="K56" i="33"/>
  <c r="K29" i="33"/>
  <c r="Z50" i="13"/>
  <c r="Z228" i="52"/>
  <c r="Z235" i="52" s="1"/>
  <c r="Z247" i="52" s="1"/>
  <c r="O50" i="13"/>
  <c r="O228" i="52"/>
  <c r="O235" i="52" s="1"/>
  <c r="O247" i="52" s="1"/>
  <c r="W50" i="13"/>
  <c r="W228" i="52"/>
  <c r="W235" i="52" s="1"/>
  <c r="W247" i="52" s="1"/>
  <c r="P183" i="9"/>
  <c r="W195" i="13"/>
  <c r="W228" i="40"/>
  <c r="W235" i="40" s="1"/>
  <c r="W247" i="40" s="1"/>
  <c r="J301" i="56"/>
  <c r="S41" i="9"/>
  <c r="AV75" i="9"/>
  <c r="AW191" i="9"/>
  <c r="AY226" i="9"/>
  <c r="M195" i="13"/>
  <c r="M228" i="40"/>
  <c r="M235" i="40" s="1"/>
  <c r="M247" i="40" s="1"/>
  <c r="J55" i="33"/>
  <c r="J56" i="33"/>
  <c r="J29" i="33"/>
  <c r="F157" i="33"/>
  <c r="E48" i="33"/>
  <c r="E6" i="33"/>
  <c r="P228" i="9"/>
  <c r="Q228" i="9" s="1"/>
  <c r="L203" i="19"/>
  <c r="S101" i="9"/>
  <c r="V252" i="48"/>
  <c r="V259" i="48" s="1"/>
  <c r="V271" i="48" s="1"/>
  <c r="Z252" i="48"/>
  <c r="Z259" i="48" s="1"/>
  <c r="Z271" i="48" s="1"/>
  <c r="AW224" i="9"/>
  <c r="AX224" i="9" s="1"/>
  <c r="R50" i="13"/>
  <c r="R228" i="52"/>
  <c r="R235" i="52" s="1"/>
  <c r="R247" i="52" s="1"/>
  <c r="S227" i="9"/>
  <c r="T227" i="9" s="1"/>
  <c r="R44" i="9"/>
  <c r="Q189" i="9"/>
  <c r="AV159" i="9"/>
  <c r="Q195" i="13"/>
  <c r="Q228" i="40"/>
  <c r="Q235" i="40" s="1"/>
  <c r="Q247" i="40" s="1"/>
  <c r="N195" i="13"/>
  <c r="N228" i="40"/>
  <c r="N235" i="40" s="1"/>
  <c r="N247" i="40" s="1"/>
  <c r="AU189" i="9"/>
  <c r="AV189" i="9" s="1"/>
  <c r="AY223" i="9"/>
  <c r="F98" i="33"/>
  <c r="E108" i="33"/>
  <c r="H102" i="33" s="1"/>
  <c r="BA160" i="9"/>
  <c r="J340" i="56"/>
  <c r="J348" i="56" s="1"/>
  <c r="M203" i="29"/>
  <c r="V163" i="9"/>
  <c r="W163" i="9" s="1"/>
  <c r="X163" i="9" s="1"/>
  <c r="Y163" i="9" s="1"/>
  <c r="AX98" i="9"/>
  <c r="L203" i="29"/>
  <c r="W225" i="13"/>
  <c r="W226" i="13" s="1"/>
  <c r="R225" i="13"/>
  <c r="R226" i="13" s="1"/>
  <c r="M38" i="30"/>
  <c r="X222" i="30"/>
  <c r="W222" i="30"/>
  <c r="Z222" i="30"/>
  <c r="P222" i="30"/>
  <c r="N222" i="30"/>
  <c r="O222" i="30"/>
  <c r="U222" i="30"/>
  <c r="S222" i="30"/>
  <c r="Y222" i="30"/>
  <c r="M222" i="30"/>
  <c r="Q222" i="30"/>
  <c r="T222" i="30"/>
  <c r="R222" i="30"/>
  <c r="L222" i="30"/>
  <c r="V222" i="30"/>
  <c r="AT16" i="6"/>
  <c r="AU16" i="6" s="1"/>
  <c r="AS12" i="6"/>
  <c r="J292" i="56"/>
  <c r="J293" i="56" s="1"/>
  <c r="J295" i="56" s="1"/>
  <c r="J289" i="56"/>
  <c r="K284" i="56" s="1"/>
  <c r="AV40" i="9"/>
  <c r="AU229" i="9"/>
  <c r="AX134" i="9"/>
  <c r="AY134" i="9" s="1"/>
  <c r="R198" i="9"/>
  <c r="AU192" i="9"/>
  <c r="N203" i="29"/>
  <c r="V203" i="29"/>
  <c r="AA45" i="13"/>
  <c r="BI12" i="6"/>
  <c r="BL12" i="6" s="1"/>
  <c r="BL16" i="6" s="1"/>
  <c r="L223" i="13" s="1"/>
  <c r="BJ16" i="6"/>
  <c r="BK16" i="6" s="1"/>
  <c r="O195" i="13"/>
  <c r="O228" i="40"/>
  <c r="O235" i="40" s="1"/>
  <c r="O247" i="40" s="1"/>
  <c r="F113" i="33"/>
  <c r="E123" i="33"/>
  <c r="H114" i="33" s="1"/>
  <c r="AL16" i="6"/>
  <c r="AM16" i="6" s="1"/>
  <c r="AK12" i="6"/>
  <c r="F156" i="33"/>
  <c r="G15" i="33"/>
  <c r="G34" i="33"/>
  <c r="F83" i="33"/>
  <c r="K203" i="19"/>
  <c r="AX21" i="9"/>
  <c r="K143" i="56"/>
  <c r="K145" i="56" s="1"/>
  <c r="K153" i="56" s="1"/>
  <c r="L129" i="56"/>
  <c r="AA186" i="13"/>
  <c r="AV166" i="9"/>
  <c r="L191" i="13"/>
  <c r="AW15" i="9"/>
  <c r="N252" i="48"/>
  <c r="N259" i="48" s="1"/>
  <c r="N271" i="48" s="1"/>
  <c r="L252" i="48"/>
  <c r="L259" i="48" s="1"/>
  <c r="V50" i="13"/>
  <c r="V228" i="52"/>
  <c r="V235" i="52" s="1"/>
  <c r="V247" i="52" s="1"/>
  <c r="P50" i="13"/>
  <c r="P228" i="52"/>
  <c r="P235" i="52" s="1"/>
  <c r="P247" i="52" s="1"/>
  <c r="Y103" i="13"/>
  <c r="Y104" i="13" s="1"/>
  <c r="Y107" i="13" s="1"/>
  <c r="W132" i="9"/>
  <c r="X132" i="9" s="1"/>
  <c r="Y132" i="9" s="1"/>
  <c r="Z132" i="9" s="1"/>
  <c r="AA132" i="9" s="1"/>
  <c r="AB132" i="9" s="1"/>
  <c r="AC132" i="9" s="1"/>
  <c r="AD132" i="9" s="1"/>
  <c r="AA40" i="13"/>
  <c r="L46" i="13"/>
  <c r="Q103" i="9"/>
  <c r="F84" i="33"/>
  <c r="S130" i="9"/>
  <c r="T130" i="9" s="1"/>
  <c r="U130" i="9" s="1"/>
  <c r="I192" i="56"/>
  <c r="I186" i="56"/>
  <c r="J181" i="56" s="1"/>
  <c r="J186" i="56" s="1"/>
  <c r="K181" i="56" s="1"/>
  <c r="K338" i="56"/>
  <c r="L324" i="56"/>
  <c r="L326" i="56" s="1"/>
  <c r="Q33" i="9"/>
  <c r="I221" i="56"/>
  <c r="J207" i="56"/>
  <c r="J209" i="56" s="1"/>
  <c r="I209" i="56"/>
  <c r="I211" i="56" s="1"/>
  <c r="V160" i="9"/>
  <c r="R193" i="9"/>
  <c r="S19" i="9"/>
  <c r="X252" i="48"/>
  <c r="X259" i="48" s="1"/>
  <c r="X271" i="48" s="1"/>
  <c r="O252" i="48"/>
  <c r="O259" i="48" s="1"/>
  <c r="O271" i="48" s="1"/>
  <c r="S203" i="19"/>
  <c r="F160" i="33"/>
  <c r="Y50" i="13"/>
  <c r="Y228" i="52"/>
  <c r="Y235" i="52" s="1"/>
  <c r="Y247" i="52" s="1"/>
  <c r="M50" i="13"/>
  <c r="M228" i="52"/>
  <c r="M235" i="52" s="1"/>
  <c r="M247" i="52" s="1"/>
  <c r="S45" i="9"/>
  <c r="T45" i="9" s="1"/>
  <c r="F68" i="33"/>
  <c r="E78" i="33"/>
  <c r="H77" i="33" s="1"/>
  <c r="S103" i="13"/>
  <c r="S104" i="13" s="1"/>
  <c r="S107" i="13" s="1"/>
  <c r="O103" i="13"/>
  <c r="O104" i="13" s="1"/>
  <c r="O107" i="13" s="1"/>
  <c r="U162" i="9"/>
  <c r="V162" i="9" s="1"/>
  <c r="W162" i="9" s="1"/>
  <c r="X162" i="9" s="1"/>
  <c r="Y162" i="9" s="1"/>
  <c r="Z162" i="9" s="1"/>
  <c r="AA162" i="9" s="1"/>
  <c r="AB162" i="9" s="1"/>
  <c r="AC162" i="9" s="1"/>
  <c r="AD162" i="9" s="1"/>
  <c r="AE162" i="9" s="1"/>
  <c r="AF162" i="9" s="1"/>
  <c r="AG162" i="9" s="1"/>
  <c r="AH162" i="9" s="1"/>
  <c r="AI162" i="9" s="1"/>
  <c r="AJ162" i="9" s="1"/>
  <c r="AK162" i="9" s="1"/>
  <c r="AL162" i="9" s="1"/>
  <c r="AM162" i="9" s="1"/>
  <c r="AN162" i="9" s="1"/>
  <c r="AO162" i="9" s="1"/>
  <c r="AP162" i="9" s="1"/>
  <c r="M203" i="19"/>
  <c r="T16" i="9"/>
  <c r="V133" i="9"/>
  <c r="Y203" i="29"/>
  <c r="W225" i="9"/>
  <c r="Q46" i="13"/>
  <c r="Q49" i="13" s="1"/>
  <c r="U203" i="19"/>
  <c r="L195" i="13"/>
  <c r="L228" i="40"/>
  <c r="L235" i="40" s="1"/>
  <c r="L247" i="40" s="1"/>
  <c r="S195" i="13"/>
  <c r="S228" i="40"/>
  <c r="S235" i="40" s="1"/>
  <c r="S247" i="40" s="1"/>
  <c r="T134" i="9"/>
  <c r="U134" i="9" s="1"/>
  <c r="V134" i="9" s="1"/>
  <c r="W134" i="9" s="1"/>
  <c r="X134" i="9" s="1"/>
  <c r="Y134" i="9" s="1"/>
  <c r="Z134" i="9" s="1"/>
  <c r="AA134" i="9" s="1"/>
  <c r="AB134" i="9" s="1"/>
  <c r="AC134" i="9" s="1"/>
  <c r="AD134" i="9" s="1"/>
  <c r="AE134" i="9" s="1"/>
  <c r="AF134" i="9" s="1"/>
  <c r="AG134" i="9" s="1"/>
  <c r="AH134" i="9" s="1"/>
  <c r="AI134" i="9" s="1"/>
  <c r="AJ134" i="9" s="1"/>
  <c r="AK134" i="9" s="1"/>
  <c r="AL134" i="9" s="1"/>
  <c r="AM134" i="9" s="1"/>
  <c r="AN134" i="9" s="1"/>
  <c r="AO134" i="9" s="1"/>
  <c r="AP134" i="9" s="1"/>
  <c r="F165" i="33"/>
  <c r="F72" i="33"/>
  <c r="X203" i="29"/>
  <c r="AY194" i="9"/>
  <c r="S195" i="9"/>
  <c r="I65" i="56"/>
  <c r="I67" i="56" s="1"/>
  <c r="I75" i="56" s="1"/>
  <c r="J51" i="56"/>
  <c r="I365" i="56"/>
  <c r="I366" i="56" s="1"/>
  <c r="I367" i="56" s="1"/>
  <c r="O203" i="19"/>
  <c r="R76" i="9"/>
  <c r="BA77" i="9"/>
  <c r="BB77" i="9" s="1"/>
  <c r="Y225" i="13"/>
  <c r="Y226" i="13" s="1"/>
  <c r="Z225" i="13"/>
  <c r="Z226" i="13" s="1"/>
  <c r="V43" i="9"/>
  <c r="L168" i="56"/>
  <c r="K182" i="56"/>
  <c r="R74" i="9"/>
  <c r="F114" i="33"/>
  <c r="J334" i="56"/>
  <c r="J260" i="56"/>
  <c r="J262" i="56" s="1"/>
  <c r="J270" i="56" s="1"/>
  <c r="K246" i="56"/>
  <c r="K248" i="56" s="1"/>
  <c r="S47" i="9"/>
  <c r="T47" i="9" s="1"/>
  <c r="AU39" i="9"/>
  <c r="I55" i="56"/>
  <c r="J50" i="56" s="1"/>
  <c r="I58" i="56"/>
  <c r="I59" i="56" s="1"/>
  <c r="I61" i="56" s="1"/>
  <c r="L50" i="13"/>
  <c r="L228" i="52"/>
  <c r="L235" i="52" s="1"/>
  <c r="L247" i="52" s="1"/>
  <c r="T50" i="13"/>
  <c r="T228" i="52"/>
  <c r="T235" i="52" s="1"/>
  <c r="T247" i="52" s="1"/>
  <c r="E16" i="6"/>
  <c r="AA68" i="13"/>
  <c r="L83" i="13" s="1"/>
  <c r="L74" i="13"/>
  <c r="F171" i="33"/>
  <c r="F180" i="33" s="1"/>
  <c r="E180" i="33"/>
  <c r="U50" i="13"/>
  <c r="U228" i="52"/>
  <c r="U235" i="52" s="1"/>
  <c r="U247" i="52" s="1"/>
  <c r="X46" i="13"/>
  <c r="X49" i="13" s="1"/>
  <c r="R195" i="13"/>
  <c r="R228" i="40"/>
  <c r="R235" i="40" s="1"/>
  <c r="R247" i="40" s="1"/>
  <c r="X106" i="9"/>
  <c r="Y106" i="9" s="1"/>
  <c r="Z106" i="9" s="1"/>
  <c r="AA106" i="9" s="1"/>
  <c r="AB106" i="9" s="1"/>
  <c r="AC106" i="9" s="1"/>
  <c r="AD106" i="9" s="1"/>
  <c r="AE106" i="9" s="1"/>
  <c r="AF106" i="9" s="1"/>
  <c r="AG106" i="9" s="1"/>
  <c r="AH106" i="9" s="1"/>
  <c r="AI106" i="9" s="1"/>
  <c r="AJ106" i="9" s="1"/>
  <c r="AK106" i="9" s="1"/>
  <c r="AL106" i="9" s="1"/>
  <c r="AM106" i="9" s="1"/>
  <c r="AN106" i="9" s="1"/>
  <c r="AO106" i="9" s="1"/>
  <c r="AP106" i="9" s="1"/>
  <c r="R15" i="9"/>
  <c r="P91" i="9"/>
  <c r="I56" i="33"/>
  <c r="I55" i="33"/>
  <c r="I29" i="33"/>
  <c r="AA22" i="13"/>
  <c r="L32" i="13" s="1"/>
  <c r="I11" i="33" s="1"/>
  <c r="J145" i="56"/>
  <c r="J153" i="56" s="1"/>
  <c r="S17" i="9"/>
  <c r="T17" i="9" s="1"/>
  <c r="P39" i="9"/>
  <c r="S369" i="56"/>
  <c r="R369" i="56"/>
  <c r="K369" i="56"/>
  <c r="N369" i="56"/>
  <c r="T369" i="56"/>
  <c r="U369" i="56"/>
  <c r="O369" i="56"/>
  <c r="Q369" i="56"/>
  <c r="L369" i="56"/>
  <c r="J369" i="56"/>
  <c r="V369" i="56"/>
  <c r="I369" i="56"/>
  <c r="P369" i="56"/>
  <c r="W369" i="56"/>
  <c r="I64" i="56"/>
  <c r="M369" i="56"/>
  <c r="S49" i="9"/>
  <c r="AV167" i="9"/>
  <c r="AW167" i="9" s="1"/>
  <c r="Q166" i="9"/>
  <c r="T252" i="48"/>
  <c r="T259" i="48" s="1"/>
  <c r="T271" i="48" s="1"/>
  <c r="S252" i="48"/>
  <c r="S259" i="48" s="1"/>
  <c r="S271" i="48" s="1"/>
  <c r="R197" i="9"/>
  <c r="Q50" i="13"/>
  <c r="Q228" i="52"/>
  <c r="Q235" i="52" s="1"/>
  <c r="Q247" i="52" s="1"/>
  <c r="X50" i="13"/>
  <c r="X228" i="52"/>
  <c r="X235" i="52" s="1"/>
  <c r="X247" i="52" s="1"/>
  <c r="T97" i="9"/>
  <c r="H141" i="33"/>
  <c r="F117" i="33"/>
  <c r="Z103" i="13"/>
  <c r="Z104" i="13" s="1"/>
  <c r="Z107" i="13" s="1"/>
  <c r="Q199" i="9"/>
  <c r="Q75" i="9"/>
  <c r="R75" i="9" s="1"/>
  <c r="P48" i="9"/>
  <c r="R46" i="13"/>
  <c r="R49" i="13" s="1"/>
  <c r="W46" i="13"/>
  <c r="W49" i="13" s="1"/>
  <c r="P195" i="13"/>
  <c r="P228" i="40"/>
  <c r="P235" i="40" s="1"/>
  <c r="P247" i="40" s="1"/>
  <c r="U195" i="13"/>
  <c r="U228" i="40"/>
  <c r="U235" i="40" s="1"/>
  <c r="U247" i="40" s="1"/>
  <c r="K326" i="56"/>
  <c r="U137" i="9"/>
  <c r="AW45" i="9"/>
  <c r="AX45" i="9" s="1"/>
  <c r="AW72" i="9"/>
  <c r="AX130" i="9"/>
  <c r="P203" i="29"/>
  <c r="S221" i="9"/>
  <c r="AT34" i="9"/>
  <c r="AU24" i="9"/>
  <c r="Q40" i="9"/>
  <c r="O123" i="9"/>
  <c r="P96" i="9"/>
  <c r="K203" i="29"/>
  <c r="S79" i="9"/>
  <c r="T225" i="13"/>
  <c r="T226" i="13" s="1"/>
  <c r="AX162" i="9"/>
  <c r="AY162" i="9" s="1"/>
  <c r="AZ162" i="9" s="1"/>
  <c r="AZ104" i="9"/>
  <c r="BA104" i="9" s="1"/>
  <c r="BB104" i="9" s="1"/>
  <c r="I262" i="56"/>
  <c r="F102" i="33"/>
  <c r="R203" i="29"/>
  <c r="AA288" i="31" l="1"/>
  <c r="AA137" i="13"/>
  <c r="L147" i="13" s="1"/>
  <c r="L11" i="33" s="1"/>
  <c r="L34" i="33" s="1"/>
  <c r="AZ164" i="9"/>
  <c r="BA164" i="9" s="1"/>
  <c r="AX193" i="9"/>
  <c r="C24" i="53"/>
  <c r="M226" i="13"/>
  <c r="E32" i="33"/>
  <c r="D27" i="53" s="1"/>
  <c r="C27" i="53"/>
  <c r="V164" i="9"/>
  <c r="W164" i="9" s="1"/>
  <c r="AW199" i="9"/>
  <c r="AV229" i="9"/>
  <c r="AW229" i="9" s="1"/>
  <c r="AX229" i="9" s="1"/>
  <c r="BA131" i="9"/>
  <c r="AW165" i="9"/>
  <c r="AY49" i="9"/>
  <c r="AZ107" i="9"/>
  <c r="BA107" i="9" s="1"/>
  <c r="AX99" i="9"/>
  <c r="AY99" i="9" s="1"/>
  <c r="AZ99" i="9" s="1"/>
  <c r="BA99" i="9" s="1"/>
  <c r="AX18" i="9"/>
  <c r="F55" i="33"/>
  <c r="V51" i="13"/>
  <c r="AA187" i="13"/>
  <c r="L201" i="13" s="1"/>
  <c r="E8" i="33" s="1"/>
  <c r="I194" i="56"/>
  <c r="I196" i="56" s="1"/>
  <c r="I197" i="56" s="1"/>
  <c r="I198" i="56" s="1"/>
  <c r="I199" i="56" s="1"/>
  <c r="I201" i="56" s="1"/>
  <c r="I202" i="56" s="1"/>
  <c r="I311" i="56"/>
  <c r="I313" i="56" s="1"/>
  <c r="I314" i="56" s="1"/>
  <c r="I315" i="56" s="1"/>
  <c r="I316" i="56" s="1"/>
  <c r="I318" i="56" s="1"/>
  <c r="I319" i="56" s="1"/>
  <c r="H157" i="33"/>
  <c r="H160" i="33"/>
  <c r="P51" i="13"/>
  <c r="Q196" i="13"/>
  <c r="O196" i="13"/>
  <c r="F56" i="33"/>
  <c r="AY73" i="9"/>
  <c r="AZ223" i="9"/>
  <c r="BA223" i="9" s="1"/>
  <c r="BB223" i="9" s="1"/>
  <c r="H161" i="33"/>
  <c r="AY190" i="9"/>
  <c r="AZ190" i="9" s="1"/>
  <c r="V131" i="9"/>
  <c r="W131" i="9" s="1"/>
  <c r="O51" i="13"/>
  <c r="BB156" i="9"/>
  <c r="BC156" i="9" s="1"/>
  <c r="AY19" i="9"/>
  <c r="T73" i="9"/>
  <c r="U73" i="9" s="1"/>
  <c r="BA161" i="9"/>
  <c r="BB161" i="9" s="1"/>
  <c r="S51" i="13"/>
  <c r="S18" i="9"/>
  <c r="T18" i="9" s="1"/>
  <c r="U18" i="9" s="1"/>
  <c r="Y51" i="13"/>
  <c r="H158" i="33"/>
  <c r="AV228" i="9"/>
  <c r="AW228" i="9" s="1"/>
  <c r="BB133" i="9"/>
  <c r="W196" i="13"/>
  <c r="H159" i="33"/>
  <c r="V105" i="9"/>
  <c r="W105" i="9" s="1"/>
  <c r="X105" i="9" s="1"/>
  <c r="Y105" i="9" s="1"/>
  <c r="Z105" i="9" s="1"/>
  <c r="AA105" i="9" s="1"/>
  <c r="AB105" i="9" s="1"/>
  <c r="AC105" i="9" s="1"/>
  <c r="AD105" i="9" s="1"/>
  <c r="AE105" i="9" s="1"/>
  <c r="AF105" i="9" s="1"/>
  <c r="AG105" i="9" s="1"/>
  <c r="AH105" i="9" s="1"/>
  <c r="AI105" i="9" s="1"/>
  <c r="AJ105" i="9" s="1"/>
  <c r="AK105" i="9" s="1"/>
  <c r="AL105" i="9" s="1"/>
  <c r="U190" i="9"/>
  <c r="V190" i="9" s="1"/>
  <c r="BC104" i="9"/>
  <c r="BD104" i="9" s="1"/>
  <c r="BE104" i="9" s="1"/>
  <c r="BF104" i="9" s="1"/>
  <c r="AY130" i="9"/>
  <c r="AZ130" i="9" s="1"/>
  <c r="BA130" i="9" s="1"/>
  <c r="BC77" i="9"/>
  <c r="BD77" i="9" s="1"/>
  <c r="BE77" i="9" s="1"/>
  <c r="AZ194" i="9"/>
  <c r="H164" i="33"/>
  <c r="T196" i="13"/>
  <c r="AY79" i="9"/>
  <c r="AX200" i="9"/>
  <c r="AY200" i="9" s="1"/>
  <c r="AZ200" i="9" s="1"/>
  <c r="AY196" i="9"/>
  <c r="AZ196" i="9" s="1"/>
  <c r="W20" i="9"/>
  <c r="AY224" i="9"/>
  <c r="AZ224" i="9" s="1"/>
  <c r="BA224" i="9" s="1"/>
  <c r="AA42" i="13"/>
  <c r="L56" i="13" s="1"/>
  <c r="F8" i="33" s="1"/>
  <c r="F31" i="33" s="1"/>
  <c r="AW78" i="9"/>
  <c r="AV39" i="9"/>
  <c r="N196" i="13"/>
  <c r="H163" i="33"/>
  <c r="AW102" i="9"/>
  <c r="AZ105" i="9"/>
  <c r="BA105" i="9" s="1"/>
  <c r="Q91" i="9"/>
  <c r="E92" i="33"/>
  <c r="H84" i="33" s="1"/>
  <c r="AX72" i="9"/>
  <c r="H165" i="33"/>
  <c r="H156" i="33"/>
  <c r="BM16" i="6"/>
  <c r="BI17" i="6" s="1"/>
  <c r="AA104" i="9"/>
  <c r="H155" i="33"/>
  <c r="BA20" i="9"/>
  <c r="BB20" i="9" s="1"/>
  <c r="J89" i="56"/>
  <c r="I115" i="56"/>
  <c r="I106" i="56"/>
  <c r="I114" i="56" s="1"/>
  <c r="S14" i="9"/>
  <c r="T14" i="9" s="1"/>
  <c r="BB43" i="9"/>
  <c r="H98" i="33"/>
  <c r="AY100" i="9"/>
  <c r="BB163" i="9"/>
  <c r="BC163" i="9" s="1"/>
  <c r="BD163" i="9" s="1"/>
  <c r="BE163" i="9" s="1"/>
  <c r="J92" i="56"/>
  <c r="J104" i="56"/>
  <c r="J106" i="56" s="1"/>
  <c r="J114" i="56" s="1"/>
  <c r="K90" i="56"/>
  <c r="AY21" i="9"/>
  <c r="AZ21" i="9" s="1"/>
  <c r="AX14" i="9"/>
  <c r="R165" i="9"/>
  <c r="S165" i="9" s="1"/>
  <c r="M196" i="13"/>
  <c r="AE132" i="9"/>
  <c r="Z51" i="13"/>
  <c r="I100" i="56"/>
  <c r="I111" i="56" s="1"/>
  <c r="AV192" i="9"/>
  <c r="V42" i="9"/>
  <c r="W42" i="9" s="1"/>
  <c r="X42" i="9" s="1"/>
  <c r="U97" i="9"/>
  <c r="V97" i="9" s="1"/>
  <c r="W97" i="9" s="1"/>
  <c r="X97" i="9" s="1"/>
  <c r="Y97" i="9" s="1"/>
  <c r="Z97" i="9" s="1"/>
  <c r="AA97" i="9" s="1"/>
  <c r="W161" i="9"/>
  <c r="X161" i="9" s="1"/>
  <c r="Y161" i="9" s="1"/>
  <c r="Z161" i="9" s="1"/>
  <c r="R33" i="9"/>
  <c r="AZ134" i="9"/>
  <c r="BA134" i="9" s="1"/>
  <c r="BB134" i="9" s="1"/>
  <c r="BC134" i="9" s="1"/>
  <c r="BD134" i="9" s="1"/>
  <c r="BE134" i="9" s="1"/>
  <c r="BF134" i="9" s="1"/>
  <c r="BG134" i="9" s="1"/>
  <c r="BH134" i="9" s="1"/>
  <c r="BI134" i="9" s="1"/>
  <c r="BJ134" i="9" s="1"/>
  <c r="BK134" i="9" s="1"/>
  <c r="BL134" i="9" s="1"/>
  <c r="BM134" i="9" s="1"/>
  <c r="BN134" i="9" s="1"/>
  <c r="BO134" i="9" s="1"/>
  <c r="BP134" i="9" s="1"/>
  <c r="BQ134" i="9" s="1"/>
  <c r="BR134" i="9" s="1"/>
  <c r="BS134" i="9" s="1"/>
  <c r="BT134" i="9" s="1"/>
  <c r="BU134" i="9" s="1"/>
  <c r="AZ226" i="9"/>
  <c r="BA226" i="9" s="1"/>
  <c r="AV48" i="9"/>
  <c r="R102" i="9"/>
  <c r="AY222" i="9"/>
  <c r="AZ222" i="9" s="1"/>
  <c r="BA222" i="9" s="1"/>
  <c r="BB222" i="9" s="1"/>
  <c r="BC222" i="9" s="1"/>
  <c r="AZ42" i="9"/>
  <c r="BA42" i="9" s="1"/>
  <c r="U51" i="13"/>
  <c r="V226" i="9"/>
  <c r="W226" i="9" s="1"/>
  <c r="X226" i="9" s="1"/>
  <c r="Y226" i="9" s="1"/>
  <c r="Z226" i="9" s="1"/>
  <c r="AA226" i="9" s="1"/>
  <c r="AB226" i="9" s="1"/>
  <c r="AC226" i="9" s="1"/>
  <c r="AD226" i="9" s="1"/>
  <c r="AE226" i="9" s="1"/>
  <c r="AF226" i="9" s="1"/>
  <c r="AG226" i="9" s="1"/>
  <c r="AH226" i="9" s="1"/>
  <c r="AI226" i="9" s="1"/>
  <c r="AJ226" i="9" s="1"/>
  <c r="AK226" i="9" s="1"/>
  <c r="AL226" i="9" s="1"/>
  <c r="AM226" i="9" s="1"/>
  <c r="AN226" i="9" s="1"/>
  <c r="AO226" i="9" s="1"/>
  <c r="AP226" i="9" s="1"/>
  <c r="V107" i="9"/>
  <c r="W107" i="9" s="1"/>
  <c r="S193" i="9"/>
  <c r="T193" i="9" s="1"/>
  <c r="AX167" i="9"/>
  <c r="AY167" i="9" s="1"/>
  <c r="AV96" i="9"/>
  <c r="F92" i="33"/>
  <c r="F166" i="33"/>
  <c r="H113" i="33"/>
  <c r="AW75" i="9"/>
  <c r="AX75" i="9" s="1"/>
  <c r="X196" i="13"/>
  <c r="H117" i="33"/>
  <c r="BA137" i="9"/>
  <c r="V196" i="13"/>
  <c r="AW166" i="9"/>
  <c r="AY98" i="9"/>
  <c r="BB160" i="9"/>
  <c r="L200" i="13"/>
  <c r="E7" i="33" s="1"/>
  <c r="AW50" i="9"/>
  <c r="AX50" i="9" s="1"/>
  <c r="V224" i="9"/>
  <c r="W224" i="9" s="1"/>
  <c r="X224" i="9" s="1"/>
  <c r="T51" i="13"/>
  <c r="Q192" i="9"/>
  <c r="Q216" i="9" s="1"/>
  <c r="S196" i="13"/>
  <c r="F78" i="33"/>
  <c r="U47" i="9"/>
  <c r="V47" i="9" s="1"/>
  <c r="W47" i="9" s="1"/>
  <c r="X47" i="9" s="1"/>
  <c r="Y47" i="9" s="1"/>
  <c r="Z47" i="9" s="1"/>
  <c r="Q96" i="9"/>
  <c r="Q123" i="9" s="1"/>
  <c r="I69" i="56"/>
  <c r="J64" i="56" s="1"/>
  <c r="AY136" i="9"/>
  <c r="AZ136" i="9" s="1"/>
  <c r="I154" i="56"/>
  <c r="I155" i="56" s="1"/>
  <c r="I157" i="56" s="1"/>
  <c r="I158" i="56" s="1"/>
  <c r="I159" i="56" s="1"/>
  <c r="I160" i="56" s="1"/>
  <c r="I162" i="56" s="1"/>
  <c r="I163" i="56" s="1"/>
  <c r="J128" i="56"/>
  <c r="X222" i="9"/>
  <c r="Y222" i="9" s="1"/>
  <c r="Z222" i="9" s="1"/>
  <c r="AA222" i="9" s="1"/>
  <c r="AB222" i="9" s="1"/>
  <c r="BA16" i="6"/>
  <c r="U21" i="9"/>
  <c r="V21" i="9" s="1"/>
  <c r="W21" i="9" s="1"/>
  <c r="X21" i="9" s="1"/>
  <c r="Y21" i="9" s="1"/>
  <c r="Z21" i="9" s="1"/>
  <c r="AA21" i="9" s="1"/>
  <c r="AB21" i="9" s="1"/>
  <c r="AC21" i="9" s="1"/>
  <c r="AD21" i="9" s="1"/>
  <c r="AE21" i="9" s="1"/>
  <c r="AF21" i="9" s="1"/>
  <c r="AG21" i="9" s="1"/>
  <c r="AH21" i="9" s="1"/>
  <c r="AI21" i="9" s="1"/>
  <c r="AJ21" i="9" s="1"/>
  <c r="AK21" i="9" s="1"/>
  <c r="AL21" i="9" s="1"/>
  <c r="AM21" i="9" s="1"/>
  <c r="AN21" i="9" s="1"/>
  <c r="AO21" i="9" s="1"/>
  <c r="AP21" i="9" s="1"/>
  <c r="S50" i="9"/>
  <c r="T50" i="9" s="1"/>
  <c r="U50" i="9" s="1"/>
  <c r="U196" i="9"/>
  <c r="V196" i="9" s="1"/>
  <c r="W196" i="9" s="1"/>
  <c r="X196" i="9" s="1"/>
  <c r="Y196" i="9" s="1"/>
  <c r="Z196" i="9" s="1"/>
  <c r="AA196" i="9" s="1"/>
  <c r="AB196" i="9" s="1"/>
  <c r="AC196" i="9" s="1"/>
  <c r="AD196" i="9" s="1"/>
  <c r="AE196" i="9" s="1"/>
  <c r="AF196" i="9" s="1"/>
  <c r="AG196" i="9" s="1"/>
  <c r="J58" i="56"/>
  <c r="J59" i="56" s="1"/>
  <c r="U16" i="9"/>
  <c r="V16" i="9" s="1"/>
  <c r="W16" i="9" s="1"/>
  <c r="X16" i="9" s="1"/>
  <c r="Y16" i="9" s="1"/>
  <c r="Z16" i="9" s="1"/>
  <c r="AA16" i="9" s="1"/>
  <c r="AB16" i="9" s="1"/>
  <c r="AC16" i="9" s="1"/>
  <c r="AD16" i="9" s="1"/>
  <c r="AE16" i="9" s="1"/>
  <c r="AF16" i="9" s="1"/>
  <c r="AG16" i="9" s="1"/>
  <c r="AH16" i="9" s="1"/>
  <c r="AI16" i="9" s="1"/>
  <c r="AJ16" i="9" s="1"/>
  <c r="AK16" i="9" s="1"/>
  <c r="AL16" i="9" s="1"/>
  <c r="AM16" i="9" s="1"/>
  <c r="AN16" i="9" s="1"/>
  <c r="AO16" i="9" s="1"/>
  <c r="AP16" i="9" s="1"/>
  <c r="Y108" i="13"/>
  <c r="Y109" i="13" s="1"/>
  <c r="Y228" i="30"/>
  <c r="Y235" i="30" s="1"/>
  <c r="Y247" i="30" s="1"/>
  <c r="S150" i="9"/>
  <c r="T129" i="9"/>
  <c r="AY129" i="9"/>
  <c r="H175" i="33"/>
  <c r="H172" i="33"/>
  <c r="H176" i="33"/>
  <c r="H177" i="33"/>
  <c r="H174" i="33"/>
  <c r="H173" i="33"/>
  <c r="H179" i="33"/>
  <c r="H170" i="33"/>
  <c r="H178" i="33"/>
  <c r="T195" i="9"/>
  <c r="U195" i="9" s="1"/>
  <c r="H68" i="33"/>
  <c r="J206" i="56"/>
  <c r="I232" i="56"/>
  <c r="L271" i="48"/>
  <c r="AA288" i="48" s="1"/>
  <c r="S108" i="13"/>
  <c r="S109" i="13" s="1"/>
  <c r="S228" i="30"/>
  <c r="S235" i="30" s="1"/>
  <c r="S247" i="30" s="1"/>
  <c r="AX197" i="9"/>
  <c r="K331" i="56"/>
  <c r="K332" i="56" s="1"/>
  <c r="K334" i="56" s="1"/>
  <c r="K328" i="56"/>
  <c r="L323" i="56" s="1"/>
  <c r="H72" i="33"/>
  <c r="U108" i="13"/>
  <c r="U109" i="13" s="1"/>
  <c r="U228" i="30"/>
  <c r="U235" i="30" s="1"/>
  <c r="U247" i="30" s="1"/>
  <c r="K7" i="33"/>
  <c r="H151" i="33"/>
  <c r="I151" i="33" s="1"/>
  <c r="AZ16" i="9"/>
  <c r="T46" i="9"/>
  <c r="U136" i="9"/>
  <c r="V136" i="9" s="1"/>
  <c r="W136" i="9" s="1"/>
  <c r="X136" i="9" s="1"/>
  <c r="Y136" i="9" s="1"/>
  <c r="Z136" i="9" s="1"/>
  <c r="AA136" i="9" s="1"/>
  <c r="AB136" i="9" s="1"/>
  <c r="AC136" i="9" s="1"/>
  <c r="AD136" i="9" s="1"/>
  <c r="AE136" i="9" s="1"/>
  <c r="AF136" i="9" s="1"/>
  <c r="AG136" i="9" s="1"/>
  <c r="AH136" i="9" s="1"/>
  <c r="AI136" i="9" s="1"/>
  <c r="AJ136" i="9" s="1"/>
  <c r="AK136" i="9" s="1"/>
  <c r="AL136" i="9" s="1"/>
  <c r="AM136" i="9" s="1"/>
  <c r="AN136" i="9" s="1"/>
  <c r="AO136" i="9" s="1"/>
  <c r="AP136" i="9" s="1"/>
  <c r="AY41" i="9"/>
  <c r="L107" i="13"/>
  <c r="AA104" i="13"/>
  <c r="R196" i="13"/>
  <c r="P123" i="9"/>
  <c r="R199" i="9"/>
  <c r="R166" i="9"/>
  <c r="P66" i="9"/>
  <c r="Q39" i="9"/>
  <c r="I15" i="33"/>
  <c r="I34" i="33"/>
  <c r="AA74" i="13"/>
  <c r="K260" i="56"/>
  <c r="L246" i="56"/>
  <c r="P242" i="9"/>
  <c r="Q51" i="13"/>
  <c r="T19" i="9"/>
  <c r="V137" i="9"/>
  <c r="L143" i="56"/>
  <c r="M129" i="56"/>
  <c r="L131" i="56"/>
  <c r="AX76" i="9"/>
  <c r="H118" i="33"/>
  <c r="H119" i="33"/>
  <c r="H115" i="33"/>
  <c r="H116" i="33"/>
  <c r="H120" i="33"/>
  <c r="H121" i="33"/>
  <c r="H122" i="33"/>
  <c r="H112" i="33"/>
  <c r="T167" i="9"/>
  <c r="L228" i="30"/>
  <c r="L235" i="30" s="1"/>
  <c r="L108" i="13"/>
  <c r="O108" i="13"/>
  <c r="O109" i="13" s="1"/>
  <c r="O228" i="30"/>
  <c r="O235" i="30" s="1"/>
  <c r="O247" i="30" s="1"/>
  <c r="K340" i="56"/>
  <c r="K348" i="56" s="1"/>
  <c r="H103" i="33"/>
  <c r="H105" i="33"/>
  <c r="H104" i="33"/>
  <c r="H99" i="33"/>
  <c r="H100" i="33"/>
  <c r="H101" i="33"/>
  <c r="H106" i="33"/>
  <c r="H97" i="33"/>
  <c r="H107" i="33"/>
  <c r="R159" i="9"/>
  <c r="S159" i="9" s="1"/>
  <c r="AY221" i="9"/>
  <c r="M51" i="13"/>
  <c r="K175" i="56"/>
  <c r="K176" i="56" s="1"/>
  <c r="K178" i="56" s="1"/>
  <c r="K172" i="56"/>
  <c r="L167" i="56" s="1"/>
  <c r="Z196" i="13"/>
  <c r="P196" i="13"/>
  <c r="S197" i="9"/>
  <c r="T197" i="9" s="1"/>
  <c r="AN12" i="6"/>
  <c r="AN16" i="6" s="1"/>
  <c r="L135" i="13" s="1"/>
  <c r="AN9" i="6"/>
  <c r="X108" i="13"/>
  <c r="X109" i="13" s="1"/>
  <c r="X228" i="30"/>
  <c r="X235" i="30" s="1"/>
  <c r="X247" i="30" s="1"/>
  <c r="S191" i="9"/>
  <c r="T191" i="9" s="1"/>
  <c r="U191" i="9" s="1"/>
  <c r="V191" i="9" s="1"/>
  <c r="W191" i="9" s="1"/>
  <c r="X191" i="9" s="1"/>
  <c r="Y191" i="9" s="1"/>
  <c r="Z191" i="9" s="1"/>
  <c r="AA191" i="9" s="1"/>
  <c r="AB191" i="9" s="1"/>
  <c r="AC191" i="9" s="1"/>
  <c r="AD191" i="9" s="1"/>
  <c r="AE191" i="9" s="1"/>
  <c r="AF191" i="9" s="1"/>
  <c r="AG191" i="9" s="1"/>
  <c r="AH191" i="9" s="1"/>
  <c r="AI191" i="9" s="1"/>
  <c r="AJ191" i="9" s="1"/>
  <c r="AK191" i="9" s="1"/>
  <c r="AL191" i="9" s="1"/>
  <c r="AM191" i="9" s="1"/>
  <c r="AN191" i="9" s="1"/>
  <c r="AO191" i="9" s="1"/>
  <c r="AP191" i="9" s="1"/>
  <c r="AA18" i="13"/>
  <c r="R228" i="9"/>
  <c r="J15" i="33"/>
  <c r="J34" i="33"/>
  <c r="H171" i="33"/>
  <c r="V108" i="13"/>
  <c r="V109" i="13" s="1"/>
  <c r="V228" i="30"/>
  <c r="V235" i="30" s="1"/>
  <c r="V247" i="30" s="1"/>
  <c r="AW189" i="9"/>
  <c r="S15" i="9"/>
  <c r="J221" i="56"/>
  <c r="K207" i="56"/>
  <c r="X156" i="9"/>
  <c r="V99" i="9"/>
  <c r="S229" i="9"/>
  <c r="T229" i="9" s="1"/>
  <c r="U229" i="9" s="1"/>
  <c r="AY45" i="9"/>
  <c r="AZ45" i="9" s="1"/>
  <c r="E12" i="6"/>
  <c r="F16" i="6"/>
  <c r="G16" i="6" s="1"/>
  <c r="AA50" i="13"/>
  <c r="L60" i="13" s="1"/>
  <c r="F11" i="33" s="1"/>
  <c r="J345" i="56"/>
  <c r="J350" i="56" s="1"/>
  <c r="J352" i="56" s="1"/>
  <c r="X225" i="9"/>
  <c r="Y225" i="9" s="1"/>
  <c r="Z225" i="9" s="1"/>
  <c r="AA225" i="9" s="1"/>
  <c r="AB225" i="9" s="1"/>
  <c r="AC225" i="9" s="1"/>
  <c r="AD225" i="9" s="1"/>
  <c r="AE225" i="9" s="1"/>
  <c r="AF225" i="9" s="1"/>
  <c r="AG225" i="9" s="1"/>
  <c r="AH225" i="9" s="1"/>
  <c r="AI225" i="9" s="1"/>
  <c r="AJ225" i="9" s="1"/>
  <c r="AK225" i="9" s="1"/>
  <c r="AL225" i="9" s="1"/>
  <c r="AM225" i="9" s="1"/>
  <c r="AN225" i="9" s="1"/>
  <c r="AO225" i="9" s="1"/>
  <c r="AP225" i="9" s="1"/>
  <c r="I223" i="56"/>
  <c r="L49" i="13"/>
  <c r="L51" i="13" s="1"/>
  <c r="AA46" i="13"/>
  <c r="U200" i="9"/>
  <c r="V200" i="9" s="1"/>
  <c r="W200" i="9" s="1"/>
  <c r="AW40" i="9"/>
  <c r="AV12" i="6"/>
  <c r="AV16" i="6" s="1"/>
  <c r="L164" i="13" s="1"/>
  <c r="AV9" i="6"/>
  <c r="T108" i="13"/>
  <c r="T109" i="13" s="1"/>
  <c r="T228" i="30"/>
  <c r="T235" i="30" s="1"/>
  <c r="T247" i="30" s="1"/>
  <c r="P108" i="13"/>
  <c r="P109" i="13" s="1"/>
  <c r="P228" i="30"/>
  <c r="P235" i="30" s="1"/>
  <c r="P247" i="30" s="1"/>
  <c r="AY227" i="9"/>
  <c r="AZ227" i="9" s="1"/>
  <c r="F108" i="33"/>
  <c r="AW159" i="9"/>
  <c r="AX191" i="9"/>
  <c r="J309" i="56"/>
  <c r="J303" i="56"/>
  <c r="K298" i="56" s="1"/>
  <c r="K303" i="56" s="1"/>
  <c r="L298" i="56" s="1"/>
  <c r="AY47" i="9"/>
  <c r="AZ47" i="9" s="1"/>
  <c r="AW103" i="9"/>
  <c r="T100" i="9"/>
  <c r="BC132" i="9"/>
  <c r="BD132" i="9" s="1"/>
  <c r="BE132" i="9" s="1"/>
  <c r="BF132" i="9" s="1"/>
  <c r="BG132" i="9" s="1"/>
  <c r="BH132" i="9" s="1"/>
  <c r="BI132" i="9" s="1"/>
  <c r="BJ132" i="9" s="1"/>
  <c r="U227" i="9"/>
  <c r="AX198" i="9"/>
  <c r="S198" i="9"/>
  <c r="T198" i="9" s="1"/>
  <c r="U198" i="9" s="1"/>
  <c r="V198" i="9" s="1"/>
  <c r="W198" i="9" s="1"/>
  <c r="X198" i="9" s="1"/>
  <c r="Y198" i="9" s="1"/>
  <c r="Z198" i="9" s="1"/>
  <c r="AA198" i="9" s="1"/>
  <c r="AB198" i="9" s="1"/>
  <c r="AC198" i="9" s="1"/>
  <c r="AD198" i="9" s="1"/>
  <c r="AE198" i="9" s="1"/>
  <c r="AF198" i="9" s="1"/>
  <c r="AG198" i="9" s="1"/>
  <c r="AH198" i="9" s="1"/>
  <c r="AI198" i="9" s="1"/>
  <c r="AJ198" i="9" s="1"/>
  <c r="AK198" i="9" s="1"/>
  <c r="AL198" i="9" s="1"/>
  <c r="AM198" i="9" s="1"/>
  <c r="AN198" i="9" s="1"/>
  <c r="AO198" i="9" s="1"/>
  <c r="AP198" i="9" s="1"/>
  <c r="J193" i="56"/>
  <c r="AX44" i="9"/>
  <c r="L194" i="13"/>
  <c r="L196" i="13" s="1"/>
  <c r="AA191" i="13"/>
  <c r="J306" i="56"/>
  <c r="R189" i="9"/>
  <c r="I76" i="56"/>
  <c r="G55" i="33"/>
  <c r="G29" i="33"/>
  <c r="G56" i="33"/>
  <c r="I217" i="56"/>
  <c r="AU34" i="9"/>
  <c r="AV24" i="9"/>
  <c r="W160" i="9"/>
  <c r="X160" i="9" s="1"/>
  <c r="Y160" i="9" s="1"/>
  <c r="Z160" i="9" s="1"/>
  <c r="AA160" i="9" s="1"/>
  <c r="AB160" i="9" s="1"/>
  <c r="AC160" i="9" s="1"/>
  <c r="AD160" i="9" s="1"/>
  <c r="AE160" i="9" s="1"/>
  <c r="AF160" i="9" s="1"/>
  <c r="AG160" i="9" s="1"/>
  <c r="AH160" i="9" s="1"/>
  <c r="AI160" i="9" s="1"/>
  <c r="AJ160" i="9" s="1"/>
  <c r="AK160" i="9" s="1"/>
  <c r="AL160" i="9" s="1"/>
  <c r="AM160" i="9" s="1"/>
  <c r="AN160" i="9" s="1"/>
  <c r="AO160" i="9" s="1"/>
  <c r="AP160" i="9" s="1"/>
  <c r="R103" i="9"/>
  <c r="I270" i="56"/>
  <c r="I272" i="56" s="1"/>
  <c r="I274" i="56" s="1"/>
  <c r="I264" i="56"/>
  <c r="J259" i="56" s="1"/>
  <c r="J264" i="56" s="1"/>
  <c r="K259" i="56" s="1"/>
  <c r="BA162" i="9"/>
  <c r="BB162" i="9" s="1"/>
  <c r="BC162" i="9" s="1"/>
  <c r="BD162" i="9" s="1"/>
  <c r="BE162" i="9" s="1"/>
  <c r="BF162" i="9" s="1"/>
  <c r="BG162" i="9" s="1"/>
  <c r="BH162" i="9" s="1"/>
  <c r="BI162" i="9" s="1"/>
  <c r="BJ162" i="9" s="1"/>
  <c r="BK162" i="9" s="1"/>
  <c r="BL162" i="9" s="1"/>
  <c r="BM162" i="9" s="1"/>
  <c r="BN162" i="9" s="1"/>
  <c r="BO162" i="9" s="1"/>
  <c r="BP162" i="9" s="1"/>
  <c r="BQ162" i="9" s="1"/>
  <c r="BR162" i="9" s="1"/>
  <c r="BS162" i="9" s="1"/>
  <c r="BT162" i="9" s="1"/>
  <c r="BU162" i="9" s="1"/>
  <c r="J7" i="33"/>
  <c r="S74" i="9"/>
  <c r="T74" i="9" s="1"/>
  <c r="W43" i="9"/>
  <c r="X43" i="9" s="1"/>
  <c r="Y43" i="9" s="1"/>
  <c r="Z43" i="9" s="1"/>
  <c r="Q242" i="9"/>
  <c r="U45" i="9"/>
  <c r="V45" i="9" s="1"/>
  <c r="T41" i="9"/>
  <c r="U41" i="9" s="1"/>
  <c r="U194" i="9"/>
  <c r="N51" i="13"/>
  <c r="W223" i="9"/>
  <c r="X223" i="9" s="1"/>
  <c r="AA195" i="13"/>
  <c r="L205" i="13" s="1"/>
  <c r="E11" i="33" s="1"/>
  <c r="V130" i="9"/>
  <c r="L55" i="13"/>
  <c r="K292" i="56"/>
  <c r="K293" i="56" s="1"/>
  <c r="K295" i="56" s="1"/>
  <c r="K289" i="56"/>
  <c r="L284" i="56" s="1"/>
  <c r="Q108" i="13"/>
  <c r="Q109" i="13" s="1"/>
  <c r="Q228" i="30"/>
  <c r="Q235" i="30" s="1"/>
  <c r="Q247" i="30" s="1"/>
  <c r="Z108" i="13"/>
  <c r="Z109" i="13" s="1"/>
  <c r="Z228" i="30"/>
  <c r="Z235" i="30" s="1"/>
  <c r="Z247" i="30" s="1"/>
  <c r="BD106" i="9"/>
  <c r="BE106" i="9" s="1"/>
  <c r="BF106" i="9" s="1"/>
  <c r="BG106" i="9" s="1"/>
  <c r="BH106" i="9" s="1"/>
  <c r="BI106" i="9" s="1"/>
  <c r="BJ106" i="9" s="1"/>
  <c r="BK106" i="9" s="1"/>
  <c r="BL106" i="9" s="1"/>
  <c r="BM106" i="9" s="1"/>
  <c r="BN106" i="9" s="1"/>
  <c r="BO106" i="9" s="1"/>
  <c r="BP106" i="9" s="1"/>
  <c r="BQ106" i="9" s="1"/>
  <c r="BR106" i="9" s="1"/>
  <c r="BS106" i="9" s="1"/>
  <c r="BT106" i="9" s="1"/>
  <c r="BU106" i="9" s="1"/>
  <c r="E56" i="33"/>
  <c r="E55" i="33"/>
  <c r="E29" i="33"/>
  <c r="R40" i="9"/>
  <c r="S40" i="9" s="1"/>
  <c r="R78" i="9"/>
  <c r="L299" i="56"/>
  <c r="M285" i="56"/>
  <c r="L287" i="56"/>
  <c r="P9" i="6"/>
  <c r="P12" i="6"/>
  <c r="P16" i="6" s="1"/>
  <c r="L48" i="13" s="1"/>
  <c r="X12" i="6"/>
  <c r="X16" i="6" s="1"/>
  <c r="L76" i="13" s="1"/>
  <c r="L77" i="13" s="1"/>
  <c r="L79" i="13" s="1"/>
  <c r="X9" i="6"/>
  <c r="AA225" i="13"/>
  <c r="L235" i="13" s="1"/>
  <c r="K11" i="33" s="1"/>
  <c r="AZ97" i="9"/>
  <c r="AA103" i="13"/>
  <c r="L113" i="13" s="1"/>
  <c r="U196" i="13"/>
  <c r="J250" i="56"/>
  <c r="K245" i="56" s="1"/>
  <c r="J253" i="56"/>
  <c r="J254" i="56" s="1"/>
  <c r="J256" i="56" s="1"/>
  <c r="AY101" i="9"/>
  <c r="M168" i="56"/>
  <c r="L182" i="56"/>
  <c r="L170" i="56"/>
  <c r="H75" i="33"/>
  <c r="H73" i="33"/>
  <c r="H74" i="33"/>
  <c r="H69" i="33"/>
  <c r="H71" i="33"/>
  <c r="H70" i="33"/>
  <c r="H67" i="33"/>
  <c r="H76" i="33"/>
  <c r="X51" i="13"/>
  <c r="S44" i="9"/>
  <c r="T44" i="9" s="1"/>
  <c r="S75" i="9"/>
  <c r="L224" i="13"/>
  <c r="L226" i="13" s="1"/>
  <c r="AA221" i="13"/>
  <c r="Q183" i="9"/>
  <c r="I7" i="33"/>
  <c r="AF9" i="6"/>
  <c r="AF12" i="6"/>
  <c r="AF16" i="6" s="1"/>
  <c r="L106" i="13" s="1"/>
  <c r="T221" i="9"/>
  <c r="AA267" i="52"/>
  <c r="F123" i="33"/>
  <c r="R108" i="13"/>
  <c r="R109" i="13" s="1"/>
  <c r="R228" i="30"/>
  <c r="R235" i="30" s="1"/>
  <c r="R247" i="30" s="1"/>
  <c r="N108" i="13"/>
  <c r="N109" i="13" s="1"/>
  <c r="N228" i="30"/>
  <c r="N235" i="30" s="1"/>
  <c r="N247" i="30" s="1"/>
  <c r="Z163" i="9"/>
  <c r="AA163" i="9" s="1"/>
  <c r="AB163" i="9" s="1"/>
  <c r="U17" i="9"/>
  <c r="J189" i="56"/>
  <c r="W51" i="13"/>
  <c r="AY17" i="9"/>
  <c r="AZ17" i="9" s="1"/>
  <c r="J65" i="56"/>
  <c r="J370" i="56" s="1"/>
  <c r="J365" i="56"/>
  <c r="J366" i="56" s="1"/>
  <c r="K51" i="56"/>
  <c r="K53" i="56" s="1"/>
  <c r="J53" i="56"/>
  <c r="W133" i="9"/>
  <c r="X133" i="9" s="1"/>
  <c r="Y133" i="9" s="1"/>
  <c r="Z133" i="9" s="1"/>
  <c r="AA133" i="9" s="1"/>
  <c r="AB133" i="9" s="1"/>
  <c r="AC133" i="9" s="1"/>
  <c r="T79" i="9"/>
  <c r="R51" i="13"/>
  <c r="Q48" i="9"/>
  <c r="J147" i="56"/>
  <c r="K142" i="56" s="1"/>
  <c r="K147" i="56" s="1"/>
  <c r="L142" i="56" s="1"/>
  <c r="AX74" i="9"/>
  <c r="T101" i="9"/>
  <c r="U101" i="9" s="1"/>
  <c r="V101" i="9" s="1"/>
  <c r="W101" i="9" s="1"/>
  <c r="X101" i="9" s="1"/>
  <c r="Y101" i="9" s="1"/>
  <c r="Z101" i="9" s="1"/>
  <c r="AA101" i="9" s="1"/>
  <c r="AB101" i="9" s="1"/>
  <c r="AC101" i="9" s="1"/>
  <c r="AD101" i="9" s="1"/>
  <c r="AE101" i="9" s="1"/>
  <c r="AF101" i="9" s="1"/>
  <c r="AG101" i="9" s="1"/>
  <c r="AH101" i="9" s="1"/>
  <c r="AI101" i="9" s="1"/>
  <c r="AJ101" i="9" s="1"/>
  <c r="AK101" i="9" s="1"/>
  <c r="AL101" i="9" s="1"/>
  <c r="AM101" i="9" s="1"/>
  <c r="AN101" i="9" s="1"/>
  <c r="AO101" i="9" s="1"/>
  <c r="AP101" i="9" s="1"/>
  <c r="T49" i="9"/>
  <c r="Z77" i="9"/>
  <c r="I72" i="56"/>
  <c r="K184" i="56"/>
  <c r="K192" i="56" s="1"/>
  <c r="S76" i="9"/>
  <c r="I370" i="56"/>
  <c r="I371" i="56" s="1"/>
  <c r="L338" i="56"/>
  <c r="L340" i="56" s="1"/>
  <c r="L348" i="56" s="1"/>
  <c r="M324" i="56"/>
  <c r="M326" i="56" s="1"/>
  <c r="AX15" i="9"/>
  <c r="AY195" i="9"/>
  <c r="AA267" i="40"/>
  <c r="J310" i="56"/>
  <c r="M108" i="13"/>
  <c r="M109" i="13" s="1"/>
  <c r="M228" i="30"/>
  <c r="M235" i="30" s="1"/>
  <c r="M247" i="30" s="1"/>
  <c r="W228" i="30"/>
  <c r="W235" i="30" s="1"/>
  <c r="W247" i="30" s="1"/>
  <c r="W108" i="13"/>
  <c r="W109" i="13" s="1"/>
  <c r="BC225" i="9"/>
  <c r="AY135" i="9"/>
  <c r="AZ135" i="9" s="1"/>
  <c r="BA135" i="9" s="1"/>
  <c r="BB135" i="9" s="1"/>
  <c r="BC135" i="9" s="1"/>
  <c r="BD135" i="9" s="1"/>
  <c r="BE135" i="9" s="1"/>
  <c r="BF135" i="9" s="1"/>
  <c r="BG135" i="9" s="1"/>
  <c r="BH135" i="9" s="1"/>
  <c r="BI135" i="9" s="1"/>
  <c r="BJ135" i="9" s="1"/>
  <c r="BK135" i="9" s="1"/>
  <c r="BL135" i="9" s="1"/>
  <c r="BM135" i="9" s="1"/>
  <c r="BN135" i="9" s="1"/>
  <c r="BO135" i="9" s="1"/>
  <c r="BP135" i="9" s="1"/>
  <c r="BQ135" i="9" s="1"/>
  <c r="BR135" i="9" s="1"/>
  <c r="BS135" i="9" s="1"/>
  <c r="BT135" i="9" s="1"/>
  <c r="BU135" i="9" s="1"/>
  <c r="T98" i="9"/>
  <c r="AY46" i="9"/>
  <c r="S72" i="9"/>
  <c r="J342" i="56"/>
  <c r="K337" i="56" s="1"/>
  <c r="Y196" i="13"/>
  <c r="D24" i="53" l="1"/>
  <c r="L15" i="33"/>
  <c r="BB164" i="9"/>
  <c r="BC164" i="9" s="1"/>
  <c r="E31" i="33"/>
  <c r="D26" i="53" s="1"/>
  <c r="C26" i="53"/>
  <c r="E30" i="33"/>
  <c r="AX199" i="9"/>
  <c r="AY72" i="9"/>
  <c r="AX78" i="9"/>
  <c r="AH196" i="9"/>
  <c r="AI196" i="9" s="1"/>
  <c r="AJ196" i="9" s="1"/>
  <c r="AK196" i="9" s="1"/>
  <c r="AL196" i="9" s="1"/>
  <c r="AM196" i="9" s="1"/>
  <c r="AN196" i="9" s="1"/>
  <c r="AO196" i="9" s="1"/>
  <c r="AP196" i="9" s="1"/>
  <c r="AW96" i="9"/>
  <c r="BB107" i="9"/>
  <c r="BC107" i="9" s="1"/>
  <c r="BC20" i="9"/>
  <c r="BB130" i="9"/>
  <c r="BC161" i="9"/>
  <c r="BD161" i="9" s="1"/>
  <c r="BE161" i="9" s="1"/>
  <c r="BF161" i="9" s="1"/>
  <c r="BL17" i="6"/>
  <c r="M223" i="13" s="1"/>
  <c r="AC163" i="9"/>
  <c r="AD163" i="9" s="1"/>
  <c r="AE163" i="9" s="1"/>
  <c r="AF163" i="9" s="1"/>
  <c r="AZ100" i="9"/>
  <c r="W190" i="9"/>
  <c r="X190" i="9" s="1"/>
  <c r="Y190" i="9" s="1"/>
  <c r="Z190" i="9" s="1"/>
  <c r="AA190" i="9" s="1"/>
  <c r="AB190" i="9" s="1"/>
  <c r="AC190" i="9" s="1"/>
  <c r="AD190" i="9" s="1"/>
  <c r="AE190" i="9" s="1"/>
  <c r="AF190" i="9" s="1"/>
  <c r="AG190" i="9" s="1"/>
  <c r="AH190" i="9" s="1"/>
  <c r="AI190" i="9" s="1"/>
  <c r="AJ190" i="9" s="1"/>
  <c r="AK190" i="9" s="1"/>
  <c r="AL190" i="9" s="1"/>
  <c r="AM190" i="9" s="1"/>
  <c r="AN190" i="9" s="1"/>
  <c r="AO190" i="9" s="1"/>
  <c r="AP190" i="9" s="1"/>
  <c r="AY18" i="9"/>
  <c r="AZ18" i="9" s="1"/>
  <c r="BA18" i="9" s="1"/>
  <c r="AZ79" i="9"/>
  <c r="AZ195" i="9"/>
  <c r="BA195" i="9" s="1"/>
  <c r="V73" i="9"/>
  <c r="BB131" i="9"/>
  <c r="BC131" i="9" s="1"/>
  <c r="BB105" i="9"/>
  <c r="BC105" i="9" s="1"/>
  <c r="BD105" i="9" s="1"/>
  <c r="BE105" i="9" s="1"/>
  <c r="BF105" i="9" s="1"/>
  <c r="BG105" i="9" s="1"/>
  <c r="BH105" i="9" s="1"/>
  <c r="BI105" i="9" s="1"/>
  <c r="BJ105" i="9" s="1"/>
  <c r="BK105" i="9" s="1"/>
  <c r="BL105" i="9" s="1"/>
  <c r="BM105" i="9" s="1"/>
  <c r="BN105" i="9" s="1"/>
  <c r="BO105" i="9" s="1"/>
  <c r="BP105" i="9" s="1"/>
  <c r="BQ105" i="9" s="1"/>
  <c r="BR105" i="9" s="1"/>
  <c r="H82" i="33"/>
  <c r="AZ73" i="9"/>
  <c r="BA73" i="9" s="1"/>
  <c r="V195" i="9"/>
  <c r="W195" i="9" s="1"/>
  <c r="X195" i="9" s="1"/>
  <c r="Y195" i="9" s="1"/>
  <c r="X8" i="6"/>
  <c r="BB42" i="9"/>
  <c r="BC42" i="9" s="1"/>
  <c r="BD42" i="9" s="1"/>
  <c r="BG104" i="9"/>
  <c r="U14" i="9"/>
  <c r="V14" i="9" s="1"/>
  <c r="W14" i="9" s="1"/>
  <c r="K310" i="56"/>
  <c r="AX165" i="9"/>
  <c r="AY165" i="9" s="1"/>
  <c r="BB226" i="9"/>
  <c r="BC226" i="9" s="1"/>
  <c r="BD226" i="9" s="1"/>
  <c r="BE226" i="9" s="1"/>
  <c r="BF226" i="9" s="1"/>
  <c r="BG226" i="9" s="1"/>
  <c r="BH226" i="9" s="1"/>
  <c r="BI226" i="9" s="1"/>
  <c r="BJ226" i="9" s="1"/>
  <c r="BK226" i="9" s="1"/>
  <c r="BL226" i="9" s="1"/>
  <c r="BM226" i="9" s="1"/>
  <c r="BN226" i="9" s="1"/>
  <c r="BO226" i="9" s="1"/>
  <c r="BP226" i="9" s="1"/>
  <c r="BQ226" i="9" s="1"/>
  <c r="BR226" i="9" s="1"/>
  <c r="BS226" i="9" s="1"/>
  <c r="BT226" i="9" s="1"/>
  <c r="BU226" i="9" s="1"/>
  <c r="X20" i="9"/>
  <c r="Y20" i="9" s="1"/>
  <c r="AD133" i="9"/>
  <c r="AE133" i="9" s="1"/>
  <c r="AF133" i="9" s="1"/>
  <c r="AG133" i="9" s="1"/>
  <c r="AH133" i="9" s="1"/>
  <c r="AI133" i="9" s="1"/>
  <c r="AJ133" i="9" s="1"/>
  <c r="AK133" i="9" s="1"/>
  <c r="AL133" i="9" s="1"/>
  <c r="AM133" i="9" s="1"/>
  <c r="AN133" i="9" s="1"/>
  <c r="AO133" i="9" s="1"/>
  <c r="AP133" i="9" s="1"/>
  <c r="J194" i="56"/>
  <c r="J196" i="56" s="1"/>
  <c r="J197" i="56" s="1"/>
  <c r="J198" i="56" s="1"/>
  <c r="J199" i="56" s="1"/>
  <c r="J201" i="56" s="1"/>
  <c r="J202" i="56" s="1"/>
  <c r="H90" i="33"/>
  <c r="AX102" i="9"/>
  <c r="Y42" i="9"/>
  <c r="Z42" i="9" s="1"/>
  <c r="AA42" i="9" s="1"/>
  <c r="AB42" i="9" s="1"/>
  <c r="AC42" i="9" s="1"/>
  <c r="AD42" i="9" s="1"/>
  <c r="AE42" i="9" s="1"/>
  <c r="AF42" i="9" s="1"/>
  <c r="AG42" i="9" s="1"/>
  <c r="AH42" i="9" s="1"/>
  <c r="AI42" i="9" s="1"/>
  <c r="AJ42" i="9" s="1"/>
  <c r="AK42" i="9" s="1"/>
  <c r="AL42" i="9" s="1"/>
  <c r="AM42" i="9" s="1"/>
  <c r="AN42" i="9" s="1"/>
  <c r="AO42" i="9" s="1"/>
  <c r="AP42" i="9" s="1"/>
  <c r="H86" i="33"/>
  <c r="BC160" i="9"/>
  <c r="BD160" i="9" s="1"/>
  <c r="BE160" i="9" s="1"/>
  <c r="BF160" i="9" s="1"/>
  <c r="BG160" i="9" s="1"/>
  <c r="BH160" i="9" s="1"/>
  <c r="BI160" i="9" s="1"/>
  <c r="BJ160" i="9" s="1"/>
  <c r="BK160" i="9" s="1"/>
  <c r="BL160" i="9" s="1"/>
  <c r="BM160" i="9" s="1"/>
  <c r="BN160" i="9" s="1"/>
  <c r="BO160" i="9" s="1"/>
  <c r="BP160" i="9" s="1"/>
  <c r="BQ160" i="9" s="1"/>
  <c r="BR160" i="9" s="1"/>
  <c r="BS160" i="9" s="1"/>
  <c r="BT160" i="9" s="1"/>
  <c r="BU160" i="9" s="1"/>
  <c r="I108" i="56"/>
  <c r="J103" i="56" s="1"/>
  <c r="J108" i="56" s="1"/>
  <c r="K103" i="56" s="1"/>
  <c r="AW192" i="9"/>
  <c r="H89" i="33"/>
  <c r="AB104" i="9"/>
  <c r="AC104" i="9" s="1"/>
  <c r="AD104" i="9" s="1"/>
  <c r="AE104" i="9" s="1"/>
  <c r="BA97" i="9"/>
  <c r="BB97" i="9" s="1"/>
  <c r="BC97" i="9" s="1"/>
  <c r="BD97" i="9" s="1"/>
  <c r="BE97" i="9" s="1"/>
  <c r="BF97" i="9" s="1"/>
  <c r="BG97" i="9" s="1"/>
  <c r="H85" i="33"/>
  <c r="H87" i="33"/>
  <c r="AZ167" i="9"/>
  <c r="T165" i="9"/>
  <c r="AY75" i="9"/>
  <c r="H83" i="33"/>
  <c r="R96" i="9"/>
  <c r="S96" i="9" s="1"/>
  <c r="S102" i="9"/>
  <c r="T102" i="9" s="1"/>
  <c r="I116" i="56"/>
  <c r="I118" i="56" s="1"/>
  <c r="I119" i="56" s="1"/>
  <c r="I120" i="56" s="1"/>
  <c r="I121" i="56" s="1"/>
  <c r="I123" i="56" s="1"/>
  <c r="I124" i="56" s="1"/>
  <c r="H88" i="33"/>
  <c r="H91" i="33"/>
  <c r="AY198" i="9"/>
  <c r="AZ198" i="9" s="1"/>
  <c r="BA198" i="9" s="1"/>
  <c r="BB198" i="9" s="1"/>
  <c r="BC198" i="9" s="1"/>
  <c r="BD198" i="9" s="1"/>
  <c r="BE198" i="9" s="1"/>
  <c r="BF198" i="9" s="1"/>
  <c r="BG198" i="9" s="1"/>
  <c r="BH198" i="9" s="1"/>
  <c r="BI198" i="9" s="1"/>
  <c r="BJ198" i="9" s="1"/>
  <c r="BK198" i="9" s="1"/>
  <c r="BL198" i="9" s="1"/>
  <c r="BM198" i="9" s="1"/>
  <c r="BN198" i="9" s="1"/>
  <c r="BO198" i="9" s="1"/>
  <c r="BP198" i="9" s="1"/>
  <c r="BQ198" i="9" s="1"/>
  <c r="BR198" i="9" s="1"/>
  <c r="BS198" i="9" s="1"/>
  <c r="BT198" i="9" s="1"/>
  <c r="BU198" i="9" s="1"/>
  <c r="BA190" i="9"/>
  <c r="BB190" i="9" s="1"/>
  <c r="AZ46" i="9"/>
  <c r="AW48" i="9"/>
  <c r="AZ101" i="9"/>
  <c r="BA101" i="9" s="1"/>
  <c r="BB101" i="9" s="1"/>
  <c r="BC101" i="9" s="1"/>
  <c r="BD101" i="9" s="1"/>
  <c r="BE101" i="9" s="1"/>
  <c r="BF101" i="9" s="1"/>
  <c r="BG101" i="9" s="1"/>
  <c r="BH101" i="9" s="1"/>
  <c r="BI101" i="9" s="1"/>
  <c r="BJ101" i="9" s="1"/>
  <c r="BK101" i="9" s="1"/>
  <c r="BL101" i="9" s="1"/>
  <c r="BM101" i="9" s="1"/>
  <c r="BN101" i="9" s="1"/>
  <c r="BO101" i="9" s="1"/>
  <c r="BP101" i="9" s="1"/>
  <c r="BQ101" i="9" s="1"/>
  <c r="BR101" i="9" s="1"/>
  <c r="BS101" i="9" s="1"/>
  <c r="BT101" i="9" s="1"/>
  <c r="BU101" i="9" s="1"/>
  <c r="K104" i="56"/>
  <c r="K106" i="56" s="1"/>
  <c r="K114" i="56" s="1"/>
  <c r="L90" i="56"/>
  <c r="L92" i="56" s="1"/>
  <c r="K92" i="56"/>
  <c r="BK132" i="9"/>
  <c r="AO16" i="6"/>
  <c r="AK17" i="6" s="1"/>
  <c r="AF132" i="9"/>
  <c r="AG132" i="9" s="1"/>
  <c r="AH132" i="9" s="1"/>
  <c r="AI132" i="9" s="1"/>
  <c r="AJ132" i="9" s="1"/>
  <c r="AK132" i="9" s="1"/>
  <c r="AL132" i="9" s="1"/>
  <c r="AA43" i="9"/>
  <c r="AB43" i="9" s="1"/>
  <c r="AC43" i="9" s="1"/>
  <c r="AD43" i="9" s="1"/>
  <c r="AE43" i="9" s="1"/>
  <c r="AF43" i="9" s="1"/>
  <c r="AG43" i="9" s="1"/>
  <c r="AH43" i="9" s="1"/>
  <c r="AI43" i="9" s="1"/>
  <c r="AJ43" i="9" s="1"/>
  <c r="AK43" i="9" s="1"/>
  <c r="AL43" i="9" s="1"/>
  <c r="AM43" i="9" s="1"/>
  <c r="AN43" i="9" s="1"/>
  <c r="AO43" i="9" s="1"/>
  <c r="AP43" i="9" s="1"/>
  <c r="BA227" i="9"/>
  <c r="U197" i="9"/>
  <c r="V197" i="9" s="1"/>
  <c r="AB97" i="9"/>
  <c r="AC97" i="9" s="1"/>
  <c r="J94" i="56"/>
  <c r="K89" i="56" s="1"/>
  <c r="J97" i="56"/>
  <c r="J98" i="56" s="1"/>
  <c r="J100" i="56" s="1"/>
  <c r="J111" i="56" s="1"/>
  <c r="K349" i="56"/>
  <c r="K342" i="56"/>
  <c r="L337" i="56" s="1"/>
  <c r="L342" i="56" s="1"/>
  <c r="M337" i="56" s="1"/>
  <c r="AY74" i="9"/>
  <c r="AZ74" i="9" s="1"/>
  <c r="AY14" i="9"/>
  <c r="AZ14" i="9" s="1"/>
  <c r="BA200" i="9"/>
  <c r="BB200" i="9" s="1"/>
  <c r="BC200" i="9" s="1"/>
  <c r="AF8" i="6"/>
  <c r="AY193" i="9"/>
  <c r="AZ193" i="9" s="1"/>
  <c r="T40" i="9"/>
  <c r="U40" i="9" s="1"/>
  <c r="V40" i="9" s="1"/>
  <c r="AY44" i="9"/>
  <c r="AZ44" i="9" s="1"/>
  <c r="AX40" i="9"/>
  <c r="AY40" i="9" s="1"/>
  <c r="X107" i="9"/>
  <c r="Y107" i="9" s="1"/>
  <c r="AY76" i="9"/>
  <c r="J133" i="56"/>
  <c r="K128" i="56" s="1"/>
  <c r="J136" i="56"/>
  <c r="J137" i="56" s="1"/>
  <c r="J139" i="56" s="1"/>
  <c r="J150" i="56" s="1"/>
  <c r="BF77" i="9"/>
  <c r="AA161" i="9"/>
  <c r="AB161" i="9" s="1"/>
  <c r="AC161" i="9" s="1"/>
  <c r="AD161" i="9" s="1"/>
  <c r="AE161" i="9" s="1"/>
  <c r="AF161" i="9" s="1"/>
  <c r="AG161" i="9" s="1"/>
  <c r="AH161" i="9" s="1"/>
  <c r="AI161" i="9" s="1"/>
  <c r="AJ161" i="9" s="1"/>
  <c r="AK161" i="9" s="1"/>
  <c r="AL161" i="9" s="1"/>
  <c r="AM161" i="9" s="1"/>
  <c r="AN161" i="9" s="1"/>
  <c r="AO161" i="9" s="1"/>
  <c r="AP161" i="9" s="1"/>
  <c r="U193" i="9"/>
  <c r="V193" i="9" s="1"/>
  <c r="W193" i="9" s="1"/>
  <c r="X193" i="9" s="1"/>
  <c r="Y193" i="9" s="1"/>
  <c r="Z193" i="9" s="1"/>
  <c r="AA193" i="9" s="1"/>
  <c r="AB193" i="9" s="1"/>
  <c r="AC193" i="9" s="1"/>
  <c r="AD193" i="9" s="1"/>
  <c r="AE193" i="9" s="1"/>
  <c r="AF193" i="9" s="1"/>
  <c r="AG193" i="9" s="1"/>
  <c r="AH193" i="9" s="1"/>
  <c r="AI193" i="9" s="1"/>
  <c r="BB224" i="9"/>
  <c r="BC224" i="9" s="1"/>
  <c r="BD224" i="9" s="1"/>
  <c r="R91" i="9"/>
  <c r="BC223" i="9"/>
  <c r="BD223" i="9" s="1"/>
  <c r="U79" i="9"/>
  <c r="V79" i="9" s="1"/>
  <c r="W79" i="9" s="1"/>
  <c r="X79" i="9" s="1"/>
  <c r="Y79" i="9" s="1"/>
  <c r="J367" i="56"/>
  <c r="AA47" i="9"/>
  <c r="AB47" i="9" s="1"/>
  <c r="AC47" i="9" s="1"/>
  <c r="AD47" i="9" s="1"/>
  <c r="AE47" i="9" s="1"/>
  <c r="AF47" i="9" s="1"/>
  <c r="AG47" i="9" s="1"/>
  <c r="AH47" i="9" s="1"/>
  <c r="AI47" i="9" s="1"/>
  <c r="AJ47" i="9" s="1"/>
  <c r="AK47" i="9" s="1"/>
  <c r="AL47" i="9" s="1"/>
  <c r="AM47" i="9" s="1"/>
  <c r="AN47" i="9" s="1"/>
  <c r="AO47" i="9" s="1"/>
  <c r="AP47" i="9" s="1"/>
  <c r="U44" i="9"/>
  <c r="V44" i="9" s="1"/>
  <c r="BA47" i="9"/>
  <c r="BB47" i="9" s="1"/>
  <c r="BC47" i="9" s="1"/>
  <c r="BD47" i="9" s="1"/>
  <c r="BE47" i="9" s="1"/>
  <c r="BF47" i="9" s="1"/>
  <c r="Y224" i="9"/>
  <c r="Z224" i="9" s="1"/>
  <c r="AA224" i="9" s="1"/>
  <c r="AB224" i="9" s="1"/>
  <c r="AC224" i="9" s="1"/>
  <c r="AD224" i="9" s="1"/>
  <c r="AE224" i="9" s="1"/>
  <c r="AF224" i="9" s="1"/>
  <c r="AG224" i="9" s="1"/>
  <c r="AH224" i="9" s="1"/>
  <c r="AI224" i="9" s="1"/>
  <c r="AJ224" i="9" s="1"/>
  <c r="AK224" i="9" s="1"/>
  <c r="AL224" i="9" s="1"/>
  <c r="AM224" i="9" s="1"/>
  <c r="AN224" i="9" s="1"/>
  <c r="AO224" i="9" s="1"/>
  <c r="AP224" i="9" s="1"/>
  <c r="BC43" i="9"/>
  <c r="BD43" i="9" s="1"/>
  <c r="BE43" i="9" s="1"/>
  <c r="BF43" i="9" s="1"/>
  <c r="V229" i="9"/>
  <c r="W229" i="9" s="1"/>
  <c r="X229" i="9" s="1"/>
  <c r="Y229" i="9" s="1"/>
  <c r="Z229" i="9" s="1"/>
  <c r="AA229" i="9" s="1"/>
  <c r="AB229" i="9" s="1"/>
  <c r="AC229" i="9" s="1"/>
  <c r="AD229" i="9" s="1"/>
  <c r="AE229" i="9" s="1"/>
  <c r="AF229" i="9" s="1"/>
  <c r="AG229" i="9" s="1"/>
  <c r="AH229" i="9" s="1"/>
  <c r="AI229" i="9" s="1"/>
  <c r="AJ229" i="9" s="1"/>
  <c r="AK229" i="9" s="1"/>
  <c r="AL229" i="9" s="1"/>
  <c r="BA16" i="9"/>
  <c r="BB16" i="9" s="1"/>
  <c r="BC16" i="9" s="1"/>
  <c r="BD16" i="9" s="1"/>
  <c r="BE16" i="9" s="1"/>
  <c r="BF16" i="9" s="1"/>
  <c r="BG16" i="9" s="1"/>
  <c r="BH16" i="9" s="1"/>
  <c r="BI16" i="9" s="1"/>
  <c r="BJ16" i="9" s="1"/>
  <c r="BK16" i="9" s="1"/>
  <c r="BL16" i="9" s="1"/>
  <c r="BM16" i="9" s="1"/>
  <c r="BN16" i="9" s="1"/>
  <c r="BO16" i="9" s="1"/>
  <c r="BP16" i="9" s="1"/>
  <c r="BQ16" i="9" s="1"/>
  <c r="BR16" i="9" s="1"/>
  <c r="BS16" i="9" s="1"/>
  <c r="BT16" i="9" s="1"/>
  <c r="BU16" i="9" s="1"/>
  <c r="AY197" i="9"/>
  <c r="AZ197" i="9" s="1"/>
  <c r="R192" i="9"/>
  <c r="AX189" i="9"/>
  <c r="J271" i="56"/>
  <c r="AC222" i="9"/>
  <c r="AD222" i="9" s="1"/>
  <c r="AE222" i="9" s="1"/>
  <c r="AF222" i="9" s="1"/>
  <c r="AG222" i="9" s="1"/>
  <c r="AH222" i="9" s="1"/>
  <c r="AI222" i="9" s="1"/>
  <c r="AJ222" i="9" s="1"/>
  <c r="AK222" i="9" s="1"/>
  <c r="AL222" i="9" s="1"/>
  <c r="AM222" i="9" s="1"/>
  <c r="AN222" i="9" s="1"/>
  <c r="AO222" i="9" s="1"/>
  <c r="AP222" i="9" s="1"/>
  <c r="W45" i="9"/>
  <c r="X45" i="9" s="1"/>
  <c r="Y45" i="9" s="1"/>
  <c r="Z45" i="9" s="1"/>
  <c r="AA45" i="9" s="1"/>
  <c r="AB45" i="9" s="1"/>
  <c r="AC45" i="9" s="1"/>
  <c r="AD45" i="9" s="1"/>
  <c r="AE45" i="9" s="1"/>
  <c r="AF45" i="9" s="1"/>
  <c r="AG45" i="9" s="1"/>
  <c r="AH45" i="9" s="1"/>
  <c r="AI45" i="9" s="1"/>
  <c r="AJ45" i="9" s="1"/>
  <c r="AK45" i="9" s="1"/>
  <c r="AL45" i="9" s="1"/>
  <c r="AM45" i="9" s="1"/>
  <c r="AN45" i="9" s="1"/>
  <c r="AO45" i="9" s="1"/>
  <c r="AP45" i="9" s="1"/>
  <c r="V50" i="9"/>
  <c r="W50" i="9" s="1"/>
  <c r="X50" i="9" s="1"/>
  <c r="Y50" i="9" s="1"/>
  <c r="Z50" i="9" s="1"/>
  <c r="AA50" i="9" s="1"/>
  <c r="AB50" i="9" s="1"/>
  <c r="AC50" i="9" s="1"/>
  <c r="AD50" i="9" s="1"/>
  <c r="AE50" i="9" s="1"/>
  <c r="AF50" i="9" s="1"/>
  <c r="AG50" i="9" s="1"/>
  <c r="AH50" i="9" s="1"/>
  <c r="AI50" i="9" s="1"/>
  <c r="AJ50" i="9" s="1"/>
  <c r="AK50" i="9" s="1"/>
  <c r="AL50" i="9" s="1"/>
  <c r="AM50" i="9" s="1"/>
  <c r="AN50" i="9" s="1"/>
  <c r="AO50" i="9" s="1"/>
  <c r="AP50" i="9" s="1"/>
  <c r="V41" i="9"/>
  <c r="W41" i="9" s="1"/>
  <c r="X41" i="9" s="1"/>
  <c r="K34" i="33"/>
  <c r="K15" i="33"/>
  <c r="K30" i="33"/>
  <c r="K345" i="56"/>
  <c r="BJ17" i="6"/>
  <c r="BK17" i="6" s="1"/>
  <c r="I30" i="33"/>
  <c r="U74" i="9"/>
  <c r="K189" i="56"/>
  <c r="R183" i="9"/>
  <c r="U46" i="9"/>
  <c r="T150" i="9"/>
  <c r="U129" i="9"/>
  <c r="AZ49" i="9"/>
  <c r="BB99" i="9"/>
  <c r="X200" i="9"/>
  <c r="Y200" i="9" s="1"/>
  <c r="J311" i="56"/>
  <c r="J313" i="56" s="1"/>
  <c r="Y16" i="6"/>
  <c r="AX103" i="9"/>
  <c r="BA45" i="9"/>
  <c r="BB45" i="9" s="1"/>
  <c r="R242" i="9"/>
  <c r="K193" i="56"/>
  <c r="L248" i="56"/>
  <c r="AA108" i="13"/>
  <c r="L118" i="13" s="1"/>
  <c r="H11" i="33" s="1"/>
  <c r="C29" i="53" s="1"/>
  <c r="C33" i="53" s="1"/>
  <c r="S228" i="9"/>
  <c r="T15" i="9"/>
  <c r="S33" i="9"/>
  <c r="K221" i="56"/>
  <c r="L207" i="56"/>
  <c r="L209" i="56" s="1"/>
  <c r="K209" i="56"/>
  <c r="L175" i="56"/>
  <c r="L176" i="56" s="1"/>
  <c r="L178" i="56" s="1"/>
  <c r="L172" i="56"/>
  <c r="M167" i="56" s="1"/>
  <c r="W137" i="9"/>
  <c r="X137" i="9" s="1"/>
  <c r="Y137" i="9" s="1"/>
  <c r="Z137" i="9" s="1"/>
  <c r="AA137" i="9" s="1"/>
  <c r="AB137" i="9" s="1"/>
  <c r="AC137" i="9" s="1"/>
  <c r="AD137" i="9" s="1"/>
  <c r="AE137" i="9" s="1"/>
  <c r="AF137" i="9" s="1"/>
  <c r="AG137" i="9" s="1"/>
  <c r="AH137" i="9" s="1"/>
  <c r="AI137" i="9" s="1"/>
  <c r="AJ137" i="9" s="1"/>
  <c r="AK137" i="9" s="1"/>
  <c r="AL137" i="9" s="1"/>
  <c r="AM137" i="9" s="1"/>
  <c r="AN137" i="9" s="1"/>
  <c r="AO137" i="9" s="1"/>
  <c r="AP137" i="9" s="1"/>
  <c r="E15" i="33"/>
  <c r="E34" i="33"/>
  <c r="AV34" i="9"/>
  <c r="AW24" i="9"/>
  <c r="S189" i="9"/>
  <c r="V227" i="9"/>
  <c r="W227" i="9" s="1"/>
  <c r="X227" i="9" s="1"/>
  <c r="Y227" i="9" s="1"/>
  <c r="Z227" i="9" s="1"/>
  <c r="AA227" i="9" s="1"/>
  <c r="AB227" i="9" s="1"/>
  <c r="AC227" i="9" s="1"/>
  <c r="AD227" i="9" s="1"/>
  <c r="AE227" i="9" s="1"/>
  <c r="AF227" i="9" s="1"/>
  <c r="Y223" i="9"/>
  <c r="Z223" i="9" s="1"/>
  <c r="AA223" i="9" s="1"/>
  <c r="AB223" i="9" s="1"/>
  <c r="AC223" i="9" s="1"/>
  <c r="AD223" i="9" s="1"/>
  <c r="AE223" i="9" s="1"/>
  <c r="AF223" i="9" s="1"/>
  <c r="AG223" i="9" s="1"/>
  <c r="AH223" i="9" s="1"/>
  <c r="AI223" i="9" s="1"/>
  <c r="AJ223" i="9" s="1"/>
  <c r="AK223" i="9" s="1"/>
  <c r="AL223" i="9" s="1"/>
  <c r="AM223" i="9" s="1"/>
  <c r="AN223" i="9" s="1"/>
  <c r="AO223" i="9" s="1"/>
  <c r="AP223" i="9" s="1"/>
  <c r="H180" i="33"/>
  <c r="I180" i="33" s="1"/>
  <c r="L247" i="30"/>
  <c r="AA267" i="30" s="1"/>
  <c r="M143" i="56"/>
  <c r="N129" i="56"/>
  <c r="N131" i="56" s="1"/>
  <c r="M131" i="56"/>
  <c r="I77" i="56"/>
  <c r="I79" i="56" s="1"/>
  <c r="R48" i="9"/>
  <c r="K65" i="56"/>
  <c r="K67" i="56" s="1"/>
  <c r="K75" i="56" s="1"/>
  <c r="K365" i="56"/>
  <c r="K366" i="56" s="1"/>
  <c r="K367" i="56" s="1"/>
  <c r="L51" i="56"/>
  <c r="L53" i="56" s="1"/>
  <c r="AY229" i="9"/>
  <c r="AZ229" i="9" s="1"/>
  <c r="BA229" i="9" s="1"/>
  <c r="I275" i="56"/>
  <c r="I276" i="56" s="1"/>
  <c r="I277" i="56" s="1"/>
  <c r="I279" i="56" s="1"/>
  <c r="I280" i="56" s="1"/>
  <c r="J267" i="56"/>
  <c r="H166" i="33"/>
  <c r="I166" i="33" s="1"/>
  <c r="U100" i="9"/>
  <c r="AY191" i="9"/>
  <c r="AZ191" i="9" s="1"/>
  <c r="BA191" i="9" s="1"/>
  <c r="BB191" i="9" s="1"/>
  <c r="BC191" i="9" s="1"/>
  <c r="BD191" i="9" s="1"/>
  <c r="BE191" i="9" s="1"/>
  <c r="BF191" i="9" s="1"/>
  <c r="BG191" i="9" s="1"/>
  <c r="BH191" i="9" s="1"/>
  <c r="BI191" i="9" s="1"/>
  <c r="BJ191" i="9" s="1"/>
  <c r="BK191" i="9" s="1"/>
  <c r="BL191" i="9" s="1"/>
  <c r="BM191" i="9" s="1"/>
  <c r="BN191" i="9" s="1"/>
  <c r="BO191" i="9" s="1"/>
  <c r="BP191" i="9" s="1"/>
  <c r="BQ191" i="9" s="1"/>
  <c r="BR191" i="9" s="1"/>
  <c r="BS191" i="9" s="1"/>
  <c r="BT191" i="9" s="1"/>
  <c r="BU191" i="9" s="1"/>
  <c r="J223" i="56"/>
  <c r="J231" i="56" s="1"/>
  <c r="BC133" i="9"/>
  <c r="BD133" i="9" s="1"/>
  <c r="BE133" i="9" s="1"/>
  <c r="BF133" i="9" s="1"/>
  <c r="BG133" i="9" s="1"/>
  <c r="BH133" i="9" s="1"/>
  <c r="BI133" i="9" s="1"/>
  <c r="V194" i="9"/>
  <c r="W194" i="9" s="1"/>
  <c r="X194" i="9" s="1"/>
  <c r="L145" i="56"/>
  <c r="L153" i="56" s="1"/>
  <c r="H108" i="33"/>
  <c r="I108" i="33" s="1"/>
  <c r="L109" i="13"/>
  <c r="AZ129" i="9"/>
  <c r="H7" i="33"/>
  <c r="Q66" i="9"/>
  <c r="R39" i="9"/>
  <c r="S39" i="9" s="1"/>
  <c r="T39" i="9" s="1"/>
  <c r="J61" i="56"/>
  <c r="M182" i="56"/>
  <c r="N168" i="56"/>
  <c r="N170" i="56" s="1"/>
  <c r="M299" i="56"/>
  <c r="M301" i="56" s="1"/>
  <c r="M309" i="56" s="1"/>
  <c r="N285" i="56"/>
  <c r="M287" i="56"/>
  <c r="Y156" i="9"/>
  <c r="AZ221" i="9"/>
  <c r="K262" i="56"/>
  <c r="K270" i="56" s="1"/>
  <c r="S166" i="9"/>
  <c r="T166" i="9" s="1"/>
  <c r="U166" i="9" s="1"/>
  <c r="V166" i="9" s="1"/>
  <c r="W166" i="9" s="1"/>
  <c r="J55" i="56"/>
  <c r="T76" i="9"/>
  <c r="U76" i="9" s="1"/>
  <c r="V76" i="9" s="1"/>
  <c r="L184" i="56"/>
  <c r="L192" i="56" s="1"/>
  <c r="U49" i="9"/>
  <c r="V49" i="9" s="1"/>
  <c r="W49" i="9" s="1"/>
  <c r="X49" i="9" s="1"/>
  <c r="Y49" i="9" s="1"/>
  <c r="Z49" i="9" s="1"/>
  <c r="AA49" i="9" s="1"/>
  <c r="AB49" i="9" s="1"/>
  <c r="AC49" i="9" s="1"/>
  <c r="BA17" i="9"/>
  <c r="I228" i="56"/>
  <c r="F15" i="33"/>
  <c r="F34" i="33"/>
  <c r="S199" i="9"/>
  <c r="T199" i="9" s="1"/>
  <c r="U199" i="9" s="1"/>
  <c r="V199" i="9" s="1"/>
  <c r="W199" i="9" s="1"/>
  <c r="X199" i="9" s="1"/>
  <c r="Y199" i="9" s="1"/>
  <c r="Z199" i="9" s="1"/>
  <c r="AA199" i="9" s="1"/>
  <c r="AB199" i="9" s="1"/>
  <c r="AC199" i="9" s="1"/>
  <c r="AD199" i="9" s="1"/>
  <c r="AE199" i="9" s="1"/>
  <c r="AF199" i="9" s="1"/>
  <c r="AG199" i="9" s="1"/>
  <c r="AH199" i="9" s="1"/>
  <c r="AI199" i="9" s="1"/>
  <c r="AJ199" i="9" s="1"/>
  <c r="AK199" i="9" s="1"/>
  <c r="AL199" i="9" s="1"/>
  <c r="AM199" i="9" s="1"/>
  <c r="AN199" i="9" s="1"/>
  <c r="AO199" i="9" s="1"/>
  <c r="AP199" i="9" s="1"/>
  <c r="H123" i="33"/>
  <c r="I123" i="33" s="1"/>
  <c r="BD225" i="9"/>
  <c r="BE225" i="9" s="1"/>
  <c r="BF225" i="9" s="1"/>
  <c r="BG225" i="9" s="1"/>
  <c r="BH225" i="9" s="1"/>
  <c r="BI225" i="9" s="1"/>
  <c r="BJ225" i="9" s="1"/>
  <c r="BK225" i="9" s="1"/>
  <c r="BL225" i="9" s="1"/>
  <c r="BM225" i="9" s="1"/>
  <c r="BN225" i="9" s="1"/>
  <c r="BO225" i="9" s="1"/>
  <c r="BP225" i="9" s="1"/>
  <c r="BQ225" i="9" s="1"/>
  <c r="BR225" i="9" s="1"/>
  <c r="BS225" i="9" s="1"/>
  <c r="BT225" i="9" s="1"/>
  <c r="BU225" i="9" s="1"/>
  <c r="T72" i="9"/>
  <c r="AY15" i="9"/>
  <c r="M338" i="56"/>
  <c r="N324" i="56"/>
  <c r="K253" i="56"/>
  <c r="K254" i="56" s="1"/>
  <c r="K256" i="56" s="1"/>
  <c r="K250" i="56"/>
  <c r="L245" i="56" s="1"/>
  <c r="S78" i="9"/>
  <c r="S91" i="9" s="1"/>
  <c r="L292" i="56"/>
  <c r="L293" i="56" s="1"/>
  <c r="L295" i="56" s="1"/>
  <c r="L289" i="56"/>
  <c r="M284" i="56" s="1"/>
  <c r="BA21" i="9"/>
  <c r="BB21" i="9" s="1"/>
  <c r="BC21" i="9" s="1"/>
  <c r="BD21" i="9" s="1"/>
  <c r="BE21" i="9" s="1"/>
  <c r="BF21" i="9" s="1"/>
  <c r="BG21" i="9" s="1"/>
  <c r="BH21" i="9" s="1"/>
  <c r="BI21" i="9" s="1"/>
  <c r="BJ21" i="9" s="1"/>
  <c r="BK21" i="9" s="1"/>
  <c r="BL21" i="9" s="1"/>
  <c r="BM21" i="9" s="1"/>
  <c r="BN21" i="9" s="1"/>
  <c r="BO21" i="9" s="1"/>
  <c r="BP21" i="9" s="1"/>
  <c r="BQ21" i="9" s="1"/>
  <c r="BR21" i="9" s="1"/>
  <c r="BS21" i="9" s="1"/>
  <c r="BT21" i="9" s="1"/>
  <c r="BU21" i="9" s="1"/>
  <c r="J30" i="33"/>
  <c r="BA194" i="9"/>
  <c r="AX166" i="9"/>
  <c r="Q16" i="6"/>
  <c r="I231" i="56"/>
  <c r="I225" i="56"/>
  <c r="J220" i="56" s="1"/>
  <c r="K186" i="56"/>
  <c r="L181" i="56" s="1"/>
  <c r="AG16" i="6"/>
  <c r="AN8" i="6"/>
  <c r="AX228" i="9"/>
  <c r="AZ41" i="9"/>
  <c r="BA41" i="9" s="1"/>
  <c r="BF163" i="9"/>
  <c r="BG163" i="9" s="1"/>
  <c r="BH163" i="9" s="1"/>
  <c r="J211" i="56"/>
  <c r="K206" i="56" s="1"/>
  <c r="J214" i="56"/>
  <c r="J215" i="56" s="1"/>
  <c r="J217" i="56" s="1"/>
  <c r="BA136" i="9"/>
  <c r="BB136" i="9" s="1"/>
  <c r="BC136" i="9" s="1"/>
  <c r="BD136" i="9" s="1"/>
  <c r="BE136" i="9" s="1"/>
  <c r="BF136" i="9" s="1"/>
  <c r="BG136" i="9" s="1"/>
  <c r="BH136" i="9" s="1"/>
  <c r="BI136" i="9" s="1"/>
  <c r="BJ136" i="9" s="1"/>
  <c r="BK136" i="9" s="1"/>
  <c r="BL136" i="9" s="1"/>
  <c r="BM136" i="9" s="1"/>
  <c r="BN136" i="9" s="1"/>
  <c r="BO136" i="9" s="1"/>
  <c r="BP136" i="9" s="1"/>
  <c r="BQ136" i="9" s="1"/>
  <c r="BR136" i="9" s="1"/>
  <c r="BS136" i="9" s="1"/>
  <c r="BT136" i="9" s="1"/>
  <c r="BU136" i="9" s="1"/>
  <c r="BA12" i="6"/>
  <c r="BD12" i="6" s="1"/>
  <c r="BD16" i="6" s="1"/>
  <c r="L193" i="13" s="1"/>
  <c r="BB16" i="6"/>
  <c r="BC16" i="6" s="1"/>
  <c r="V17" i="9"/>
  <c r="W17" i="9" s="1"/>
  <c r="X17" i="9" s="1"/>
  <c r="Y17" i="9" s="1"/>
  <c r="Z17" i="9" s="1"/>
  <c r="AA17" i="9" s="1"/>
  <c r="AB17" i="9" s="1"/>
  <c r="AC17" i="9" s="1"/>
  <c r="AD17" i="9" s="1"/>
  <c r="AE17" i="9" s="1"/>
  <c r="AF17" i="9" s="1"/>
  <c r="AG17" i="9" s="1"/>
  <c r="AH17" i="9" s="1"/>
  <c r="AI17" i="9" s="1"/>
  <c r="AJ17" i="9" s="1"/>
  <c r="AK17" i="9" s="1"/>
  <c r="AL17" i="9" s="1"/>
  <c r="AM17" i="9" s="1"/>
  <c r="AN17" i="9" s="1"/>
  <c r="AO17" i="9" s="1"/>
  <c r="AP17" i="9" s="1"/>
  <c r="F7" i="33"/>
  <c r="L260" i="56"/>
  <c r="M246" i="56"/>
  <c r="M248" i="56" s="1"/>
  <c r="AA77" i="9"/>
  <c r="AB77" i="9" s="1"/>
  <c r="U221" i="9"/>
  <c r="T159" i="9"/>
  <c r="AM105" i="9"/>
  <c r="AN105" i="9" s="1"/>
  <c r="AO105" i="9" s="1"/>
  <c r="AP105" i="9" s="1"/>
  <c r="L301" i="56"/>
  <c r="L309" i="56" s="1"/>
  <c r="J353" i="56"/>
  <c r="J354" i="56" s="1"/>
  <c r="J355" i="56" s="1"/>
  <c r="J357" i="56" s="1"/>
  <c r="J358" i="56" s="1"/>
  <c r="W99" i="9"/>
  <c r="X99" i="9" s="1"/>
  <c r="Y99" i="9" s="1"/>
  <c r="Z99" i="9" s="1"/>
  <c r="AA99" i="9" s="1"/>
  <c r="AB99" i="9" s="1"/>
  <c r="AC99" i="9" s="1"/>
  <c r="AD99" i="9" s="1"/>
  <c r="AE99" i="9" s="1"/>
  <c r="AF99" i="9" s="1"/>
  <c r="AG99" i="9" s="1"/>
  <c r="AH99" i="9" s="1"/>
  <c r="AI99" i="9" s="1"/>
  <c r="AJ99" i="9" s="1"/>
  <c r="AK99" i="9" s="1"/>
  <c r="AL99" i="9" s="1"/>
  <c r="AM99" i="9" s="1"/>
  <c r="AN99" i="9" s="1"/>
  <c r="AO99" i="9" s="1"/>
  <c r="AW16" i="6"/>
  <c r="AW39" i="9"/>
  <c r="S103" i="9"/>
  <c r="T103" i="9" s="1"/>
  <c r="U103" i="9" s="1"/>
  <c r="V103" i="9" s="1"/>
  <c r="W103" i="9" s="1"/>
  <c r="X103" i="9" s="1"/>
  <c r="Y103" i="9" s="1"/>
  <c r="Z103" i="9" s="1"/>
  <c r="AA103" i="9" s="1"/>
  <c r="AB103" i="9" s="1"/>
  <c r="AC103" i="9" s="1"/>
  <c r="AD103" i="9" s="1"/>
  <c r="AE103" i="9" s="1"/>
  <c r="AF103" i="9" s="1"/>
  <c r="AG103" i="9" s="1"/>
  <c r="AH103" i="9" s="1"/>
  <c r="AI103" i="9" s="1"/>
  <c r="AJ103" i="9" s="1"/>
  <c r="AK103" i="9" s="1"/>
  <c r="AL103" i="9" s="1"/>
  <c r="AM103" i="9" s="1"/>
  <c r="AN103" i="9" s="1"/>
  <c r="AO103" i="9" s="1"/>
  <c r="AP103" i="9" s="1"/>
  <c r="X131" i="9"/>
  <c r="Y131" i="9" s="1"/>
  <c r="Z131" i="9" s="1"/>
  <c r="AA131" i="9" s="1"/>
  <c r="AB131" i="9" s="1"/>
  <c r="AC131" i="9" s="1"/>
  <c r="AD131" i="9" s="1"/>
  <c r="AE131" i="9" s="1"/>
  <c r="AF131" i="9" s="1"/>
  <c r="AG131" i="9" s="1"/>
  <c r="AH131" i="9" s="1"/>
  <c r="AI131" i="9" s="1"/>
  <c r="AJ131" i="9" s="1"/>
  <c r="AK131" i="9" s="1"/>
  <c r="AL131" i="9" s="1"/>
  <c r="AM131" i="9" s="1"/>
  <c r="AN131" i="9" s="1"/>
  <c r="AO131" i="9" s="1"/>
  <c r="AP131" i="9" s="1"/>
  <c r="U98" i="9"/>
  <c r="W130" i="9"/>
  <c r="X130" i="9" s="1"/>
  <c r="Y130" i="9" s="1"/>
  <c r="Z130" i="9" s="1"/>
  <c r="AA130" i="9" s="1"/>
  <c r="AB130" i="9" s="1"/>
  <c r="AC130" i="9" s="1"/>
  <c r="AD130" i="9" s="1"/>
  <c r="AE130" i="9" s="1"/>
  <c r="AF130" i="9" s="1"/>
  <c r="AG130" i="9" s="1"/>
  <c r="AH130" i="9" s="1"/>
  <c r="AI130" i="9" s="1"/>
  <c r="AJ130" i="9" s="1"/>
  <c r="AK130" i="9" s="1"/>
  <c r="AL130" i="9" s="1"/>
  <c r="AM130" i="9" s="1"/>
  <c r="AN130" i="9" s="1"/>
  <c r="AO130" i="9" s="1"/>
  <c r="AP130" i="9" s="1"/>
  <c r="BD222" i="9"/>
  <c r="BE222" i="9" s="1"/>
  <c r="BF222" i="9" s="1"/>
  <c r="BG222" i="9" s="1"/>
  <c r="BH222" i="9" s="1"/>
  <c r="X164" i="9"/>
  <c r="Y164" i="9" s="1"/>
  <c r="Z164" i="9" s="1"/>
  <c r="AA164" i="9" s="1"/>
  <c r="AB164" i="9" s="1"/>
  <c r="AC164" i="9" s="1"/>
  <c r="AD164" i="9" s="1"/>
  <c r="AE164" i="9" s="1"/>
  <c r="AF164" i="9" s="1"/>
  <c r="AG164" i="9" s="1"/>
  <c r="AH164" i="9" s="1"/>
  <c r="AI164" i="9" s="1"/>
  <c r="AJ164" i="9" s="1"/>
  <c r="J67" i="56"/>
  <c r="T75" i="9"/>
  <c r="U75" i="9" s="1"/>
  <c r="V75" i="9" s="1"/>
  <c r="W75" i="9" s="1"/>
  <c r="X75" i="9" s="1"/>
  <c r="BB137" i="9"/>
  <c r="M170" i="56"/>
  <c r="V18" i="9"/>
  <c r="K306" i="56"/>
  <c r="BA196" i="9"/>
  <c r="BB196" i="9" s="1"/>
  <c r="BC196" i="9" s="1"/>
  <c r="BD196" i="9" s="1"/>
  <c r="BE196" i="9" s="1"/>
  <c r="BF196" i="9" s="1"/>
  <c r="BG196" i="9" s="1"/>
  <c r="BH196" i="9" s="1"/>
  <c r="BI196" i="9" s="1"/>
  <c r="BJ196" i="9" s="1"/>
  <c r="BK196" i="9" s="1"/>
  <c r="BL196" i="9" s="1"/>
  <c r="BM196" i="9" s="1"/>
  <c r="AX159" i="9"/>
  <c r="AY159" i="9" s="1"/>
  <c r="AV8" i="6"/>
  <c r="H92" i="33"/>
  <c r="I92" i="33" s="1"/>
  <c r="H12" i="6"/>
  <c r="H16" i="6" s="1"/>
  <c r="L20" i="13" s="1"/>
  <c r="H9" i="6"/>
  <c r="H78" i="33"/>
  <c r="I78" i="33" s="1"/>
  <c r="AY50" i="9"/>
  <c r="AZ50" i="9" s="1"/>
  <c r="BA50" i="9" s="1"/>
  <c r="BD156" i="9"/>
  <c r="AZ98" i="9"/>
  <c r="U167" i="9"/>
  <c r="V167" i="9" s="1"/>
  <c r="W167" i="9" s="1"/>
  <c r="X167" i="9" s="1"/>
  <c r="Y167" i="9" s="1"/>
  <c r="Z167" i="9" s="1"/>
  <c r="AA167" i="9" s="1"/>
  <c r="AB167" i="9" s="1"/>
  <c r="AC167" i="9" s="1"/>
  <c r="AD167" i="9" s="1"/>
  <c r="AE167" i="9" s="1"/>
  <c r="AF167" i="9" s="1"/>
  <c r="AG167" i="9" s="1"/>
  <c r="AH167" i="9" s="1"/>
  <c r="AI167" i="9" s="1"/>
  <c r="AJ167" i="9" s="1"/>
  <c r="AK167" i="9" s="1"/>
  <c r="AL167" i="9" s="1"/>
  <c r="AM167" i="9" s="1"/>
  <c r="AN167" i="9" s="1"/>
  <c r="AO167" i="9" s="1"/>
  <c r="AP167" i="9" s="1"/>
  <c r="U19" i="9"/>
  <c r="V19" i="9" s="1"/>
  <c r="AZ19" i="9"/>
  <c r="L331" i="56"/>
  <c r="L332" i="56" s="1"/>
  <c r="L334" i="56" s="1"/>
  <c r="L328" i="56"/>
  <c r="M323" i="56" s="1"/>
  <c r="BG43" i="9" l="1"/>
  <c r="BH43" i="9" s="1"/>
  <c r="BI43" i="9" s="1"/>
  <c r="BJ43" i="9" s="1"/>
  <c r="BK43" i="9" s="1"/>
  <c r="BL43" i="9" s="1"/>
  <c r="BM43" i="9" s="1"/>
  <c r="BN43" i="9" s="1"/>
  <c r="BO43" i="9" s="1"/>
  <c r="BP43" i="9" s="1"/>
  <c r="BQ43" i="9" s="1"/>
  <c r="BR43" i="9" s="1"/>
  <c r="BS43" i="9" s="1"/>
  <c r="BT43" i="9" s="1"/>
  <c r="BU43" i="9" s="1"/>
  <c r="C25" i="53"/>
  <c r="Z200" i="9"/>
  <c r="AA200" i="9" s="1"/>
  <c r="AB200" i="9" s="1"/>
  <c r="AC200" i="9" s="1"/>
  <c r="AD200" i="9" s="1"/>
  <c r="AE200" i="9" s="1"/>
  <c r="AF200" i="9" s="1"/>
  <c r="AG200" i="9" s="1"/>
  <c r="AH200" i="9" s="1"/>
  <c r="BN196" i="9"/>
  <c r="BO196" i="9" s="1"/>
  <c r="BP196" i="9" s="1"/>
  <c r="BQ196" i="9" s="1"/>
  <c r="BR196" i="9" s="1"/>
  <c r="BS196" i="9" s="1"/>
  <c r="BT196" i="9" s="1"/>
  <c r="BU196" i="9" s="1"/>
  <c r="AX192" i="9"/>
  <c r="AF104" i="9"/>
  <c r="AG104" i="9" s="1"/>
  <c r="AH104" i="9" s="1"/>
  <c r="AI104" i="9" s="1"/>
  <c r="BE16" i="6"/>
  <c r="BD17" i="6" s="1"/>
  <c r="M193" i="13" s="1"/>
  <c r="BB195" i="9"/>
  <c r="BC195" i="9" s="1"/>
  <c r="BD195" i="9" s="1"/>
  <c r="BE195" i="9" s="1"/>
  <c r="BB227" i="9"/>
  <c r="BC227" i="9" s="1"/>
  <c r="BD227" i="9" s="1"/>
  <c r="BE227" i="9" s="1"/>
  <c r="BF227" i="9" s="1"/>
  <c r="BG227" i="9" s="1"/>
  <c r="BH227" i="9" s="1"/>
  <c r="BI227" i="9" s="1"/>
  <c r="BJ227" i="9" s="1"/>
  <c r="BK227" i="9" s="1"/>
  <c r="BL227" i="9" s="1"/>
  <c r="BA46" i="9"/>
  <c r="BC190" i="9"/>
  <c r="BD190" i="9" s="1"/>
  <c r="BE190" i="9" s="1"/>
  <c r="BF190" i="9" s="1"/>
  <c r="BG190" i="9" s="1"/>
  <c r="BH190" i="9" s="1"/>
  <c r="BI190" i="9" s="1"/>
  <c r="BJ190" i="9" s="1"/>
  <c r="BK190" i="9" s="1"/>
  <c r="BL190" i="9" s="1"/>
  <c r="BM190" i="9" s="1"/>
  <c r="BN190" i="9" s="1"/>
  <c r="BO190" i="9" s="1"/>
  <c r="BP190" i="9" s="1"/>
  <c r="BQ190" i="9" s="1"/>
  <c r="BR190" i="9" s="1"/>
  <c r="BS190" i="9" s="1"/>
  <c r="BT190" i="9" s="1"/>
  <c r="BU190" i="9" s="1"/>
  <c r="BB73" i="9"/>
  <c r="BA100" i="9"/>
  <c r="BM17" i="6"/>
  <c r="BI18" i="6" s="1"/>
  <c r="BI163" i="9"/>
  <c r="BJ163" i="9" s="1"/>
  <c r="BK163" i="9" s="1"/>
  <c r="BL163" i="9" s="1"/>
  <c r="AG163" i="9"/>
  <c r="AH163" i="9" s="1"/>
  <c r="X166" i="9"/>
  <c r="Y166" i="9" s="1"/>
  <c r="Z166" i="9" s="1"/>
  <c r="AA166" i="9" s="1"/>
  <c r="AB166" i="9" s="1"/>
  <c r="AC166" i="9" s="1"/>
  <c r="AD166" i="9" s="1"/>
  <c r="AE166" i="9" s="1"/>
  <c r="AF166" i="9" s="1"/>
  <c r="AG166" i="9" s="1"/>
  <c r="AH166" i="9" s="1"/>
  <c r="AI166" i="9" s="1"/>
  <c r="AJ166" i="9" s="1"/>
  <c r="AK166" i="9" s="1"/>
  <c r="AL166" i="9" s="1"/>
  <c r="AM166" i="9" s="1"/>
  <c r="AN166" i="9" s="1"/>
  <c r="AO166" i="9" s="1"/>
  <c r="AP166" i="9" s="1"/>
  <c r="AP99" i="9"/>
  <c r="BA14" i="9"/>
  <c r="BB14" i="9" s="1"/>
  <c r="BC14" i="9" s="1"/>
  <c r="V46" i="9"/>
  <c r="W46" i="9" s="1"/>
  <c r="AZ40" i="9"/>
  <c r="BA40" i="9" s="1"/>
  <c r="BB40" i="9" s="1"/>
  <c r="K311" i="56"/>
  <c r="K313" i="56" s="1"/>
  <c r="K314" i="56" s="1"/>
  <c r="K315" i="56" s="1"/>
  <c r="K316" i="56" s="1"/>
  <c r="K318" i="56" s="1"/>
  <c r="K319" i="56" s="1"/>
  <c r="BD200" i="9"/>
  <c r="BE200" i="9" s="1"/>
  <c r="W73" i="9"/>
  <c r="X73" i="9" s="1"/>
  <c r="Y73" i="9" s="1"/>
  <c r="Z73" i="9" s="1"/>
  <c r="AA73" i="9" s="1"/>
  <c r="AB73" i="9" s="1"/>
  <c r="AC73" i="9" s="1"/>
  <c r="AD73" i="9" s="1"/>
  <c r="AE73" i="9" s="1"/>
  <c r="AF73" i="9" s="1"/>
  <c r="AG73" i="9" s="1"/>
  <c r="Z195" i="9"/>
  <c r="AA195" i="9" s="1"/>
  <c r="AB195" i="9" s="1"/>
  <c r="AC195" i="9" s="1"/>
  <c r="AD195" i="9" s="1"/>
  <c r="AE195" i="9" s="1"/>
  <c r="AF195" i="9" s="1"/>
  <c r="AG195" i="9" s="1"/>
  <c r="AH195" i="9" s="1"/>
  <c r="AI195" i="9" s="1"/>
  <c r="AJ195" i="9" s="1"/>
  <c r="AK195" i="9" s="1"/>
  <c r="AL195" i="9" s="1"/>
  <c r="AM195" i="9" s="1"/>
  <c r="AN195" i="9" s="1"/>
  <c r="AO195" i="9" s="1"/>
  <c r="AP195" i="9" s="1"/>
  <c r="Z20" i="9"/>
  <c r="AA20" i="9" s="1"/>
  <c r="AB20" i="9" s="1"/>
  <c r="AC20" i="9" s="1"/>
  <c r="AD20" i="9" s="1"/>
  <c r="AE20" i="9" s="1"/>
  <c r="AF20" i="9" s="1"/>
  <c r="AG20" i="9" s="1"/>
  <c r="BH97" i="9"/>
  <c r="BI97" i="9" s="1"/>
  <c r="BD20" i="9"/>
  <c r="BE20" i="9" s="1"/>
  <c r="BJ133" i="9"/>
  <c r="BK133" i="9" s="1"/>
  <c r="BL133" i="9" s="1"/>
  <c r="BM133" i="9" s="1"/>
  <c r="BN133" i="9" s="1"/>
  <c r="BO133" i="9" s="1"/>
  <c r="BP133" i="9" s="1"/>
  <c r="BQ133" i="9" s="1"/>
  <c r="BR133" i="9" s="1"/>
  <c r="BS133" i="9" s="1"/>
  <c r="BT133" i="9" s="1"/>
  <c r="BU133" i="9" s="1"/>
  <c r="AZ165" i="9"/>
  <c r="S183" i="9"/>
  <c r="U102" i="9"/>
  <c r="V102" i="9" s="1"/>
  <c r="W102" i="9" s="1"/>
  <c r="X102" i="9" s="1"/>
  <c r="Y102" i="9" s="1"/>
  <c r="Z102" i="9" s="1"/>
  <c r="AA102" i="9" s="1"/>
  <c r="AB102" i="9" s="1"/>
  <c r="AC102" i="9" s="1"/>
  <c r="AD102" i="9" s="1"/>
  <c r="AE102" i="9" s="1"/>
  <c r="AF102" i="9" s="1"/>
  <c r="AG102" i="9" s="1"/>
  <c r="AH102" i="9" s="1"/>
  <c r="AI102" i="9" s="1"/>
  <c r="AJ102" i="9" s="1"/>
  <c r="AK102" i="9" s="1"/>
  <c r="BE223" i="9"/>
  <c r="BF223" i="9" s="1"/>
  <c r="BG223" i="9" s="1"/>
  <c r="BH223" i="9" s="1"/>
  <c r="BI223" i="9" s="1"/>
  <c r="BJ223" i="9" s="1"/>
  <c r="BK223" i="9" s="1"/>
  <c r="BL223" i="9" s="1"/>
  <c r="BM223" i="9" s="1"/>
  <c r="BN223" i="9" s="1"/>
  <c r="BO223" i="9" s="1"/>
  <c r="BP223" i="9" s="1"/>
  <c r="BQ223" i="9" s="1"/>
  <c r="BR223" i="9" s="1"/>
  <c r="BS223" i="9" s="1"/>
  <c r="BT223" i="9" s="1"/>
  <c r="BU223" i="9" s="1"/>
  <c r="BE156" i="9"/>
  <c r="BD164" i="9"/>
  <c r="BE164" i="9" s="1"/>
  <c r="BF164" i="9" s="1"/>
  <c r="BG164" i="9" s="1"/>
  <c r="BH164" i="9" s="1"/>
  <c r="BI164" i="9" s="1"/>
  <c r="BJ164" i="9" s="1"/>
  <c r="BK164" i="9" s="1"/>
  <c r="BL164" i="9" s="1"/>
  <c r="BM164" i="9" s="1"/>
  <c r="BN164" i="9" s="1"/>
  <c r="BO164" i="9" s="1"/>
  <c r="BP164" i="9" s="1"/>
  <c r="AK164" i="9"/>
  <c r="AL164" i="9" s="1"/>
  <c r="AM164" i="9" s="1"/>
  <c r="AN164" i="9" s="1"/>
  <c r="AO164" i="9" s="1"/>
  <c r="AP164" i="9" s="1"/>
  <c r="AZ15" i="9"/>
  <c r="W76" i="9"/>
  <c r="X76" i="9" s="1"/>
  <c r="Y76" i="9" s="1"/>
  <c r="Z76" i="9" s="1"/>
  <c r="AA76" i="9" s="1"/>
  <c r="AB76" i="9" s="1"/>
  <c r="AC76" i="9" s="1"/>
  <c r="AD76" i="9" s="1"/>
  <c r="AE76" i="9" s="1"/>
  <c r="AF76" i="9" s="1"/>
  <c r="AG76" i="9" s="1"/>
  <c r="AH76" i="9" s="1"/>
  <c r="AI76" i="9" s="1"/>
  <c r="AJ76" i="9" s="1"/>
  <c r="AK76" i="9" s="1"/>
  <c r="AL76" i="9" s="1"/>
  <c r="AM76" i="9" s="1"/>
  <c r="AN76" i="9" s="1"/>
  <c r="AO76" i="9" s="1"/>
  <c r="AP76" i="9" s="1"/>
  <c r="AM229" i="9"/>
  <c r="AN229" i="9" s="1"/>
  <c r="AO229" i="9" s="1"/>
  <c r="AP229" i="9" s="1"/>
  <c r="BE42" i="9"/>
  <c r="BF42" i="9" s="1"/>
  <c r="BG42" i="9" s="1"/>
  <c r="BH42" i="9" s="1"/>
  <c r="BI42" i="9" s="1"/>
  <c r="BJ42" i="9" s="1"/>
  <c r="BK42" i="9" s="1"/>
  <c r="BL42" i="9" s="1"/>
  <c r="BM42" i="9" s="1"/>
  <c r="BN42" i="9" s="1"/>
  <c r="BO42" i="9" s="1"/>
  <c r="BP42" i="9" s="1"/>
  <c r="BQ42" i="9" s="1"/>
  <c r="BR42" i="9" s="1"/>
  <c r="BS42" i="9" s="1"/>
  <c r="BT42" i="9" s="1"/>
  <c r="BU42" i="9" s="1"/>
  <c r="BB229" i="9"/>
  <c r="BC229" i="9" s="1"/>
  <c r="BD229" i="9" s="1"/>
  <c r="BE229" i="9" s="1"/>
  <c r="BF229" i="9" s="1"/>
  <c r="BG229" i="9" s="1"/>
  <c r="BH229" i="9" s="1"/>
  <c r="BI229" i="9" s="1"/>
  <c r="BJ229" i="9" s="1"/>
  <c r="BK229" i="9" s="1"/>
  <c r="BL229" i="9" s="1"/>
  <c r="BM229" i="9" s="1"/>
  <c r="BN229" i="9" s="1"/>
  <c r="BO229" i="9" s="1"/>
  <c r="BP229" i="9" s="1"/>
  <c r="BQ229" i="9" s="1"/>
  <c r="BR229" i="9" s="1"/>
  <c r="BA79" i="9"/>
  <c r="BB79" i="9" s="1"/>
  <c r="BC79" i="9" s="1"/>
  <c r="BD79" i="9" s="1"/>
  <c r="BE79" i="9" s="1"/>
  <c r="AY189" i="9"/>
  <c r="BB18" i="9"/>
  <c r="AN17" i="6"/>
  <c r="M135" i="13" s="1"/>
  <c r="W197" i="9"/>
  <c r="X197" i="9" s="1"/>
  <c r="Y197" i="9" s="1"/>
  <c r="Z197" i="9" s="1"/>
  <c r="AA197" i="9" s="1"/>
  <c r="AB197" i="9" s="1"/>
  <c r="AC197" i="9" s="1"/>
  <c r="AD197" i="9" s="1"/>
  <c r="AE197" i="9" s="1"/>
  <c r="AF197" i="9" s="1"/>
  <c r="AG197" i="9" s="1"/>
  <c r="AH197" i="9" s="1"/>
  <c r="AI197" i="9" s="1"/>
  <c r="AJ197" i="9" s="1"/>
  <c r="AK197" i="9" s="1"/>
  <c r="AL197" i="9" s="1"/>
  <c r="AM197" i="9" s="1"/>
  <c r="AN197" i="9" s="1"/>
  <c r="AO197" i="9" s="1"/>
  <c r="AP197" i="9" s="1"/>
  <c r="BA197" i="9"/>
  <c r="BB197" i="9" s="1"/>
  <c r="R123" i="9"/>
  <c r="BL132" i="9"/>
  <c r="BM132" i="9" s="1"/>
  <c r="BN132" i="9" s="1"/>
  <c r="BO132" i="9" s="1"/>
  <c r="BP132" i="9" s="1"/>
  <c r="BQ132" i="9" s="1"/>
  <c r="BR132" i="9" s="1"/>
  <c r="T96" i="9"/>
  <c r="T123" i="9" s="1"/>
  <c r="AX96" i="9"/>
  <c r="AY96" i="9" s="1"/>
  <c r="BH104" i="9"/>
  <c r="BI104" i="9" s="1"/>
  <c r="BJ104" i="9" s="1"/>
  <c r="BK104" i="9" s="1"/>
  <c r="J154" i="56"/>
  <c r="J155" i="56" s="1"/>
  <c r="J157" i="56" s="1"/>
  <c r="BI222" i="9"/>
  <c r="BJ222" i="9" s="1"/>
  <c r="BK222" i="9" s="1"/>
  <c r="BL222" i="9" s="1"/>
  <c r="BM222" i="9" s="1"/>
  <c r="BN222" i="9" s="1"/>
  <c r="BO222" i="9" s="1"/>
  <c r="BP222" i="9" s="1"/>
  <c r="BQ222" i="9" s="1"/>
  <c r="BR222" i="9" s="1"/>
  <c r="BS222" i="9" s="1"/>
  <c r="BT222" i="9" s="1"/>
  <c r="BU222" i="9" s="1"/>
  <c r="Z79" i="9"/>
  <c r="AA79" i="9" s="1"/>
  <c r="AB79" i="9" s="1"/>
  <c r="AC79" i="9" s="1"/>
  <c r="AD79" i="9" s="1"/>
  <c r="AE79" i="9" s="1"/>
  <c r="AF79" i="9" s="1"/>
  <c r="AG79" i="9" s="1"/>
  <c r="AH79" i="9" s="1"/>
  <c r="AI79" i="9" s="1"/>
  <c r="AJ79" i="9" s="1"/>
  <c r="AK79" i="9" s="1"/>
  <c r="AL79" i="9" s="1"/>
  <c r="AM79" i="9" s="1"/>
  <c r="AN79" i="9" s="1"/>
  <c r="AO79" i="9" s="1"/>
  <c r="AP79" i="9" s="1"/>
  <c r="BC137" i="9"/>
  <c r="BD137" i="9" s="1"/>
  <c r="BE137" i="9" s="1"/>
  <c r="BF137" i="9" s="1"/>
  <c r="BG137" i="9" s="1"/>
  <c r="BH137" i="9" s="1"/>
  <c r="BI137" i="9" s="1"/>
  <c r="BJ137" i="9" s="1"/>
  <c r="BK137" i="9" s="1"/>
  <c r="BL137" i="9" s="1"/>
  <c r="BM137" i="9" s="1"/>
  <c r="BN137" i="9" s="1"/>
  <c r="BO137" i="9" s="1"/>
  <c r="BP137" i="9" s="1"/>
  <c r="BQ137" i="9" s="1"/>
  <c r="BR137" i="9" s="1"/>
  <c r="BS137" i="9" s="1"/>
  <c r="BT137" i="9" s="1"/>
  <c r="BU137" i="9" s="1"/>
  <c r="L186" i="56"/>
  <c r="M181" i="56" s="1"/>
  <c r="U165" i="9"/>
  <c r="AJ193" i="9"/>
  <c r="AK193" i="9" s="1"/>
  <c r="AL193" i="9" s="1"/>
  <c r="AM193" i="9" s="1"/>
  <c r="AN193" i="9" s="1"/>
  <c r="AO193" i="9" s="1"/>
  <c r="AP193" i="9" s="1"/>
  <c r="AY102" i="9"/>
  <c r="AZ102" i="9" s="1"/>
  <c r="K97" i="56"/>
  <c r="K98" i="56" s="1"/>
  <c r="K100" i="56" s="1"/>
  <c r="K111" i="56" s="1"/>
  <c r="BB194" i="9"/>
  <c r="BC194" i="9" s="1"/>
  <c r="BD194" i="9" s="1"/>
  <c r="R216" i="9"/>
  <c r="BD107" i="9"/>
  <c r="BE107" i="9" s="1"/>
  <c r="W18" i="9"/>
  <c r="X18" i="9" s="1"/>
  <c r="Y18" i="9" s="1"/>
  <c r="K271" i="56"/>
  <c r="S123" i="9"/>
  <c r="K350" i="56"/>
  <c r="K352" i="56" s="1"/>
  <c r="K353" i="56" s="1"/>
  <c r="K354" i="56" s="1"/>
  <c r="K355" i="56" s="1"/>
  <c r="K357" i="56" s="1"/>
  <c r="K358" i="56" s="1"/>
  <c r="S192" i="9"/>
  <c r="T192" i="9" s="1"/>
  <c r="J115" i="56"/>
  <c r="J116" i="56" s="1"/>
  <c r="J118" i="56" s="1"/>
  <c r="J119" i="56" s="1"/>
  <c r="J120" i="56" s="1"/>
  <c r="J121" i="56" s="1"/>
  <c r="J123" i="56" s="1"/>
  <c r="J124" i="56" s="1"/>
  <c r="K108" i="56"/>
  <c r="L103" i="56" s="1"/>
  <c r="AZ76" i="9"/>
  <c r="BA76" i="9" s="1"/>
  <c r="BB76" i="9" s="1"/>
  <c r="BE224" i="9"/>
  <c r="BF224" i="9" s="1"/>
  <c r="BG224" i="9" s="1"/>
  <c r="BH224" i="9" s="1"/>
  <c r="BI224" i="9" s="1"/>
  <c r="BJ224" i="9" s="1"/>
  <c r="BK224" i="9" s="1"/>
  <c r="BL224" i="9" s="1"/>
  <c r="BM224" i="9" s="1"/>
  <c r="BN224" i="9" s="1"/>
  <c r="BO224" i="9" s="1"/>
  <c r="BP224" i="9" s="1"/>
  <c r="BQ224" i="9" s="1"/>
  <c r="BR224" i="9" s="1"/>
  <c r="BS224" i="9" s="1"/>
  <c r="BT224" i="9" s="1"/>
  <c r="BU224" i="9" s="1"/>
  <c r="AM132" i="9"/>
  <c r="AN132" i="9" s="1"/>
  <c r="AO132" i="9" s="1"/>
  <c r="AP132" i="9" s="1"/>
  <c r="BA19" i="9"/>
  <c r="BB19" i="9" s="1"/>
  <c r="BB50" i="9"/>
  <c r="BC50" i="9" s="1"/>
  <c r="BD50" i="9" s="1"/>
  <c r="BE50" i="9" s="1"/>
  <c r="BF50" i="9" s="1"/>
  <c r="BG50" i="9" s="1"/>
  <c r="BH50" i="9" s="1"/>
  <c r="BI50" i="9" s="1"/>
  <c r="BJ50" i="9" s="1"/>
  <c r="BK50" i="9" s="1"/>
  <c r="BL50" i="9" s="1"/>
  <c r="BM50" i="9" s="1"/>
  <c r="BN50" i="9" s="1"/>
  <c r="BO50" i="9" s="1"/>
  <c r="BP50" i="9" s="1"/>
  <c r="BQ50" i="9" s="1"/>
  <c r="BR50" i="9" s="1"/>
  <c r="BS50" i="9" s="1"/>
  <c r="BT50" i="9" s="1"/>
  <c r="BU50" i="9" s="1"/>
  <c r="K194" i="56"/>
  <c r="K196" i="56" s="1"/>
  <c r="K197" i="56" s="1"/>
  <c r="K198" i="56" s="1"/>
  <c r="K199" i="56" s="1"/>
  <c r="K201" i="56" s="1"/>
  <c r="K202" i="56" s="1"/>
  <c r="K94" i="56"/>
  <c r="L89" i="56" s="1"/>
  <c r="Y194" i="9"/>
  <c r="Z194" i="9" s="1"/>
  <c r="AA194" i="9" s="1"/>
  <c r="Y41" i="9"/>
  <c r="Z41" i="9" s="1"/>
  <c r="AA41" i="9" s="1"/>
  <c r="AB41" i="9" s="1"/>
  <c r="AC41" i="9" s="1"/>
  <c r="AD41" i="9" s="1"/>
  <c r="AE41" i="9" s="1"/>
  <c r="AF41" i="9" s="1"/>
  <c r="AG41" i="9" s="1"/>
  <c r="AH41" i="9" s="1"/>
  <c r="AI41" i="9" s="1"/>
  <c r="AJ41" i="9" s="1"/>
  <c r="AK41" i="9" s="1"/>
  <c r="AL41" i="9" s="1"/>
  <c r="AM41" i="9" s="1"/>
  <c r="AN41" i="9" s="1"/>
  <c r="AO41" i="9" s="1"/>
  <c r="AP41" i="9" s="1"/>
  <c r="BA193" i="9"/>
  <c r="BB193" i="9" s="1"/>
  <c r="BC193" i="9" s="1"/>
  <c r="BD193" i="9" s="1"/>
  <c r="BE193" i="9" s="1"/>
  <c r="BF193" i="9" s="1"/>
  <c r="BG193" i="9" s="1"/>
  <c r="BH193" i="9" s="1"/>
  <c r="BI193" i="9" s="1"/>
  <c r="BJ193" i="9" s="1"/>
  <c r="BK193" i="9" s="1"/>
  <c r="BL193" i="9" s="1"/>
  <c r="BM193" i="9" s="1"/>
  <c r="BN193" i="9" s="1"/>
  <c r="BO193" i="9" s="1"/>
  <c r="AD97" i="9"/>
  <c r="AE97" i="9" s="1"/>
  <c r="AF97" i="9" s="1"/>
  <c r="AG97" i="9" s="1"/>
  <c r="AH97" i="9" s="1"/>
  <c r="AI97" i="9" s="1"/>
  <c r="AJ97" i="9" s="1"/>
  <c r="AK97" i="9" s="1"/>
  <c r="AL97" i="9" s="1"/>
  <c r="AM97" i="9" s="1"/>
  <c r="AN97" i="9" s="1"/>
  <c r="AO97" i="9" s="1"/>
  <c r="AP97" i="9" s="1"/>
  <c r="L104" i="56"/>
  <c r="L106" i="56" s="1"/>
  <c r="M90" i="56"/>
  <c r="M92" i="56" s="1"/>
  <c r="AC77" i="9"/>
  <c r="AD77" i="9" s="1"/>
  <c r="AE77" i="9" s="1"/>
  <c r="AF77" i="9" s="1"/>
  <c r="AG77" i="9" s="1"/>
  <c r="AH77" i="9" s="1"/>
  <c r="AI77" i="9" s="1"/>
  <c r="AJ77" i="9" s="1"/>
  <c r="AK77" i="9" s="1"/>
  <c r="AL77" i="9" s="1"/>
  <c r="AM77" i="9" s="1"/>
  <c r="AN77" i="9" s="1"/>
  <c r="AO77" i="9" s="1"/>
  <c r="AP77" i="9" s="1"/>
  <c r="K264" i="56"/>
  <c r="L259" i="56" s="1"/>
  <c r="BA129" i="9"/>
  <c r="I16" i="6"/>
  <c r="E17" i="6" s="1"/>
  <c r="W40" i="9"/>
  <c r="R66" i="9"/>
  <c r="J272" i="56"/>
  <c r="J274" i="56" s="1"/>
  <c r="J275" i="56" s="1"/>
  <c r="J276" i="56" s="1"/>
  <c r="J277" i="56" s="1"/>
  <c r="J279" i="56" s="1"/>
  <c r="J280" i="56" s="1"/>
  <c r="W19" i="9"/>
  <c r="X19" i="9" s="1"/>
  <c r="Y19" i="9" s="1"/>
  <c r="H8" i="6"/>
  <c r="L147" i="56"/>
  <c r="M142" i="56" s="1"/>
  <c r="AY228" i="9"/>
  <c r="BG47" i="9"/>
  <c r="BH47" i="9" s="1"/>
  <c r="BI47" i="9" s="1"/>
  <c r="BJ47" i="9" s="1"/>
  <c r="BK47" i="9" s="1"/>
  <c r="BL47" i="9" s="1"/>
  <c r="BM47" i="9" s="1"/>
  <c r="BN47" i="9" s="1"/>
  <c r="BO47" i="9" s="1"/>
  <c r="BP47" i="9" s="1"/>
  <c r="BQ47" i="9" s="1"/>
  <c r="BR47" i="9" s="1"/>
  <c r="BS47" i="9" s="1"/>
  <c r="BT47" i="9" s="1"/>
  <c r="BU47" i="9" s="1"/>
  <c r="BG161" i="9"/>
  <c r="BH161" i="9" s="1"/>
  <c r="BI161" i="9" s="1"/>
  <c r="BJ161" i="9" s="1"/>
  <c r="BK161" i="9" s="1"/>
  <c r="BL161" i="9" s="1"/>
  <c r="BM161" i="9" s="1"/>
  <c r="BN161" i="9" s="1"/>
  <c r="BO161" i="9" s="1"/>
  <c r="BP161" i="9" s="1"/>
  <c r="BQ161" i="9" s="1"/>
  <c r="BR161" i="9" s="1"/>
  <c r="BS161" i="9" s="1"/>
  <c r="BT161" i="9" s="1"/>
  <c r="BU161" i="9" s="1"/>
  <c r="BC45" i="9"/>
  <c r="BD45" i="9" s="1"/>
  <c r="BE45" i="9" s="1"/>
  <c r="BF45" i="9" s="1"/>
  <c r="BG45" i="9" s="1"/>
  <c r="BH45" i="9" s="1"/>
  <c r="BI45" i="9" s="1"/>
  <c r="BJ45" i="9" s="1"/>
  <c r="BK45" i="9" s="1"/>
  <c r="BL45" i="9" s="1"/>
  <c r="BM45" i="9" s="1"/>
  <c r="BN45" i="9" s="1"/>
  <c r="BO45" i="9" s="1"/>
  <c r="BP45" i="9" s="1"/>
  <c r="BQ45" i="9" s="1"/>
  <c r="BR45" i="9" s="1"/>
  <c r="BS45" i="9" s="1"/>
  <c r="BT45" i="9" s="1"/>
  <c r="BU45" i="9" s="1"/>
  <c r="W44" i="9"/>
  <c r="X44" i="9" s="1"/>
  <c r="K133" i="56"/>
  <c r="K136" i="56"/>
  <c r="K137" i="56" s="1"/>
  <c r="K139" i="56" s="1"/>
  <c r="K150" i="56" s="1"/>
  <c r="J225" i="56"/>
  <c r="K220" i="56" s="1"/>
  <c r="BB41" i="9"/>
  <c r="BC41" i="9" s="1"/>
  <c r="BD41" i="9" s="1"/>
  <c r="BS105" i="9"/>
  <c r="BT105" i="9" s="1"/>
  <c r="BU105" i="9" s="1"/>
  <c r="AX39" i="9"/>
  <c r="AY39" i="9" s="1"/>
  <c r="AZ39" i="9" s="1"/>
  <c r="BA98" i="9"/>
  <c r="BA44" i="9"/>
  <c r="BB44" i="9" s="1"/>
  <c r="AY166" i="9"/>
  <c r="AZ166" i="9" s="1"/>
  <c r="BA166" i="9" s="1"/>
  <c r="BB166" i="9" s="1"/>
  <c r="BC166" i="9" s="1"/>
  <c r="BB17" i="9"/>
  <c r="BC17" i="9" s="1"/>
  <c r="BD17" i="9" s="1"/>
  <c r="BE17" i="9" s="1"/>
  <c r="BF17" i="9" s="1"/>
  <c r="BG17" i="9" s="1"/>
  <c r="BH17" i="9" s="1"/>
  <c r="BI17" i="9" s="1"/>
  <c r="BJ17" i="9" s="1"/>
  <c r="BK17" i="9" s="1"/>
  <c r="BL17" i="9" s="1"/>
  <c r="BM17" i="9" s="1"/>
  <c r="BN17" i="9" s="1"/>
  <c r="BO17" i="9" s="1"/>
  <c r="BP17" i="9" s="1"/>
  <c r="BQ17" i="9" s="1"/>
  <c r="BR17" i="9" s="1"/>
  <c r="BS17" i="9" s="1"/>
  <c r="BT17" i="9" s="1"/>
  <c r="BU17" i="9" s="1"/>
  <c r="AG227" i="9"/>
  <c r="AH227" i="9" s="1"/>
  <c r="AI227" i="9" s="1"/>
  <c r="AJ227" i="9" s="1"/>
  <c r="AK227" i="9" s="1"/>
  <c r="AL227" i="9" s="1"/>
  <c r="AM227" i="9" s="1"/>
  <c r="AN227" i="9" s="1"/>
  <c r="AO227" i="9" s="1"/>
  <c r="AP227" i="9" s="1"/>
  <c r="L303" i="56"/>
  <c r="M298" i="56" s="1"/>
  <c r="M303" i="56" s="1"/>
  <c r="N298" i="56" s="1"/>
  <c r="BA49" i="9"/>
  <c r="BB49" i="9" s="1"/>
  <c r="BC49" i="9" s="1"/>
  <c r="BD49" i="9" s="1"/>
  <c r="BE49" i="9" s="1"/>
  <c r="BF49" i="9" s="1"/>
  <c r="BG49" i="9" s="1"/>
  <c r="BH49" i="9" s="1"/>
  <c r="BI49" i="9" s="1"/>
  <c r="Z107" i="9"/>
  <c r="AA107" i="9" s="1"/>
  <c r="AB107" i="9" s="1"/>
  <c r="AC107" i="9" s="1"/>
  <c r="AD107" i="9" s="1"/>
  <c r="AE107" i="9" s="1"/>
  <c r="AF107" i="9" s="1"/>
  <c r="AG107" i="9" s="1"/>
  <c r="AH107" i="9" s="1"/>
  <c r="AI107" i="9" s="1"/>
  <c r="AJ107" i="9" s="1"/>
  <c r="AK107" i="9" s="1"/>
  <c r="AL107" i="9" s="1"/>
  <c r="AM107" i="9" s="1"/>
  <c r="AN107" i="9" s="1"/>
  <c r="AO107" i="9" s="1"/>
  <c r="AP107" i="9" s="1"/>
  <c r="U39" i="9"/>
  <c r="V221" i="9"/>
  <c r="J228" i="56"/>
  <c r="M292" i="56"/>
  <c r="M293" i="56" s="1"/>
  <c r="M295" i="56" s="1"/>
  <c r="M289" i="56"/>
  <c r="N284" i="56" s="1"/>
  <c r="M145" i="56"/>
  <c r="M153" i="56" s="1"/>
  <c r="AY199" i="9"/>
  <c r="AZ199" i="9" s="1"/>
  <c r="BA199" i="9" s="1"/>
  <c r="BB199" i="9" s="1"/>
  <c r="BC199" i="9" s="1"/>
  <c r="BD199" i="9" s="1"/>
  <c r="BE199" i="9" s="1"/>
  <c r="BF199" i="9" s="1"/>
  <c r="BG199" i="9" s="1"/>
  <c r="BH199" i="9" s="1"/>
  <c r="BI199" i="9" s="1"/>
  <c r="BJ199" i="9" s="1"/>
  <c r="BK199" i="9" s="1"/>
  <c r="BL199" i="9" s="1"/>
  <c r="BM199" i="9" s="1"/>
  <c r="BN199" i="9" s="1"/>
  <c r="BO199" i="9" s="1"/>
  <c r="BP199" i="9" s="1"/>
  <c r="BQ199" i="9" s="1"/>
  <c r="BR199" i="9" s="1"/>
  <c r="BS199" i="9" s="1"/>
  <c r="BT199" i="9" s="1"/>
  <c r="BU199" i="9" s="1"/>
  <c r="K214" i="56"/>
  <c r="K215" i="56" s="1"/>
  <c r="K217" i="56" s="1"/>
  <c r="K211" i="56"/>
  <c r="L206" i="56" s="1"/>
  <c r="L306" i="56"/>
  <c r="BA167" i="9"/>
  <c r="BB167" i="9" s="1"/>
  <c r="BC167" i="9" s="1"/>
  <c r="BD167" i="9" s="1"/>
  <c r="BE167" i="9" s="1"/>
  <c r="BF167" i="9" s="1"/>
  <c r="BG167" i="9" s="1"/>
  <c r="BH167" i="9" s="1"/>
  <c r="BI167" i="9" s="1"/>
  <c r="BJ167" i="9" s="1"/>
  <c r="BK167" i="9" s="1"/>
  <c r="BL167" i="9" s="1"/>
  <c r="BM167" i="9" s="1"/>
  <c r="BN167" i="9" s="1"/>
  <c r="BO167" i="9" s="1"/>
  <c r="BP167" i="9" s="1"/>
  <c r="BQ167" i="9" s="1"/>
  <c r="BR167" i="9" s="1"/>
  <c r="BS167" i="9" s="1"/>
  <c r="BT167" i="9" s="1"/>
  <c r="BU167" i="9" s="1"/>
  <c r="M340" i="56"/>
  <c r="M348" i="56" s="1"/>
  <c r="O285" i="56"/>
  <c r="O287" i="56" s="1"/>
  <c r="N299" i="56"/>
  <c r="N287" i="56"/>
  <c r="I80" i="56"/>
  <c r="I81" i="56" s="1"/>
  <c r="I82" i="56" s="1"/>
  <c r="I84" i="56" s="1"/>
  <c r="I85" i="56" s="1"/>
  <c r="T189" i="9"/>
  <c r="X17" i="6"/>
  <c r="M76" i="13" s="1"/>
  <c r="U17" i="6"/>
  <c r="AL17" i="6"/>
  <c r="AM17" i="6" s="1"/>
  <c r="AZ159" i="9"/>
  <c r="J232" i="56"/>
  <c r="L310" i="56"/>
  <c r="L253" i="56"/>
  <c r="L254" i="56" s="1"/>
  <c r="L256" i="56" s="1"/>
  <c r="L250" i="56"/>
  <c r="M245" i="56" s="1"/>
  <c r="Z156" i="9"/>
  <c r="H30" i="33"/>
  <c r="BC130" i="9"/>
  <c r="BD130" i="9" s="1"/>
  <c r="BE130" i="9" s="1"/>
  <c r="BF130" i="9" s="1"/>
  <c r="BG130" i="9" s="1"/>
  <c r="BH130" i="9" s="1"/>
  <c r="BI130" i="9" s="1"/>
  <c r="BJ130" i="9" s="1"/>
  <c r="BK130" i="9" s="1"/>
  <c r="BL130" i="9" s="1"/>
  <c r="BM130" i="9" s="1"/>
  <c r="BN130" i="9" s="1"/>
  <c r="BO130" i="9" s="1"/>
  <c r="BP130" i="9" s="1"/>
  <c r="BQ130" i="9" s="1"/>
  <c r="BR130" i="9" s="1"/>
  <c r="BS130" i="9" s="1"/>
  <c r="BT130" i="9" s="1"/>
  <c r="BU130" i="9" s="1"/>
  <c r="T228" i="9"/>
  <c r="T242" i="9" s="1"/>
  <c r="S242" i="9"/>
  <c r="J314" i="56"/>
  <c r="J315" i="56" s="1"/>
  <c r="J316" i="56" s="1"/>
  <c r="J318" i="56" s="1"/>
  <c r="J319" i="56" s="1"/>
  <c r="M184" i="56"/>
  <c r="M192" i="56" s="1"/>
  <c r="F30" i="33"/>
  <c r="H15" i="33"/>
  <c r="H34" i="33"/>
  <c r="D29" i="53" s="1"/>
  <c r="J75" i="56"/>
  <c r="J69" i="56"/>
  <c r="K64" i="56" s="1"/>
  <c r="K69" i="56" s="1"/>
  <c r="L64" i="56" s="1"/>
  <c r="AV17" i="6"/>
  <c r="M164" i="13" s="1"/>
  <c r="AS17" i="6"/>
  <c r="M175" i="56"/>
  <c r="M176" i="56" s="1"/>
  <c r="M178" i="56" s="1"/>
  <c r="M172" i="56"/>
  <c r="N167" i="56" s="1"/>
  <c r="BC99" i="9"/>
  <c r="BD99" i="9" s="1"/>
  <c r="BE99" i="9" s="1"/>
  <c r="BF99" i="9" s="1"/>
  <c r="BG99" i="9" s="1"/>
  <c r="BH99" i="9" s="1"/>
  <c r="BI99" i="9" s="1"/>
  <c r="BJ99" i="9" s="1"/>
  <c r="BK99" i="9" s="1"/>
  <c r="BL99" i="9" s="1"/>
  <c r="BM99" i="9" s="1"/>
  <c r="BN99" i="9" s="1"/>
  <c r="BO99" i="9" s="1"/>
  <c r="BP99" i="9" s="1"/>
  <c r="BQ99" i="9" s="1"/>
  <c r="BR99" i="9" s="1"/>
  <c r="BS99" i="9" s="1"/>
  <c r="BT99" i="9" s="1"/>
  <c r="BU99" i="9" s="1"/>
  <c r="L21" i="13"/>
  <c r="L23" i="13" s="1"/>
  <c r="L262" i="56"/>
  <c r="L270" i="56" s="1"/>
  <c r="AF17" i="6"/>
  <c r="M106" i="13" s="1"/>
  <c r="AC17" i="6"/>
  <c r="T78" i="9"/>
  <c r="U78" i="9" s="1"/>
  <c r="V78" i="9" s="1"/>
  <c r="W78" i="9" s="1"/>
  <c r="X78" i="9" s="1"/>
  <c r="Y78" i="9" s="1"/>
  <c r="Z78" i="9" s="1"/>
  <c r="AA78" i="9" s="1"/>
  <c r="AB78" i="9" s="1"/>
  <c r="AC78" i="9" s="1"/>
  <c r="AD78" i="9" s="1"/>
  <c r="AE78" i="9" s="1"/>
  <c r="AF78" i="9" s="1"/>
  <c r="AG78" i="9" s="1"/>
  <c r="AH78" i="9" s="1"/>
  <c r="AI78" i="9" s="1"/>
  <c r="AJ78" i="9" s="1"/>
  <c r="AK78" i="9" s="1"/>
  <c r="AL78" i="9" s="1"/>
  <c r="AM78" i="9" s="1"/>
  <c r="AN78" i="9" s="1"/>
  <c r="AO78" i="9" s="1"/>
  <c r="AP78" i="9" s="1"/>
  <c r="I233" i="56"/>
  <c r="I235" i="56" s="1"/>
  <c r="AD49" i="9"/>
  <c r="AE49" i="9" s="1"/>
  <c r="AF49" i="9" s="1"/>
  <c r="AG49" i="9" s="1"/>
  <c r="AH49" i="9" s="1"/>
  <c r="AI49" i="9" s="1"/>
  <c r="AJ49" i="9" s="1"/>
  <c r="AK49" i="9" s="1"/>
  <c r="AL49" i="9" s="1"/>
  <c r="AM49" i="9" s="1"/>
  <c r="AN49" i="9" s="1"/>
  <c r="AO49" i="9" s="1"/>
  <c r="AP49" i="9" s="1"/>
  <c r="J72" i="56"/>
  <c r="L65" i="56"/>
  <c r="L370" i="56" s="1"/>
  <c r="L365" i="56"/>
  <c r="L366" i="56" s="1"/>
  <c r="L367" i="56" s="1"/>
  <c r="M51" i="56"/>
  <c r="L189" i="56"/>
  <c r="L221" i="56"/>
  <c r="L223" i="56" s="1"/>
  <c r="L231" i="56" s="1"/>
  <c r="M207" i="56"/>
  <c r="V74" i="9"/>
  <c r="W74" i="9" s="1"/>
  <c r="X74" i="9" s="1"/>
  <c r="Y74" i="9" s="1"/>
  <c r="Z74" i="9" s="1"/>
  <c r="AA74" i="9" s="1"/>
  <c r="AB74" i="9" s="1"/>
  <c r="P17" i="6"/>
  <c r="M48" i="13" s="1"/>
  <c r="M17" i="6"/>
  <c r="U72" i="9"/>
  <c r="S48" i="9"/>
  <c r="T48" i="9" s="1"/>
  <c r="U48" i="9" s="1"/>
  <c r="V48" i="9" s="1"/>
  <c r="W48" i="9" s="1"/>
  <c r="X48" i="9" s="1"/>
  <c r="Y48" i="9" s="1"/>
  <c r="Z48" i="9" s="1"/>
  <c r="AA48" i="9" s="1"/>
  <c r="AB48" i="9" s="1"/>
  <c r="AC48" i="9" s="1"/>
  <c r="AD48" i="9" s="1"/>
  <c r="AE48" i="9" s="1"/>
  <c r="AF48" i="9" s="1"/>
  <c r="AG48" i="9" s="1"/>
  <c r="AH48" i="9" s="1"/>
  <c r="AI48" i="9" s="1"/>
  <c r="AJ48" i="9" s="1"/>
  <c r="AK48" i="9" s="1"/>
  <c r="AL48" i="9" s="1"/>
  <c r="AM48" i="9" s="1"/>
  <c r="AN48" i="9" s="1"/>
  <c r="AO48" i="9" s="1"/>
  <c r="U150" i="9"/>
  <c r="V129" i="9"/>
  <c r="M328" i="56"/>
  <c r="N323" i="56" s="1"/>
  <c r="M331" i="56"/>
  <c r="M332" i="56" s="1"/>
  <c r="M334" i="56" s="1"/>
  <c r="L345" i="56"/>
  <c r="X14" i="9"/>
  <c r="BA221" i="9"/>
  <c r="V100" i="9"/>
  <c r="W100" i="9" s="1"/>
  <c r="X100" i="9" s="1"/>
  <c r="Y100" i="9" s="1"/>
  <c r="Z100" i="9" s="1"/>
  <c r="AA100" i="9" s="1"/>
  <c r="AB100" i="9" s="1"/>
  <c r="AC100" i="9" s="1"/>
  <c r="AD100" i="9" s="1"/>
  <c r="AE100" i="9" s="1"/>
  <c r="AF100" i="9" s="1"/>
  <c r="AG100" i="9" s="1"/>
  <c r="AH100" i="9" s="1"/>
  <c r="AI100" i="9" s="1"/>
  <c r="AJ100" i="9" s="1"/>
  <c r="AK100" i="9" s="1"/>
  <c r="AL100" i="9" s="1"/>
  <c r="AM100" i="9" s="1"/>
  <c r="AN100" i="9" s="1"/>
  <c r="AO100" i="9" s="1"/>
  <c r="AP100" i="9" s="1"/>
  <c r="AZ72" i="9"/>
  <c r="AX48" i="9"/>
  <c r="L193" i="56"/>
  <c r="K223" i="56"/>
  <c r="K231" i="56" s="1"/>
  <c r="BA74" i="9"/>
  <c r="BG77" i="9"/>
  <c r="BH77" i="9" s="1"/>
  <c r="N338" i="56"/>
  <c r="N340" i="56" s="1"/>
  <c r="N348" i="56" s="1"/>
  <c r="O324" i="56"/>
  <c r="N326" i="56"/>
  <c r="K267" i="56"/>
  <c r="N182" i="56"/>
  <c r="O168" i="56"/>
  <c r="AZ75" i="9"/>
  <c r="BA75" i="9" s="1"/>
  <c r="BB75" i="9" s="1"/>
  <c r="BC75" i="9" s="1"/>
  <c r="BD75" i="9" s="1"/>
  <c r="AW34" i="9"/>
  <c r="AX24" i="9"/>
  <c r="T183" i="9"/>
  <c r="U159" i="9"/>
  <c r="M260" i="56"/>
  <c r="N246" i="56"/>
  <c r="L349" i="56"/>
  <c r="Y75" i="9"/>
  <c r="Z75" i="9" s="1"/>
  <c r="AA75" i="9" s="1"/>
  <c r="AB75" i="9" s="1"/>
  <c r="V98" i="9"/>
  <c r="K50" i="56"/>
  <c r="J76" i="56"/>
  <c r="BD131" i="9"/>
  <c r="BE131" i="9" s="1"/>
  <c r="BF131" i="9" s="1"/>
  <c r="BG131" i="9" s="1"/>
  <c r="BH131" i="9" s="1"/>
  <c r="BI131" i="9" s="1"/>
  <c r="BJ131" i="9" s="1"/>
  <c r="BK131" i="9" s="1"/>
  <c r="BL131" i="9" s="1"/>
  <c r="BM131" i="9" s="1"/>
  <c r="BN131" i="9" s="1"/>
  <c r="BO131" i="9" s="1"/>
  <c r="BP131" i="9" s="1"/>
  <c r="BQ131" i="9" s="1"/>
  <c r="BR131" i="9" s="1"/>
  <c r="BS131" i="9" s="1"/>
  <c r="BT131" i="9" s="1"/>
  <c r="BU131" i="9" s="1"/>
  <c r="K370" i="56"/>
  <c r="K371" i="56" s="1"/>
  <c r="N143" i="56"/>
  <c r="O129" i="56"/>
  <c r="AY78" i="9"/>
  <c r="T33" i="9"/>
  <c r="U15" i="9"/>
  <c r="AY103" i="9"/>
  <c r="AZ103" i="9" s="1"/>
  <c r="BA103" i="9" s="1"/>
  <c r="BB103" i="9" s="1"/>
  <c r="BC103" i="9" s="1"/>
  <c r="BD103" i="9" s="1"/>
  <c r="BE103" i="9" s="1"/>
  <c r="BF103" i="9" s="1"/>
  <c r="BG103" i="9" s="1"/>
  <c r="BH103" i="9" s="1"/>
  <c r="BI103" i="9" s="1"/>
  <c r="BJ103" i="9" s="1"/>
  <c r="BK103" i="9" s="1"/>
  <c r="BL103" i="9" s="1"/>
  <c r="BM103" i="9" s="1"/>
  <c r="BN103" i="9" s="1"/>
  <c r="BO103" i="9" s="1"/>
  <c r="BP103" i="9" s="1"/>
  <c r="BQ103" i="9" s="1"/>
  <c r="BR103" i="9" s="1"/>
  <c r="BS103" i="9" s="1"/>
  <c r="BT103" i="9" s="1"/>
  <c r="BU103" i="9" s="1"/>
  <c r="J371" i="56"/>
  <c r="D25" i="53" l="1"/>
  <c r="AJ104" i="9"/>
  <c r="AK104" i="9" s="1"/>
  <c r="AL104" i="9" s="1"/>
  <c r="AM104" i="9" s="1"/>
  <c r="AN104" i="9" s="1"/>
  <c r="AO104" i="9" s="1"/>
  <c r="AP104" i="9" s="1"/>
  <c r="BF200" i="9"/>
  <c r="BG200" i="9" s="1"/>
  <c r="BH200" i="9" s="1"/>
  <c r="BI200" i="9" s="1"/>
  <c r="BJ200" i="9" s="1"/>
  <c r="BK200" i="9" s="1"/>
  <c r="BL200" i="9" s="1"/>
  <c r="BM200" i="9" s="1"/>
  <c r="BN200" i="9" s="1"/>
  <c r="AI200" i="9"/>
  <c r="AJ200" i="9" s="1"/>
  <c r="AK200" i="9" s="1"/>
  <c r="AL200" i="9" s="1"/>
  <c r="AM200" i="9" s="1"/>
  <c r="AN200" i="9" s="1"/>
  <c r="AO200" i="9" s="1"/>
  <c r="AP200" i="9" s="1"/>
  <c r="BL104" i="9"/>
  <c r="BM104" i="9" s="1"/>
  <c r="BN104" i="9" s="1"/>
  <c r="BO104" i="9" s="1"/>
  <c r="BA17" i="6"/>
  <c r="BB17" i="6" s="1"/>
  <c r="BC17" i="6" s="1"/>
  <c r="BE17" i="6" s="1"/>
  <c r="BL18" i="6"/>
  <c r="N223" i="13" s="1"/>
  <c r="BE41" i="9"/>
  <c r="BF41" i="9" s="1"/>
  <c r="BG41" i="9" s="1"/>
  <c r="BH41" i="9" s="1"/>
  <c r="BI41" i="9" s="1"/>
  <c r="BJ41" i="9" s="1"/>
  <c r="BK41" i="9" s="1"/>
  <c r="BL41" i="9" s="1"/>
  <c r="BM41" i="9" s="1"/>
  <c r="BN41" i="9" s="1"/>
  <c r="BO41" i="9" s="1"/>
  <c r="BP41" i="9" s="1"/>
  <c r="BQ41" i="9" s="1"/>
  <c r="BR41" i="9" s="1"/>
  <c r="BS41" i="9" s="1"/>
  <c r="BT41" i="9" s="1"/>
  <c r="BU41" i="9" s="1"/>
  <c r="BD166" i="9"/>
  <c r="BE166" i="9" s="1"/>
  <c r="BF166" i="9" s="1"/>
  <c r="BG166" i="9" s="1"/>
  <c r="BH166" i="9" s="1"/>
  <c r="BI166" i="9" s="1"/>
  <c r="BJ166" i="9" s="1"/>
  <c r="BK166" i="9" s="1"/>
  <c r="BL166" i="9" s="1"/>
  <c r="BM166" i="9" s="1"/>
  <c r="BN166" i="9" s="1"/>
  <c r="BO166" i="9" s="1"/>
  <c r="BP166" i="9" s="1"/>
  <c r="BQ166" i="9" s="1"/>
  <c r="BR166" i="9" s="1"/>
  <c r="BS166" i="9" s="1"/>
  <c r="BT166" i="9" s="1"/>
  <c r="BU166" i="9" s="1"/>
  <c r="BB46" i="9"/>
  <c r="BC46" i="9" s="1"/>
  <c r="AH73" i="9"/>
  <c r="AI73" i="9" s="1"/>
  <c r="AJ73" i="9" s="1"/>
  <c r="AK73" i="9" s="1"/>
  <c r="AL73" i="9" s="1"/>
  <c r="AM73" i="9" s="1"/>
  <c r="AN73" i="9" s="1"/>
  <c r="AO73" i="9" s="1"/>
  <c r="AP73" i="9" s="1"/>
  <c r="X46" i="9"/>
  <c r="Y46" i="9" s="1"/>
  <c r="Z46" i="9" s="1"/>
  <c r="AA46" i="9" s="1"/>
  <c r="AB46" i="9" s="1"/>
  <c r="AC46" i="9" s="1"/>
  <c r="AD46" i="9" s="1"/>
  <c r="AE46" i="9" s="1"/>
  <c r="AF46" i="9" s="1"/>
  <c r="AG46" i="9" s="1"/>
  <c r="AH46" i="9" s="1"/>
  <c r="AI46" i="9" s="1"/>
  <c r="AJ46" i="9" s="1"/>
  <c r="AK46" i="9" s="1"/>
  <c r="AL46" i="9" s="1"/>
  <c r="AM46" i="9" s="1"/>
  <c r="AN46" i="9" s="1"/>
  <c r="AO46" i="9" s="1"/>
  <c r="AP46" i="9" s="1"/>
  <c r="BF156" i="9"/>
  <c r="M342" i="56"/>
  <c r="N337" i="56" s="1"/>
  <c r="N342" i="56" s="1"/>
  <c r="O337" i="56" s="1"/>
  <c r="BC76" i="9"/>
  <c r="BD76" i="9" s="1"/>
  <c r="BE76" i="9" s="1"/>
  <c r="BF76" i="9" s="1"/>
  <c r="BG76" i="9" s="1"/>
  <c r="BH76" i="9" s="1"/>
  <c r="BI76" i="9" s="1"/>
  <c r="BJ76" i="9" s="1"/>
  <c r="BK76" i="9" s="1"/>
  <c r="BL76" i="9" s="1"/>
  <c r="BM76" i="9" s="1"/>
  <c r="BN76" i="9" s="1"/>
  <c r="BO76" i="9" s="1"/>
  <c r="BP76" i="9" s="1"/>
  <c r="BQ76" i="9" s="1"/>
  <c r="BR76" i="9" s="1"/>
  <c r="BS76" i="9" s="1"/>
  <c r="BT76" i="9" s="1"/>
  <c r="BU76" i="9" s="1"/>
  <c r="BF195" i="9"/>
  <c r="BG195" i="9" s="1"/>
  <c r="BH195" i="9" s="1"/>
  <c r="BI195" i="9" s="1"/>
  <c r="BJ195" i="9" s="1"/>
  <c r="BK195" i="9" s="1"/>
  <c r="BL195" i="9" s="1"/>
  <c r="BM195" i="9" s="1"/>
  <c r="BN195" i="9" s="1"/>
  <c r="BO195" i="9" s="1"/>
  <c r="BP195" i="9" s="1"/>
  <c r="BQ195" i="9" s="1"/>
  <c r="BR195" i="9" s="1"/>
  <c r="BS195" i="9" s="1"/>
  <c r="BT195" i="9" s="1"/>
  <c r="BU195" i="9" s="1"/>
  <c r="BC40" i="9"/>
  <c r="BM163" i="9"/>
  <c r="BN163" i="9" s="1"/>
  <c r="AI163" i="9"/>
  <c r="AJ163" i="9" s="1"/>
  <c r="AK163" i="9" s="1"/>
  <c r="AL163" i="9" s="1"/>
  <c r="AM163" i="9" s="1"/>
  <c r="AN163" i="9" s="1"/>
  <c r="AO163" i="9" s="1"/>
  <c r="AP163" i="9" s="1"/>
  <c r="BB221" i="9"/>
  <c r="BA159" i="9"/>
  <c r="BF20" i="9"/>
  <c r="BG20" i="9" s="1"/>
  <c r="BH20" i="9" s="1"/>
  <c r="BI20" i="9" s="1"/>
  <c r="BJ20" i="9" s="1"/>
  <c r="BK20" i="9" s="1"/>
  <c r="BL20" i="9" s="1"/>
  <c r="BM20" i="9" s="1"/>
  <c r="BA165" i="9"/>
  <c r="BF79" i="9"/>
  <c r="BG79" i="9" s="1"/>
  <c r="BH79" i="9" s="1"/>
  <c r="BI79" i="9" s="1"/>
  <c r="BJ79" i="9" s="1"/>
  <c r="BK79" i="9" s="1"/>
  <c r="BL79" i="9" s="1"/>
  <c r="BM79" i="9" s="1"/>
  <c r="BN79" i="9" s="1"/>
  <c r="BO79" i="9" s="1"/>
  <c r="BP79" i="9" s="1"/>
  <c r="BQ79" i="9" s="1"/>
  <c r="BR79" i="9" s="1"/>
  <c r="BS79" i="9" s="1"/>
  <c r="BT79" i="9" s="1"/>
  <c r="BU79" i="9" s="1"/>
  <c r="BS229" i="9"/>
  <c r="BT229" i="9" s="1"/>
  <c r="BU229" i="9" s="1"/>
  <c r="AH20" i="9"/>
  <c r="AI20" i="9" s="1"/>
  <c r="AJ20" i="9" s="1"/>
  <c r="AK20" i="9" s="1"/>
  <c r="AL20" i="9" s="1"/>
  <c r="AM20" i="9" s="1"/>
  <c r="AN20" i="9" s="1"/>
  <c r="AO20" i="9" s="1"/>
  <c r="AP20" i="9" s="1"/>
  <c r="BC73" i="9"/>
  <c r="BD73" i="9" s="1"/>
  <c r="BE73" i="9" s="1"/>
  <c r="BF73" i="9" s="1"/>
  <c r="BG73" i="9" s="1"/>
  <c r="BH73" i="9" s="1"/>
  <c r="BI73" i="9" s="1"/>
  <c r="BJ73" i="9" s="1"/>
  <c r="BK73" i="9" s="1"/>
  <c r="BL73" i="9" s="1"/>
  <c r="BM73" i="9" s="1"/>
  <c r="BP193" i="9"/>
  <c r="BQ193" i="9" s="1"/>
  <c r="BR193" i="9" s="1"/>
  <c r="BS193" i="9" s="1"/>
  <c r="BT193" i="9" s="1"/>
  <c r="BU193" i="9" s="1"/>
  <c r="BA102" i="9"/>
  <c r="BB102" i="9" s="1"/>
  <c r="BC102" i="9" s="1"/>
  <c r="BD102" i="9" s="1"/>
  <c r="BE102" i="9" s="1"/>
  <c r="BF102" i="9" s="1"/>
  <c r="BG102" i="9" s="1"/>
  <c r="BH102" i="9" s="1"/>
  <c r="BI102" i="9" s="1"/>
  <c r="BJ102" i="9" s="1"/>
  <c r="BK102" i="9" s="1"/>
  <c r="BL102" i="9" s="1"/>
  <c r="BM102" i="9" s="1"/>
  <c r="BN102" i="9" s="1"/>
  <c r="BO102" i="9" s="1"/>
  <c r="BP102" i="9" s="1"/>
  <c r="BQ102" i="9" s="1"/>
  <c r="BC18" i="9"/>
  <c r="BD18" i="9" s="1"/>
  <c r="BE18" i="9" s="1"/>
  <c r="BC197" i="9"/>
  <c r="BD197" i="9" s="1"/>
  <c r="BE197" i="9" s="1"/>
  <c r="BF197" i="9" s="1"/>
  <c r="BG197" i="9" s="1"/>
  <c r="BH197" i="9" s="1"/>
  <c r="BI197" i="9" s="1"/>
  <c r="BJ197" i="9" s="1"/>
  <c r="BK197" i="9" s="1"/>
  <c r="BL197" i="9" s="1"/>
  <c r="BM197" i="9" s="1"/>
  <c r="BN197" i="9" s="1"/>
  <c r="BO197" i="9" s="1"/>
  <c r="BP197" i="9" s="1"/>
  <c r="BQ197" i="9" s="1"/>
  <c r="BR197" i="9" s="1"/>
  <c r="BS197" i="9" s="1"/>
  <c r="BT197" i="9" s="1"/>
  <c r="BU197" i="9" s="1"/>
  <c r="AL102" i="9"/>
  <c r="AM102" i="9" s="1"/>
  <c r="AN102" i="9" s="1"/>
  <c r="AO102" i="9" s="1"/>
  <c r="AP102" i="9" s="1"/>
  <c r="M193" i="56"/>
  <c r="BA15" i="9"/>
  <c r="AO17" i="6"/>
  <c r="AN18" i="6" s="1"/>
  <c r="N135" i="13" s="1"/>
  <c r="K272" i="56"/>
  <c r="K274" i="56" s="1"/>
  <c r="K275" i="56" s="1"/>
  <c r="K276" i="56" s="1"/>
  <c r="K277" i="56" s="1"/>
  <c r="K279" i="56" s="1"/>
  <c r="K280" i="56" s="1"/>
  <c r="BI77" i="9"/>
  <c r="BJ77" i="9" s="1"/>
  <c r="BK77" i="9" s="1"/>
  <c r="BL77" i="9" s="1"/>
  <c r="BM77" i="9" s="1"/>
  <c r="BN77" i="9" s="1"/>
  <c r="BO77" i="9" s="1"/>
  <c r="BP77" i="9" s="1"/>
  <c r="BQ77" i="9" s="1"/>
  <c r="BR77" i="9" s="1"/>
  <c r="BS77" i="9" s="1"/>
  <c r="BT77" i="9" s="1"/>
  <c r="BU77" i="9" s="1"/>
  <c r="V165" i="9"/>
  <c r="W165" i="9" s="1"/>
  <c r="X165" i="9" s="1"/>
  <c r="Y165" i="9" s="1"/>
  <c r="Z165" i="9" s="1"/>
  <c r="AA165" i="9" s="1"/>
  <c r="AB165" i="9" s="1"/>
  <c r="AC165" i="9" s="1"/>
  <c r="AD165" i="9" s="1"/>
  <c r="AE165" i="9" s="1"/>
  <c r="AF165" i="9" s="1"/>
  <c r="AG165" i="9" s="1"/>
  <c r="AH165" i="9" s="1"/>
  <c r="AI165" i="9" s="1"/>
  <c r="AJ165" i="9" s="1"/>
  <c r="AK165" i="9" s="1"/>
  <c r="AL165" i="9" s="1"/>
  <c r="AM165" i="9" s="1"/>
  <c r="AN165" i="9" s="1"/>
  <c r="AO165" i="9" s="1"/>
  <c r="AP165" i="9" s="1"/>
  <c r="U96" i="9"/>
  <c r="V96" i="9" s="1"/>
  <c r="BC44" i="9"/>
  <c r="BD44" i="9" s="1"/>
  <c r="K225" i="56"/>
  <c r="L220" i="56" s="1"/>
  <c r="L225" i="56" s="1"/>
  <c r="M220" i="56" s="1"/>
  <c r="BC19" i="9"/>
  <c r="BD19" i="9" s="1"/>
  <c r="BE19" i="9" s="1"/>
  <c r="AZ96" i="9"/>
  <c r="BB98" i="9"/>
  <c r="BQ164" i="9"/>
  <c r="BR164" i="9" s="1"/>
  <c r="BS164" i="9" s="1"/>
  <c r="BT164" i="9" s="1"/>
  <c r="BU164" i="9" s="1"/>
  <c r="K115" i="56"/>
  <c r="K116" i="56" s="1"/>
  <c r="K118" i="56" s="1"/>
  <c r="K119" i="56" s="1"/>
  <c r="K120" i="56" s="1"/>
  <c r="K121" i="56" s="1"/>
  <c r="K123" i="56" s="1"/>
  <c r="K124" i="56" s="1"/>
  <c r="L114" i="56"/>
  <c r="L108" i="56"/>
  <c r="M103" i="56" s="1"/>
  <c r="U192" i="9"/>
  <c r="BS132" i="9"/>
  <c r="BT132" i="9" s="1"/>
  <c r="BU132" i="9" s="1"/>
  <c r="BJ49" i="9"/>
  <c r="BK49" i="9" s="1"/>
  <c r="BL49" i="9" s="1"/>
  <c r="BM49" i="9" s="1"/>
  <c r="BN49" i="9" s="1"/>
  <c r="BO49" i="9" s="1"/>
  <c r="BP49" i="9" s="1"/>
  <c r="BQ49" i="9" s="1"/>
  <c r="BR49" i="9" s="1"/>
  <c r="BS49" i="9" s="1"/>
  <c r="BT49" i="9" s="1"/>
  <c r="BU49" i="9" s="1"/>
  <c r="BA39" i="9"/>
  <c r="AB194" i="9"/>
  <c r="AC194" i="9" s="1"/>
  <c r="AD194" i="9" s="1"/>
  <c r="AE194" i="9" s="1"/>
  <c r="AF194" i="9" s="1"/>
  <c r="AG194" i="9" s="1"/>
  <c r="AH194" i="9" s="1"/>
  <c r="AI194" i="9" s="1"/>
  <c r="AJ194" i="9" s="1"/>
  <c r="AK194" i="9" s="1"/>
  <c r="AL194" i="9" s="1"/>
  <c r="AM194" i="9" s="1"/>
  <c r="AN194" i="9" s="1"/>
  <c r="AO194" i="9" s="1"/>
  <c r="AP194" i="9" s="1"/>
  <c r="L97" i="56"/>
  <c r="L98" i="56" s="1"/>
  <c r="L100" i="56" s="1"/>
  <c r="L111" i="56" s="1"/>
  <c r="L94" i="56"/>
  <c r="BJ97" i="9"/>
  <c r="BK97" i="9" s="1"/>
  <c r="BL97" i="9" s="1"/>
  <c r="BM97" i="9" s="1"/>
  <c r="BN97" i="9" s="1"/>
  <c r="BO97" i="9" s="1"/>
  <c r="BP97" i="9" s="1"/>
  <c r="BQ97" i="9" s="1"/>
  <c r="BR97" i="9" s="1"/>
  <c r="BS97" i="9" s="1"/>
  <c r="BT97" i="9" s="1"/>
  <c r="BU97" i="9" s="1"/>
  <c r="M147" i="56"/>
  <c r="N142" i="56" s="1"/>
  <c r="BF107" i="9"/>
  <c r="BG107" i="9" s="1"/>
  <c r="BH107" i="9" s="1"/>
  <c r="BI107" i="9" s="1"/>
  <c r="BJ107" i="9" s="1"/>
  <c r="BK107" i="9" s="1"/>
  <c r="BL107" i="9" s="1"/>
  <c r="BM107" i="9" s="1"/>
  <c r="BN107" i="9" s="1"/>
  <c r="BO107" i="9" s="1"/>
  <c r="BP107" i="9" s="1"/>
  <c r="BQ107" i="9" s="1"/>
  <c r="BR107" i="9" s="1"/>
  <c r="BS107" i="9" s="1"/>
  <c r="BT107" i="9" s="1"/>
  <c r="BU107" i="9" s="1"/>
  <c r="BE194" i="9"/>
  <c r="BF194" i="9" s="1"/>
  <c r="BG194" i="9" s="1"/>
  <c r="S216" i="9"/>
  <c r="M104" i="56"/>
  <c r="M106" i="56" s="1"/>
  <c r="M114" i="56" s="1"/>
  <c r="N90" i="56"/>
  <c r="AY192" i="9"/>
  <c r="AZ192" i="9" s="1"/>
  <c r="Z18" i="9"/>
  <c r="AA18" i="9" s="1"/>
  <c r="AB18" i="9" s="1"/>
  <c r="AC18" i="9" s="1"/>
  <c r="AD18" i="9" s="1"/>
  <c r="AE18" i="9" s="1"/>
  <c r="AF18" i="9" s="1"/>
  <c r="AG18" i="9" s="1"/>
  <c r="AH18" i="9" s="1"/>
  <c r="AI18" i="9" s="1"/>
  <c r="AJ18" i="9" s="1"/>
  <c r="AK18" i="9" s="1"/>
  <c r="AL18" i="9" s="1"/>
  <c r="AM18" i="9" s="1"/>
  <c r="AN18" i="9" s="1"/>
  <c r="AO18" i="9" s="1"/>
  <c r="AP18" i="9" s="1"/>
  <c r="Y44" i="9"/>
  <c r="Z44" i="9" s="1"/>
  <c r="AA44" i="9" s="1"/>
  <c r="AB44" i="9" s="1"/>
  <c r="AC44" i="9" s="1"/>
  <c r="AD44" i="9" s="1"/>
  <c r="AE44" i="9" s="1"/>
  <c r="AF44" i="9" s="1"/>
  <c r="AG44" i="9" s="1"/>
  <c r="AH44" i="9" s="1"/>
  <c r="AI44" i="9" s="1"/>
  <c r="AJ44" i="9" s="1"/>
  <c r="AK44" i="9" s="1"/>
  <c r="AL44" i="9" s="1"/>
  <c r="AM44" i="9" s="1"/>
  <c r="AN44" i="9" s="1"/>
  <c r="AO44" i="9" s="1"/>
  <c r="AP44" i="9" s="1"/>
  <c r="M310" i="56"/>
  <c r="BA72" i="9"/>
  <c r="H17" i="6"/>
  <c r="M20" i="13" s="1"/>
  <c r="M21" i="13" s="1"/>
  <c r="M23" i="13" s="1"/>
  <c r="J233" i="56"/>
  <c r="J235" i="56" s="1"/>
  <c r="J236" i="56" s="1"/>
  <c r="J237" i="56" s="1"/>
  <c r="J238" i="56" s="1"/>
  <c r="J240" i="56" s="1"/>
  <c r="J241" i="56" s="1"/>
  <c r="BM227" i="9"/>
  <c r="BN227" i="9" s="1"/>
  <c r="BO227" i="9" s="1"/>
  <c r="BP227" i="9" s="1"/>
  <c r="BQ227" i="9" s="1"/>
  <c r="BR227" i="9" s="1"/>
  <c r="BS227" i="9" s="1"/>
  <c r="BT227" i="9" s="1"/>
  <c r="BU227" i="9" s="1"/>
  <c r="AC74" i="9"/>
  <c r="AD74" i="9" s="1"/>
  <c r="AE74" i="9" s="1"/>
  <c r="AF74" i="9" s="1"/>
  <c r="AG74" i="9" s="1"/>
  <c r="AH74" i="9" s="1"/>
  <c r="AI74" i="9" s="1"/>
  <c r="AJ74" i="9" s="1"/>
  <c r="AK74" i="9" s="1"/>
  <c r="AL74" i="9" s="1"/>
  <c r="AM74" i="9" s="1"/>
  <c r="AN74" i="9" s="1"/>
  <c r="AO74" i="9" s="1"/>
  <c r="AP74" i="9" s="1"/>
  <c r="Z19" i="9"/>
  <c r="AA19" i="9" s="1"/>
  <c r="AB19" i="9" s="1"/>
  <c r="AC19" i="9" s="1"/>
  <c r="AD19" i="9" s="1"/>
  <c r="AE19" i="9" s="1"/>
  <c r="AF19" i="9" s="1"/>
  <c r="AG19" i="9" s="1"/>
  <c r="AH19" i="9" s="1"/>
  <c r="AI19" i="9" s="1"/>
  <c r="AJ19" i="9" s="1"/>
  <c r="AK19" i="9" s="1"/>
  <c r="AL19" i="9" s="1"/>
  <c r="AM19" i="9" s="1"/>
  <c r="AN19" i="9" s="1"/>
  <c r="AO19" i="9" s="1"/>
  <c r="AP19" i="9" s="1"/>
  <c r="L128" i="56"/>
  <c r="K154" i="56"/>
  <c r="K155" i="56" s="1"/>
  <c r="K157" i="56" s="1"/>
  <c r="K158" i="56" s="1"/>
  <c r="K159" i="56" s="1"/>
  <c r="K160" i="56" s="1"/>
  <c r="K162" i="56" s="1"/>
  <c r="K163" i="56" s="1"/>
  <c r="J158" i="56"/>
  <c r="J159" i="56" s="1"/>
  <c r="J160" i="56" s="1"/>
  <c r="J162" i="56" s="1"/>
  <c r="J163" i="56" s="1"/>
  <c r="X40" i="9"/>
  <c r="Y40" i="9" s="1"/>
  <c r="Z40" i="9" s="1"/>
  <c r="AA40" i="9" s="1"/>
  <c r="AB40" i="9" s="1"/>
  <c r="AC40" i="9" s="1"/>
  <c r="AD40" i="9" s="1"/>
  <c r="AE40" i="9" s="1"/>
  <c r="AF40" i="9" s="1"/>
  <c r="AG40" i="9" s="1"/>
  <c r="AH40" i="9" s="1"/>
  <c r="AI40" i="9" s="1"/>
  <c r="AJ40" i="9" s="1"/>
  <c r="AK40" i="9" s="1"/>
  <c r="AL40" i="9" s="1"/>
  <c r="AM40" i="9" s="1"/>
  <c r="AN40" i="9" s="1"/>
  <c r="AO40" i="9" s="1"/>
  <c r="AP40" i="9" s="1"/>
  <c r="J77" i="56"/>
  <c r="J79" i="56" s="1"/>
  <c r="J80" i="56" s="1"/>
  <c r="M186" i="56"/>
  <c r="N181" i="56" s="1"/>
  <c r="BB129" i="9"/>
  <c r="AC75" i="9"/>
  <c r="AD75" i="9" s="1"/>
  <c r="AE75" i="9" s="1"/>
  <c r="AF75" i="9" s="1"/>
  <c r="AG75" i="9" s="1"/>
  <c r="AH75" i="9" s="1"/>
  <c r="AI75" i="9" s="1"/>
  <c r="AJ75" i="9" s="1"/>
  <c r="AK75" i="9" s="1"/>
  <c r="AL75" i="9" s="1"/>
  <c r="AM75" i="9" s="1"/>
  <c r="AN75" i="9" s="1"/>
  <c r="AO75" i="9" s="1"/>
  <c r="AP75" i="9" s="1"/>
  <c r="U228" i="9"/>
  <c r="V228" i="9" s="1"/>
  <c r="W228" i="9" s="1"/>
  <c r="X228" i="9" s="1"/>
  <c r="Y228" i="9" s="1"/>
  <c r="Z228" i="9" s="1"/>
  <c r="AA228" i="9" s="1"/>
  <c r="AB228" i="9" s="1"/>
  <c r="AC228" i="9" s="1"/>
  <c r="AD228" i="9" s="1"/>
  <c r="AE228" i="9" s="1"/>
  <c r="AF228" i="9" s="1"/>
  <c r="AG228" i="9" s="1"/>
  <c r="AH228" i="9" s="1"/>
  <c r="AI228" i="9" s="1"/>
  <c r="AJ228" i="9" s="1"/>
  <c r="AK228" i="9" s="1"/>
  <c r="AL228" i="9" s="1"/>
  <c r="AM228" i="9" s="1"/>
  <c r="AN228" i="9" s="1"/>
  <c r="AO228" i="9" s="1"/>
  <c r="AP228" i="9" s="1"/>
  <c r="M253" i="56"/>
  <c r="M254" i="56" s="1"/>
  <c r="M256" i="56" s="1"/>
  <c r="M250" i="56"/>
  <c r="N245" i="56" s="1"/>
  <c r="O246" i="56"/>
  <c r="O248" i="56" s="1"/>
  <c r="N260" i="56"/>
  <c r="M345" i="56"/>
  <c r="U91" i="9"/>
  <c r="V72" i="9"/>
  <c r="L267" i="56"/>
  <c r="L311" i="56"/>
  <c r="L313" i="56" s="1"/>
  <c r="M262" i="56"/>
  <c r="M270" i="56" s="1"/>
  <c r="BB74" i="9"/>
  <c r="BC74" i="9" s="1"/>
  <c r="BD74" i="9" s="1"/>
  <c r="BE74" i="9" s="1"/>
  <c r="BF74" i="9" s="1"/>
  <c r="BG74" i="9" s="1"/>
  <c r="BH74" i="9" s="1"/>
  <c r="AY48" i="9"/>
  <c r="AZ48" i="9" s="1"/>
  <c r="BA48" i="9" s="1"/>
  <c r="BB48" i="9" s="1"/>
  <c r="BC48" i="9" s="1"/>
  <c r="BD48" i="9" s="1"/>
  <c r="BE48" i="9" s="1"/>
  <c r="BF48" i="9" s="1"/>
  <c r="BG48" i="9" s="1"/>
  <c r="BH48" i="9" s="1"/>
  <c r="BI48" i="9" s="1"/>
  <c r="BJ48" i="9" s="1"/>
  <c r="BK48" i="9" s="1"/>
  <c r="BL48" i="9" s="1"/>
  <c r="BM48" i="9" s="1"/>
  <c r="BN48" i="9" s="1"/>
  <c r="BO48" i="9" s="1"/>
  <c r="BP48" i="9" s="1"/>
  <c r="BQ48" i="9" s="1"/>
  <c r="BR48" i="9" s="1"/>
  <c r="BS48" i="9" s="1"/>
  <c r="BT48" i="9" s="1"/>
  <c r="BU48" i="9" s="1"/>
  <c r="M349" i="56"/>
  <c r="T91" i="9"/>
  <c r="M53" i="56"/>
  <c r="L67" i="56"/>
  <c r="L75" i="56" s="1"/>
  <c r="N175" i="56"/>
  <c r="N176" i="56" s="1"/>
  <c r="N178" i="56" s="1"/>
  <c r="N172" i="56"/>
  <c r="O167" i="56" s="1"/>
  <c r="BD14" i="9"/>
  <c r="L271" i="56"/>
  <c r="BJ18" i="6"/>
  <c r="BK18" i="6" s="1"/>
  <c r="K55" i="56"/>
  <c r="L50" i="56" s="1"/>
  <c r="K58" i="56"/>
  <c r="K59" i="56" s="1"/>
  <c r="K61" i="56" s="1"/>
  <c r="U183" i="9"/>
  <c r="V159" i="9"/>
  <c r="N331" i="56"/>
  <c r="N332" i="56" s="1"/>
  <c r="N334" i="56" s="1"/>
  <c r="N328" i="56"/>
  <c r="O323" i="56" s="1"/>
  <c r="Y14" i="9"/>
  <c r="AA156" i="9"/>
  <c r="T216" i="9"/>
  <c r="U189" i="9"/>
  <c r="L214" i="56"/>
  <c r="L215" i="56" s="1"/>
  <c r="L217" i="56" s="1"/>
  <c r="L211" i="56"/>
  <c r="M206" i="56" s="1"/>
  <c r="AZ78" i="9"/>
  <c r="BA78" i="9" s="1"/>
  <c r="BB78" i="9" s="1"/>
  <c r="BC78" i="9" s="1"/>
  <c r="BD78" i="9" s="1"/>
  <c r="BE78" i="9" s="1"/>
  <c r="BF78" i="9" s="1"/>
  <c r="BG78" i="9" s="1"/>
  <c r="BH78" i="9" s="1"/>
  <c r="BI78" i="9" s="1"/>
  <c r="BJ78" i="9" s="1"/>
  <c r="BK78" i="9" s="1"/>
  <c r="BL78" i="9" s="1"/>
  <c r="BM78" i="9" s="1"/>
  <c r="BN78" i="9" s="1"/>
  <c r="BO78" i="9" s="1"/>
  <c r="BP78" i="9" s="1"/>
  <c r="BQ78" i="9" s="1"/>
  <c r="BR78" i="9" s="1"/>
  <c r="BS78" i="9" s="1"/>
  <c r="BT78" i="9" s="1"/>
  <c r="BU78" i="9" s="1"/>
  <c r="AZ189" i="9"/>
  <c r="M221" i="56"/>
  <c r="N207" i="56"/>
  <c r="N209" i="56" s="1"/>
  <c r="M209" i="56"/>
  <c r="N301" i="56"/>
  <c r="N309" i="56" s="1"/>
  <c r="K228" i="56"/>
  <c r="M306" i="56"/>
  <c r="P168" i="56"/>
  <c r="P170" i="56" s="1"/>
  <c r="O182" i="56"/>
  <c r="O184" i="56" s="1"/>
  <c r="O192" i="56" s="1"/>
  <c r="O338" i="56"/>
  <c r="P324" i="56"/>
  <c r="M189" i="56"/>
  <c r="O326" i="56"/>
  <c r="N145" i="56"/>
  <c r="N153" i="56" s="1"/>
  <c r="N184" i="56"/>
  <c r="N192" i="56" s="1"/>
  <c r="S66" i="9"/>
  <c r="L350" i="56"/>
  <c r="L352" i="56" s="1"/>
  <c r="V150" i="9"/>
  <c r="W129" i="9"/>
  <c r="L264" i="56"/>
  <c r="M259" i="56" s="1"/>
  <c r="AZ228" i="9"/>
  <c r="I236" i="56"/>
  <c r="I237" i="56" s="1"/>
  <c r="I238" i="56" s="1"/>
  <c r="I240" i="56" s="1"/>
  <c r="I241" i="56" s="1"/>
  <c r="AD17" i="6"/>
  <c r="AE17" i="6" s="1"/>
  <c r="AG17" i="6" s="1"/>
  <c r="BB100" i="9"/>
  <c r="BC100" i="9" s="1"/>
  <c r="BD100" i="9" s="1"/>
  <c r="BE100" i="9" s="1"/>
  <c r="BF100" i="9" s="1"/>
  <c r="BG100" i="9" s="1"/>
  <c r="BH100" i="9" s="1"/>
  <c r="BI100" i="9" s="1"/>
  <c r="BJ100" i="9" s="1"/>
  <c r="BK100" i="9" s="1"/>
  <c r="BL100" i="9" s="1"/>
  <c r="BM100" i="9" s="1"/>
  <c r="BN100" i="9" s="1"/>
  <c r="BO100" i="9" s="1"/>
  <c r="BP100" i="9" s="1"/>
  <c r="BQ100" i="9" s="1"/>
  <c r="BR100" i="9" s="1"/>
  <c r="BS100" i="9" s="1"/>
  <c r="BT100" i="9" s="1"/>
  <c r="BU100" i="9" s="1"/>
  <c r="N248" i="56"/>
  <c r="O170" i="56"/>
  <c r="P285" i="56"/>
  <c r="O299" i="56"/>
  <c r="O301" i="56" s="1"/>
  <c r="O309" i="56" s="1"/>
  <c r="K232" i="56"/>
  <c r="U66" i="9"/>
  <c r="V39" i="9"/>
  <c r="M65" i="56"/>
  <c r="M365" i="56"/>
  <c r="M366" i="56" s="1"/>
  <c r="N51" i="56"/>
  <c r="M77" i="13"/>
  <c r="M79" i="13" s="1"/>
  <c r="F17" i="6"/>
  <c r="G17" i="6" s="1"/>
  <c r="V15" i="9"/>
  <c r="U33" i="9"/>
  <c r="W98" i="9"/>
  <c r="X98" i="9" s="1"/>
  <c r="Y98" i="9" s="1"/>
  <c r="Z98" i="9" s="1"/>
  <c r="AA98" i="9" s="1"/>
  <c r="AB98" i="9" s="1"/>
  <c r="AC98" i="9" s="1"/>
  <c r="AD98" i="9" s="1"/>
  <c r="AE98" i="9" s="1"/>
  <c r="AF98" i="9" s="1"/>
  <c r="AG98" i="9" s="1"/>
  <c r="AH98" i="9" s="1"/>
  <c r="AI98" i="9" s="1"/>
  <c r="AJ98" i="9" s="1"/>
  <c r="AK98" i="9" s="1"/>
  <c r="AL98" i="9" s="1"/>
  <c r="AM98" i="9" s="1"/>
  <c r="AN98" i="9" s="1"/>
  <c r="AO98" i="9" s="1"/>
  <c r="AP98" i="9" s="1"/>
  <c r="AX34" i="9"/>
  <c r="AY24" i="9"/>
  <c r="AP48" i="9"/>
  <c r="N17" i="6"/>
  <c r="O17" i="6" s="1"/>
  <c r="Q17" i="6" s="1"/>
  <c r="W221" i="9"/>
  <c r="O143" i="56"/>
  <c r="O145" i="56" s="1"/>
  <c r="O153" i="56" s="1"/>
  <c r="P129" i="56"/>
  <c r="P131" i="56" s="1"/>
  <c r="O131" i="56"/>
  <c r="BE75" i="9"/>
  <c r="BF75" i="9" s="1"/>
  <c r="BG75" i="9" s="1"/>
  <c r="BH75" i="9" s="1"/>
  <c r="L194" i="56"/>
  <c r="L196" i="56" s="1"/>
  <c r="AT17" i="6"/>
  <c r="AU17" i="6" s="1"/>
  <c r="AW17" i="6" s="1"/>
  <c r="V17" i="6"/>
  <c r="W17" i="6" s="1"/>
  <c r="Y17" i="6" s="1"/>
  <c r="N292" i="56"/>
  <c r="N293" i="56" s="1"/>
  <c r="N295" i="56" s="1"/>
  <c r="N289" i="56"/>
  <c r="O284" i="56" s="1"/>
  <c r="T66" i="9"/>
  <c r="BP104" i="9" l="1"/>
  <c r="BQ104" i="9" s="1"/>
  <c r="BR104" i="9" s="1"/>
  <c r="BS104" i="9" s="1"/>
  <c r="BT104" i="9" s="1"/>
  <c r="BU104" i="9" s="1"/>
  <c r="BO200" i="9"/>
  <c r="BP200" i="9" s="1"/>
  <c r="BQ200" i="9" s="1"/>
  <c r="BR200" i="9" s="1"/>
  <c r="BS200" i="9" s="1"/>
  <c r="BT200" i="9" s="1"/>
  <c r="BU200" i="9" s="1"/>
  <c r="BM18" i="6"/>
  <c r="BL19" i="6" s="1"/>
  <c r="O223" i="13" s="1"/>
  <c r="BN73" i="9"/>
  <c r="BO73" i="9" s="1"/>
  <c r="BP73" i="9" s="1"/>
  <c r="BQ73" i="9" s="1"/>
  <c r="BR73" i="9" s="1"/>
  <c r="BS73" i="9" s="1"/>
  <c r="BT73" i="9" s="1"/>
  <c r="BU73" i="9" s="1"/>
  <c r="BG156" i="9"/>
  <c r="BD46" i="9"/>
  <c r="BE46" i="9" s="1"/>
  <c r="BF46" i="9" s="1"/>
  <c r="BG46" i="9" s="1"/>
  <c r="BH46" i="9" s="1"/>
  <c r="BI46" i="9" s="1"/>
  <c r="BJ46" i="9" s="1"/>
  <c r="BK46" i="9" s="1"/>
  <c r="BL46" i="9" s="1"/>
  <c r="BM46" i="9" s="1"/>
  <c r="BN46" i="9" s="1"/>
  <c r="BO46" i="9" s="1"/>
  <c r="BP46" i="9" s="1"/>
  <c r="BQ46" i="9" s="1"/>
  <c r="BR46" i="9" s="1"/>
  <c r="BS46" i="9" s="1"/>
  <c r="BT46" i="9" s="1"/>
  <c r="BU46" i="9" s="1"/>
  <c r="BE44" i="9"/>
  <c r="BF44" i="9" s="1"/>
  <c r="BG44" i="9" s="1"/>
  <c r="BH44" i="9" s="1"/>
  <c r="BI44" i="9" s="1"/>
  <c r="BJ44" i="9" s="1"/>
  <c r="BK44" i="9" s="1"/>
  <c r="BL44" i="9" s="1"/>
  <c r="BM44" i="9" s="1"/>
  <c r="BN44" i="9" s="1"/>
  <c r="BO44" i="9" s="1"/>
  <c r="BP44" i="9" s="1"/>
  <c r="BQ44" i="9" s="1"/>
  <c r="BR44" i="9" s="1"/>
  <c r="BS44" i="9" s="1"/>
  <c r="BT44" i="9" s="1"/>
  <c r="BU44" i="9" s="1"/>
  <c r="BO163" i="9"/>
  <c r="BP163" i="9" s="1"/>
  <c r="BQ163" i="9" s="1"/>
  <c r="BR163" i="9" s="1"/>
  <c r="BS163" i="9" s="1"/>
  <c r="BT163" i="9" s="1"/>
  <c r="BU163" i="9" s="1"/>
  <c r="M264" i="56"/>
  <c r="N259" i="56" s="1"/>
  <c r="AK18" i="6"/>
  <c r="AL18" i="6" s="1"/>
  <c r="AM18" i="6" s="1"/>
  <c r="AO18" i="6" s="1"/>
  <c r="BA192" i="9"/>
  <c r="BA228" i="9"/>
  <c r="BB228" i="9" s="1"/>
  <c r="BC228" i="9" s="1"/>
  <c r="BD228" i="9" s="1"/>
  <c r="BE228" i="9" s="1"/>
  <c r="BF228" i="9" s="1"/>
  <c r="BG228" i="9" s="1"/>
  <c r="BH228" i="9" s="1"/>
  <c r="BI228" i="9" s="1"/>
  <c r="BJ228" i="9" s="1"/>
  <c r="BK228" i="9" s="1"/>
  <c r="BL228" i="9" s="1"/>
  <c r="BM228" i="9" s="1"/>
  <c r="BN228" i="9" s="1"/>
  <c r="BO228" i="9" s="1"/>
  <c r="BP228" i="9" s="1"/>
  <c r="BQ228" i="9" s="1"/>
  <c r="BR228" i="9" s="1"/>
  <c r="BS228" i="9" s="1"/>
  <c r="BT228" i="9" s="1"/>
  <c r="BU228" i="9" s="1"/>
  <c r="BF18" i="9"/>
  <c r="BG18" i="9" s="1"/>
  <c r="BH18" i="9" s="1"/>
  <c r="BI18" i="9" s="1"/>
  <c r="BJ18" i="9" s="1"/>
  <c r="BK18" i="9" s="1"/>
  <c r="BL18" i="9" s="1"/>
  <c r="BM18" i="9" s="1"/>
  <c r="BN18" i="9" s="1"/>
  <c r="BO18" i="9" s="1"/>
  <c r="BP18" i="9" s="1"/>
  <c r="BQ18" i="9" s="1"/>
  <c r="BR18" i="9" s="1"/>
  <c r="BS18" i="9" s="1"/>
  <c r="BT18" i="9" s="1"/>
  <c r="BU18" i="9" s="1"/>
  <c r="BB72" i="9"/>
  <c r="BN20" i="9"/>
  <c r="BO20" i="9" s="1"/>
  <c r="BP20" i="9" s="1"/>
  <c r="BQ20" i="9" s="1"/>
  <c r="BR20" i="9" s="1"/>
  <c r="BS20" i="9" s="1"/>
  <c r="BT20" i="9" s="1"/>
  <c r="BU20" i="9" s="1"/>
  <c r="BR102" i="9"/>
  <c r="BS102" i="9" s="1"/>
  <c r="BT102" i="9" s="1"/>
  <c r="BU102" i="9" s="1"/>
  <c r="BB39" i="9"/>
  <c r="M311" i="56"/>
  <c r="M313" i="56" s="1"/>
  <c r="M314" i="56" s="1"/>
  <c r="M315" i="56" s="1"/>
  <c r="M316" i="56" s="1"/>
  <c r="M318" i="56" s="1"/>
  <c r="M319" i="56" s="1"/>
  <c r="V242" i="9"/>
  <c r="I17" i="6"/>
  <c r="E18" i="6" s="1"/>
  <c r="BB165" i="9"/>
  <c r="BC165" i="9" s="1"/>
  <c r="BD165" i="9" s="1"/>
  <c r="BE165" i="9" s="1"/>
  <c r="BF165" i="9" s="1"/>
  <c r="BG165" i="9" s="1"/>
  <c r="BH165" i="9" s="1"/>
  <c r="BI165" i="9" s="1"/>
  <c r="BJ165" i="9" s="1"/>
  <c r="BK165" i="9" s="1"/>
  <c r="BL165" i="9" s="1"/>
  <c r="BM165" i="9" s="1"/>
  <c r="BN165" i="9" s="1"/>
  <c r="BO165" i="9" s="1"/>
  <c r="BP165" i="9" s="1"/>
  <c r="BQ165" i="9" s="1"/>
  <c r="BR165" i="9" s="1"/>
  <c r="BS165" i="9" s="1"/>
  <c r="BT165" i="9" s="1"/>
  <c r="BU165" i="9" s="1"/>
  <c r="M194" i="56"/>
  <c r="M196" i="56" s="1"/>
  <c r="M197" i="56" s="1"/>
  <c r="M198" i="56" s="1"/>
  <c r="M199" i="56" s="1"/>
  <c r="M201" i="56" s="1"/>
  <c r="M202" i="56" s="1"/>
  <c r="U242" i="9"/>
  <c r="BA96" i="9"/>
  <c r="BB96" i="9" s="1"/>
  <c r="BH194" i="9"/>
  <c r="BI194" i="9" s="1"/>
  <c r="BJ194" i="9" s="1"/>
  <c r="BK194" i="9" s="1"/>
  <c r="BL194" i="9" s="1"/>
  <c r="BM194" i="9" s="1"/>
  <c r="BN194" i="9" s="1"/>
  <c r="BO194" i="9" s="1"/>
  <c r="BP194" i="9" s="1"/>
  <c r="BQ194" i="9" s="1"/>
  <c r="BR194" i="9" s="1"/>
  <c r="BS194" i="9" s="1"/>
  <c r="BT194" i="9" s="1"/>
  <c r="BU194" i="9" s="1"/>
  <c r="U123" i="9"/>
  <c r="N147" i="56"/>
  <c r="O142" i="56" s="1"/>
  <c r="O147" i="56" s="1"/>
  <c r="P142" i="56" s="1"/>
  <c r="BF19" i="9"/>
  <c r="BG19" i="9" s="1"/>
  <c r="BH19" i="9" s="1"/>
  <c r="BI19" i="9" s="1"/>
  <c r="BJ19" i="9" s="1"/>
  <c r="BK19" i="9" s="1"/>
  <c r="BL19" i="9" s="1"/>
  <c r="BM19" i="9" s="1"/>
  <c r="BN19" i="9" s="1"/>
  <c r="BO19" i="9" s="1"/>
  <c r="BP19" i="9" s="1"/>
  <c r="BQ19" i="9" s="1"/>
  <c r="BR19" i="9" s="1"/>
  <c r="BS19" i="9" s="1"/>
  <c r="BT19" i="9" s="1"/>
  <c r="BU19" i="9" s="1"/>
  <c r="BI75" i="9"/>
  <c r="BJ75" i="9" s="1"/>
  <c r="BK75" i="9" s="1"/>
  <c r="BL75" i="9" s="1"/>
  <c r="BM75" i="9" s="1"/>
  <c r="BN75" i="9" s="1"/>
  <c r="BO75" i="9" s="1"/>
  <c r="BP75" i="9" s="1"/>
  <c r="BQ75" i="9" s="1"/>
  <c r="BR75" i="9" s="1"/>
  <c r="BS75" i="9" s="1"/>
  <c r="BT75" i="9" s="1"/>
  <c r="BU75" i="9" s="1"/>
  <c r="BE14" i="9"/>
  <c r="BI74" i="9"/>
  <c r="BJ74" i="9" s="1"/>
  <c r="BK74" i="9" s="1"/>
  <c r="BL74" i="9" s="1"/>
  <c r="BM74" i="9" s="1"/>
  <c r="BN74" i="9" s="1"/>
  <c r="BO74" i="9" s="1"/>
  <c r="BP74" i="9" s="1"/>
  <c r="BQ74" i="9" s="1"/>
  <c r="BR74" i="9" s="1"/>
  <c r="BS74" i="9" s="1"/>
  <c r="BT74" i="9" s="1"/>
  <c r="BU74" i="9" s="1"/>
  <c r="O90" i="56"/>
  <c r="N104" i="56"/>
  <c r="N106" i="56" s="1"/>
  <c r="N114" i="56" s="1"/>
  <c r="N92" i="56"/>
  <c r="M89" i="56"/>
  <c r="L115" i="56"/>
  <c r="L116" i="56" s="1"/>
  <c r="L118" i="56" s="1"/>
  <c r="L119" i="56" s="1"/>
  <c r="L120" i="56" s="1"/>
  <c r="L121" i="56" s="1"/>
  <c r="L123" i="56" s="1"/>
  <c r="L124" i="56" s="1"/>
  <c r="V192" i="9"/>
  <c r="J81" i="56"/>
  <c r="J82" i="56" s="1"/>
  <c r="J84" i="56" s="1"/>
  <c r="J85" i="56" s="1"/>
  <c r="M108" i="56"/>
  <c r="N103" i="56" s="1"/>
  <c r="K233" i="56"/>
  <c r="K235" i="56" s="1"/>
  <c r="L136" i="56"/>
  <c r="L137" i="56" s="1"/>
  <c r="L139" i="56" s="1"/>
  <c r="L150" i="56" s="1"/>
  <c r="L133" i="56"/>
  <c r="M128" i="56" s="1"/>
  <c r="L232" i="56"/>
  <c r="N349" i="56"/>
  <c r="L371" i="56"/>
  <c r="M350" i="56"/>
  <c r="M352" i="56" s="1"/>
  <c r="M353" i="56" s="1"/>
  <c r="M354" i="56" s="1"/>
  <c r="M355" i="56" s="1"/>
  <c r="M357" i="56" s="1"/>
  <c r="M358" i="56" s="1"/>
  <c r="BD40" i="9"/>
  <c r="BE40" i="9" s="1"/>
  <c r="BF40" i="9" s="1"/>
  <c r="BG40" i="9" s="1"/>
  <c r="BH40" i="9" s="1"/>
  <c r="BI40" i="9" s="1"/>
  <c r="BJ40" i="9" s="1"/>
  <c r="BK40" i="9" s="1"/>
  <c r="BL40" i="9" s="1"/>
  <c r="BM40" i="9" s="1"/>
  <c r="BN40" i="9" s="1"/>
  <c r="BO40" i="9" s="1"/>
  <c r="BP40" i="9" s="1"/>
  <c r="BQ40" i="9" s="1"/>
  <c r="BR40" i="9" s="1"/>
  <c r="BS40" i="9" s="1"/>
  <c r="BT40" i="9" s="1"/>
  <c r="BU40" i="9" s="1"/>
  <c r="BA18" i="6"/>
  <c r="BD18" i="6"/>
  <c r="N193" i="13" s="1"/>
  <c r="AF18" i="6"/>
  <c r="N106" i="13" s="1"/>
  <c r="AC18" i="6"/>
  <c r="X18" i="6"/>
  <c r="N76" i="13" s="1"/>
  <c r="U18" i="6"/>
  <c r="L314" i="56"/>
  <c r="L315" i="56" s="1"/>
  <c r="L316" i="56" s="1"/>
  <c r="L318" i="56" s="1"/>
  <c r="L319" i="56" s="1"/>
  <c r="AS18" i="6"/>
  <c r="AV18" i="6"/>
  <c r="N164" i="13" s="1"/>
  <c r="P143" i="56"/>
  <c r="P145" i="56" s="1"/>
  <c r="P153" i="56" s="1"/>
  <c r="Q129" i="56"/>
  <c r="Q131" i="56" s="1"/>
  <c r="P18" i="6"/>
  <c r="N48" i="13" s="1"/>
  <c r="M18" i="6"/>
  <c r="M370" i="56"/>
  <c r="M67" i="56"/>
  <c r="M75" i="56" s="1"/>
  <c r="N262" i="56"/>
  <c r="N270" i="56" s="1"/>
  <c r="V66" i="9"/>
  <c r="W39" i="9"/>
  <c r="N53" i="56"/>
  <c r="AB156" i="9"/>
  <c r="O331" i="56"/>
  <c r="O332" i="56" s="1"/>
  <c r="O334" i="56" s="1"/>
  <c r="O328" i="56"/>
  <c r="P323" i="56" s="1"/>
  <c r="K72" i="56"/>
  <c r="V91" i="9"/>
  <c r="W72" i="9"/>
  <c r="P246" i="56"/>
  <c r="P248" i="56" s="1"/>
  <c r="O260" i="56"/>
  <c r="O262" i="56" s="1"/>
  <c r="O270" i="56" s="1"/>
  <c r="U216" i="9"/>
  <c r="V189" i="9"/>
  <c r="W159" i="9"/>
  <c r="V183" i="9"/>
  <c r="Q168" i="56"/>
  <c r="Q170" i="56" s="1"/>
  <c r="P182" i="56"/>
  <c r="BA189" i="9"/>
  <c r="L55" i="56"/>
  <c r="M50" i="56" s="1"/>
  <c r="L58" i="56"/>
  <c r="L59" i="56" s="1"/>
  <c r="L61" i="56" s="1"/>
  <c r="M223" i="56"/>
  <c r="M231" i="56" s="1"/>
  <c r="K76" i="56"/>
  <c r="L272" i="56"/>
  <c r="L274" i="56" s="1"/>
  <c r="N306" i="56"/>
  <c r="W15" i="9"/>
  <c r="V33" i="9"/>
  <c r="O340" i="56"/>
  <c r="O348" i="56" s="1"/>
  <c r="M214" i="56"/>
  <c r="M215" i="56" s="1"/>
  <c r="M217" i="56" s="1"/>
  <c r="M211" i="56"/>
  <c r="N206" i="56" s="1"/>
  <c r="N186" i="56"/>
  <c r="O181" i="56" s="1"/>
  <c r="O186" i="56" s="1"/>
  <c r="P181" i="56" s="1"/>
  <c r="N193" i="56"/>
  <c r="M267" i="56"/>
  <c r="AY34" i="9"/>
  <c r="AZ24" i="9"/>
  <c r="N345" i="56"/>
  <c r="L197" i="56"/>
  <c r="L198" i="56" s="1"/>
  <c r="L199" i="56" s="1"/>
  <c r="L201" i="56" s="1"/>
  <c r="L202" i="56" s="1"/>
  <c r="W242" i="9"/>
  <c r="X221" i="9"/>
  <c r="W150" i="9"/>
  <c r="X129" i="9"/>
  <c r="M367" i="56"/>
  <c r="N310" i="56"/>
  <c r="BC98" i="9"/>
  <c r="BD98" i="9" s="1"/>
  <c r="BE98" i="9" s="1"/>
  <c r="BF98" i="9" s="1"/>
  <c r="BG98" i="9" s="1"/>
  <c r="BH98" i="9" s="1"/>
  <c r="BI98" i="9" s="1"/>
  <c r="BJ98" i="9" s="1"/>
  <c r="BK98" i="9" s="1"/>
  <c r="BL98" i="9" s="1"/>
  <c r="BM98" i="9" s="1"/>
  <c r="BN98" i="9" s="1"/>
  <c r="BO98" i="9" s="1"/>
  <c r="BP98" i="9" s="1"/>
  <c r="BQ98" i="9" s="1"/>
  <c r="BR98" i="9" s="1"/>
  <c r="BS98" i="9" s="1"/>
  <c r="BT98" i="9" s="1"/>
  <c r="BU98" i="9" s="1"/>
  <c r="N303" i="56"/>
  <c r="O298" i="56" s="1"/>
  <c r="O303" i="56" s="1"/>
  <c r="P298" i="56" s="1"/>
  <c r="L353" i="56"/>
  <c r="L354" i="56" s="1"/>
  <c r="L355" i="56" s="1"/>
  <c r="L357" i="56" s="1"/>
  <c r="L358" i="56" s="1"/>
  <c r="BB159" i="9"/>
  <c r="L228" i="56"/>
  <c r="Z14" i="9"/>
  <c r="V123" i="9"/>
  <c r="W96" i="9"/>
  <c r="L69" i="56"/>
  <c r="M64" i="56" s="1"/>
  <c r="BC221" i="9"/>
  <c r="M271" i="56"/>
  <c r="BC129" i="9"/>
  <c r="P299" i="56"/>
  <c r="Q285" i="56"/>
  <c r="Q287" i="56" s="1"/>
  <c r="P287" i="56"/>
  <c r="N221" i="56"/>
  <c r="O207" i="56"/>
  <c r="O209" i="56" s="1"/>
  <c r="O175" i="56"/>
  <c r="O176" i="56" s="1"/>
  <c r="O178" i="56" s="1"/>
  <c r="O172" i="56"/>
  <c r="P167" i="56" s="1"/>
  <c r="O292" i="56"/>
  <c r="O293" i="56" s="1"/>
  <c r="O295" i="56" s="1"/>
  <c r="O289" i="56"/>
  <c r="P284" i="56" s="1"/>
  <c r="N189" i="56"/>
  <c r="N253" i="56"/>
  <c r="N254" i="56" s="1"/>
  <c r="N256" i="56" s="1"/>
  <c r="N250" i="56"/>
  <c r="O245" i="56" s="1"/>
  <c r="N65" i="56"/>
  <c r="N370" i="56" s="1"/>
  <c r="N365" i="56"/>
  <c r="N366" i="56" s="1"/>
  <c r="O51" i="56"/>
  <c r="P338" i="56"/>
  <c r="P340" i="56" s="1"/>
  <c r="P348" i="56" s="1"/>
  <c r="Q324" i="56"/>
  <c r="Q326" i="56" s="1"/>
  <c r="P326" i="56"/>
  <c r="BB15" i="9"/>
  <c r="BI19" i="6" l="1"/>
  <c r="BJ19" i="6" s="1"/>
  <c r="BK19" i="6" s="1"/>
  <c r="BM19" i="6" s="1"/>
  <c r="BH156" i="9"/>
  <c r="BC72" i="9"/>
  <c r="L154" i="56"/>
  <c r="L155" i="56" s="1"/>
  <c r="L157" i="56" s="1"/>
  <c r="H18" i="6"/>
  <c r="N20" i="13" s="1"/>
  <c r="N21" i="13" s="1"/>
  <c r="N23" i="13" s="1"/>
  <c r="K236" i="56"/>
  <c r="K237" i="56" s="1"/>
  <c r="K238" i="56" s="1"/>
  <c r="K240" i="56" s="1"/>
  <c r="K241" i="56" s="1"/>
  <c r="N67" i="56"/>
  <c r="N75" i="56" s="1"/>
  <c r="M232" i="56"/>
  <c r="N108" i="56"/>
  <c r="O103" i="56" s="1"/>
  <c r="O92" i="56"/>
  <c r="O104" i="56"/>
  <c r="P90" i="56"/>
  <c r="N194" i="56"/>
  <c r="N196" i="56" s="1"/>
  <c r="N197" i="56" s="1"/>
  <c r="N350" i="56"/>
  <c r="N352" i="56" s="1"/>
  <c r="N353" i="56" s="1"/>
  <c r="N354" i="56" s="1"/>
  <c r="N355" i="56" s="1"/>
  <c r="N357" i="56" s="1"/>
  <c r="N358" i="56" s="1"/>
  <c r="O349" i="56"/>
  <c r="L233" i="56"/>
  <c r="L235" i="56" s="1"/>
  <c r="L236" i="56" s="1"/>
  <c r="L237" i="56" s="1"/>
  <c r="L238" i="56" s="1"/>
  <c r="L240" i="56" s="1"/>
  <c r="L241" i="56" s="1"/>
  <c r="N367" i="56"/>
  <c r="M97" i="56"/>
  <c r="M98" i="56" s="1"/>
  <c r="M100" i="56" s="1"/>
  <c r="M111" i="56" s="1"/>
  <c r="M94" i="56"/>
  <c r="N89" i="56" s="1"/>
  <c r="BB192" i="9"/>
  <c r="W192" i="9"/>
  <c r="X192" i="9" s="1"/>
  <c r="Y192" i="9" s="1"/>
  <c r="Z192" i="9" s="1"/>
  <c r="AA192" i="9" s="1"/>
  <c r="AB192" i="9" s="1"/>
  <c r="AC192" i="9" s="1"/>
  <c r="AD192" i="9" s="1"/>
  <c r="BC15" i="9"/>
  <c r="O193" i="56"/>
  <c r="K77" i="56"/>
  <c r="K79" i="56" s="1"/>
  <c r="K80" i="56" s="1"/>
  <c r="K81" i="56" s="1"/>
  <c r="K82" i="56" s="1"/>
  <c r="K84" i="56" s="1"/>
  <c r="K85" i="56" s="1"/>
  <c r="M136" i="56"/>
  <c r="M137" i="56" s="1"/>
  <c r="M139" i="56" s="1"/>
  <c r="M150" i="56" s="1"/>
  <c r="M133" i="56"/>
  <c r="N128" i="56" s="1"/>
  <c r="N271" i="56"/>
  <c r="O189" i="56"/>
  <c r="N311" i="56"/>
  <c r="N313" i="56" s="1"/>
  <c r="X159" i="9"/>
  <c r="W183" i="9"/>
  <c r="N18" i="6"/>
  <c r="O18" i="6" s="1"/>
  <c r="Q18" i="6" s="1"/>
  <c r="V216" i="9"/>
  <c r="W189" i="9"/>
  <c r="W66" i="9"/>
  <c r="X39" i="9"/>
  <c r="O306" i="56"/>
  <c r="BD129" i="9"/>
  <c r="AA14" i="9"/>
  <c r="AZ34" i="9"/>
  <c r="BA24" i="9"/>
  <c r="L275" i="56"/>
  <c r="L276" i="56" s="1"/>
  <c r="L277" i="56" s="1"/>
  <c r="L279" i="56" s="1"/>
  <c r="L280" i="56" s="1"/>
  <c r="L76" i="56"/>
  <c r="BF14" i="9"/>
  <c r="V18" i="6"/>
  <c r="W18" i="6" s="1"/>
  <c r="Y18" i="6" s="1"/>
  <c r="BB18" i="6"/>
  <c r="BC18" i="6" s="1"/>
  <c r="BE18" i="6" s="1"/>
  <c r="AN19" i="6"/>
  <c r="O135" i="13" s="1"/>
  <c r="AK19" i="6"/>
  <c r="P301" i="56"/>
  <c r="P309" i="56" s="1"/>
  <c r="N264" i="56"/>
  <c r="O259" i="56" s="1"/>
  <c r="O264" i="56" s="1"/>
  <c r="P259" i="56" s="1"/>
  <c r="Q338" i="56"/>
  <c r="R324" i="56"/>
  <c r="R326" i="56" s="1"/>
  <c r="O310" i="56"/>
  <c r="O365" i="56"/>
  <c r="O366" i="56" s="1"/>
  <c r="O65" i="56"/>
  <c r="O370" i="56" s="1"/>
  <c r="P51" i="56"/>
  <c r="P53" i="56" s="1"/>
  <c r="O53" i="56"/>
  <c r="O253" i="56"/>
  <c r="O254" i="56" s="1"/>
  <c r="O256" i="56" s="1"/>
  <c r="O250" i="56"/>
  <c r="P245" i="56" s="1"/>
  <c r="N223" i="56"/>
  <c r="N231" i="56" s="1"/>
  <c r="BC39" i="9"/>
  <c r="AT18" i="6"/>
  <c r="AU18" i="6" s="1"/>
  <c r="AW18" i="6" s="1"/>
  <c r="L72" i="56"/>
  <c r="F18" i="6"/>
  <c r="G18" i="6" s="1"/>
  <c r="BC159" i="9"/>
  <c r="BB189" i="9"/>
  <c r="N77" i="13"/>
  <c r="N79" i="13" s="1"/>
  <c r="N267" i="56"/>
  <c r="P175" i="56"/>
  <c r="P176" i="56" s="1"/>
  <c r="P178" i="56" s="1"/>
  <c r="P172" i="56"/>
  <c r="Q167" i="56" s="1"/>
  <c r="BD221" i="9"/>
  <c r="N211" i="56"/>
  <c r="O206" i="56" s="1"/>
  <c r="N214" i="56"/>
  <c r="N215" i="56" s="1"/>
  <c r="N217" i="56" s="1"/>
  <c r="X15" i="9"/>
  <c r="W33" i="9"/>
  <c r="O342" i="56"/>
  <c r="P337" i="56" s="1"/>
  <c r="P342" i="56" s="1"/>
  <c r="Q337" i="56" s="1"/>
  <c r="P260" i="56"/>
  <c r="P262" i="56" s="1"/>
  <c r="P270" i="56" s="1"/>
  <c r="Q246" i="56"/>
  <c r="Q248" i="56" s="1"/>
  <c r="P328" i="56"/>
  <c r="Q323" i="56" s="1"/>
  <c r="P331" i="56"/>
  <c r="P332" i="56" s="1"/>
  <c r="P334" i="56" s="1"/>
  <c r="P184" i="56"/>
  <c r="P192" i="56" s="1"/>
  <c r="P147" i="56"/>
  <c r="Q142" i="56" s="1"/>
  <c r="AD18" i="6"/>
  <c r="AE18" i="6" s="1"/>
  <c r="AG18" i="6" s="1"/>
  <c r="Q299" i="56"/>
  <c r="Q301" i="56" s="1"/>
  <c r="Q309" i="56" s="1"/>
  <c r="R285" i="56"/>
  <c r="R287" i="56" s="1"/>
  <c r="X150" i="9"/>
  <c r="Y129" i="9"/>
  <c r="W123" i="9"/>
  <c r="X96" i="9"/>
  <c r="AC156" i="9"/>
  <c r="P292" i="56"/>
  <c r="P293" i="56" s="1"/>
  <c r="P295" i="56" s="1"/>
  <c r="P289" i="56"/>
  <c r="Q284" i="56" s="1"/>
  <c r="O221" i="56"/>
  <c r="O223" i="56" s="1"/>
  <c r="O231" i="56" s="1"/>
  <c r="P207" i="56"/>
  <c r="X242" i="9"/>
  <c r="Y221" i="9"/>
  <c r="M55" i="56"/>
  <c r="N50" i="56" s="1"/>
  <c r="M58" i="56"/>
  <c r="M59" i="56" s="1"/>
  <c r="M61" i="56" s="1"/>
  <c r="BC96" i="9"/>
  <c r="Q143" i="56"/>
  <c r="Q145" i="56" s="1"/>
  <c r="Q153" i="56" s="1"/>
  <c r="R129" i="56"/>
  <c r="R131" i="56" s="1"/>
  <c r="M69" i="56"/>
  <c r="N64" i="56" s="1"/>
  <c r="M225" i="56"/>
  <c r="N220" i="56" s="1"/>
  <c r="M272" i="56"/>
  <c r="M274" i="56" s="1"/>
  <c r="M228" i="56"/>
  <c r="R168" i="56"/>
  <c r="R170" i="56" s="1"/>
  <c r="Q182" i="56"/>
  <c r="Q184" i="56" s="1"/>
  <c r="Q192" i="56" s="1"/>
  <c r="W91" i="9"/>
  <c r="X72" i="9"/>
  <c r="O345" i="56"/>
  <c r="M371" i="56"/>
  <c r="I18" i="6" l="1"/>
  <c r="H19" i="6" s="1"/>
  <c r="O20" i="13" s="1"/>
  <c r="M233" i="56"/>
  <c r="M235" i="56" s="1"/>
  <c r="M236" i="56" s="1"/>
  <c r="M237" i="56" s="1"/>
  <c r="M238" i="56" s="1"/>
  <c r="M240" i="56" s="1"/>
  <c r="M241" i="56" s="1"/>
  <c r="L77" i="56"/>
  <c r="L79" i="56" s="1"/>
  <c r="L80" i="56" s="1"/>
  <c r="L81" i="56" s="1"/>
  <c r="L82" i="56" s="1"/>
  <c r="L84" i="56" s="1"/>
  <c r="L85" i="56" s="1"/>
  <c r="N371" i="56"/>
  <c r="O350" i="56"/>
  <c r="O352" i="56" s="1"/>
  <c r="O353" i="56" s="1"/>
  <c r="O354" i="56" s="1"/>
  <c r="O355" i="56" s="1"/>
  <c r="O357" i="56" s="1"/>
  <c r="O358" i="56" s="1"/>
  <c r="O194" i="56"/>
  <c r="O196" i="56" s="1"/>
  <c r="O197" i="56" s="1"/>
  <c r="O198" i="56" s="1"/>
  <c r="O199" i="56" s="1"/>
  <c r="O201" i="56" s="1"/>
  <c r="O202" i="56" s="1"/>
  <c r="N69" i="56"/>
  <c r="O64" i="56" s="1"/>
  <c r="P303" i="56"/>
  <c r="Q298" i="56" s="1"/>
  <c r="Q303" i="56" s="1"/>
  <c r="R298" i="56" s="1"/>
  <c r="BD159" i="9"/>
  <c r="M154" i="56"/>
  <c r="M155" i="56" s="1"/>
  <c r="M157" i="56" s="1"/>
  <c r="N198" i="56"/>
  <c r="N199" i="56" s="1"/>
  <c r="N201" i="56" s="1"/>
  <c r="N202" i="56" s="1"/>
  <c r="M115" i="56"/>
  <c r="M116" i="56" s="1"/>
  <c r="M118" i="56" s="1"/>
  <c r="M119" i="56" s="1"/>
  <c r="M120" i="56" s="1"/>
  <c r="M121" i="56" s="1"/>
  <c r="M123" i="56" s="1"/>
  <c r="M124" i="56" s="1"/>
  <c r="BC192" i="9"/>
  <c r="BD192" i="9" s="1"/>
  <c r="BE192" i="9" s="1"/>
  <c r="BF192" i="9" s="1"/>
  <c r="BG192" i="9" s="1"/>
  <c r="BH192" i="9" s="1"/>
  <c r="BI192" i="9" s="1"/>
  <c r="BJ192" i="9" s="1"/>
  <c r="BD15" i="9"/>
  <c r="N97" i="56"/>
  <c r="N98" i="56" s="1"/>
  <c r="N100" i="56" s="1"/>
  <c r="N111" i="56" s="1"/>
  <c r="N94" i="56"/>
  <c r="O89" i="56" s="1"/>
  <c r="Q90" i="56"/>
  <c r="P104" i="56"/>
  <c r="P106" i="56" s="1"/>
  <c r="P114" i="56" s="1"/>
  <c r="O106" i="56"/>
  <c r="O114" i="56" s="1"/>
  <c r="BD39" i="9"/>
  <c r="AE192" i="9"/>
  <c r="AF192" i="9" s="1"/>
  <c r="AG192" i="9" s="1"/>
  <c r="AH192" i="9" s="1"/>
  <c r="AI192" i="9" s="1"/>
  <c r="AJ192" i="9" s="1"/>
  <c r="AK192" i="9" s="1"/>
  <c r="AL192" i="9" s="1"/>
  <c r="AM192" i="9" s="1"/>
  <c r="AN192" i="9" s="1"/>
  <c r="AO192" i="9" s="1"/>
  <c r="AP192" i="9" s="1"/>
  <c r="P92" i="56"/>
  <c r="BE221" i="9"/>
  <c r="N133" i="56"/>
  <c r="O128" i="56" s="1"/>
  <c r="N136" i="56"/>
  <c r="N137" i="56" s="1"/>
  <c r="N139" i="56" s="1"/>
  <c r="N150" i="56" s="1"/>
  <c r="N225" i="56"/>
  <c r="O220" i="56" s="1"/>
  <c r="O225" i="56" s="1"/>
  <c r="P220" i="56" s="1"/>
  <c r="N272" i="56"/>
  <c r="N274" i="56" s="1"/>
  <c r="N275" i="56" s="1"/>
  <c r="N276" i="56" s="1"/>
  <c r="N277" i="56" s="1"/>
  <c r="N279" i="56" s="1"/>
  <c r="N280" i="56" s="1"/>
  <c r="O367" i="56"/>
  <c r="L158" i="56"/>
  <c r="L159" i="56" s="1"/>
  <c r="L160" i="56" s="1"/>
  <c r="L162" i="56" s="1"/>
  <c r="L163" i="56" s="1"/>
  <c r="P310" i="56"/>
  <c r="BG14" i="9"/>
  <c r="AF19" i="6"/>
  <c r="O106" i="13" s="1"/>
  <c r="AC19" i="6"/>
  <c r="BD96" i="9"/>
  <c r="M19" i="6"/>
  <c r="P19" i="6"/>
  <c r="O48" i="13" s="1"/>
  <c r="M72" i="56"/>
  <c r="Q292" i="56"/>
  <c r="Q293" i="56" s="1"/>
  <c r="Q295" i="56" s="1"/>
  <c r="Q289" i="56"/>
  <c r="R284" i="56" s="1"/>
  <c r="Q260" i="56"/>
  <c r="R246" i="56"/>
  <c r="R248" i="56" s="1"/>
  <c r="N228" i="56"/>
  <c r="Q175" i="56"/>
  <c r="Q176" i="56" s="1"/>
  <c r="Q178" i="56" s="1"/>
  <c r="Q172" i="56"/>
  <c r="R167" i="56" s="1"/>
  <c r="BA34" i="9"/>
  <c r="BB24" i="9"/>
  <c r="Q331" i="56"/>
  <c r="Q332" i="56" s="1"/>
  <c r="Q334" i="56" s="1"/>
  <c r="Q328" i="56"/>
  <c r="R323" i="56" s="1"/>
  <c r="W216" i="9"/>
  <c r="X189" i="9"/>
  <c r="P349" i="56"/>
  <c r="P306" i="56"/>
  <c r="P189" i="56"/>
  <c r="P250" i="56"/>
  <c r="Q245" i="56" s="1"/>
  <c r="P253" i="56"/>
  <c r="P254" i="56" s="1"/>
  <c r="P256" i="56" s="1"/>
  <c r="BD19" i="6"/>
  <c r="O193" i="13" s="1"/>
  <c r="BA19" i="6"/>
  <c r="M76" i="56"/>
  <c r="R299" i="56"/>
  <c r="R301" i="56" s="1"/>
  <c r="R309" i="56" s="1"/>
  <c r="S285" i="56"/>
  <c r="S287" i="56" s="1"/>
  <c r="Q147" i="56"/>
  <c r="R142" i="56" s="1"/>
  <c r="N232" i="56"/>
  <c r="P193" i="56"/>
  <c r="BC189" i="9"/>
  <c r="P186" i="56"/>
  <c r="Q181" i="56" s="1"/>
  <c r="Q186" i="56" s="1"/>
  <c r="R181" i="56" s="1"/>
  <c r="O267" i="56"/>
  <c r="P365" i="56"/>
  <c r="P366" i="56" s="1"/>
  <c r="P367" i="56" s="1"/>
  <c r="P65" i="56"/>
  <c r="P67" i="56" s="1"/>
  <c r="P75" i="56" s="1"/>
  <c r="Q51" i="56"/>
  <c r="AB14" i="9"/>
  <c r="O311" i="56"/>
  <c r="O313" i="56" s="1"/>
  <c r="X123" i="9"/>
  <c r="Y96" i="9"/>
  <c r="P221" i="56"/>
  <c r="P223" i="56" s="1"/>
  <c r="P231" i="56" s="1"/>
  <c r="Q207" i="56"/>
  <c r="Q209" i="56" s="1"/>
  <c r="P209" i="56"/>
  <c r="Y150" i="9"/>
  <c r="Z129" i="9"/>
  <c r="N58" i="56"/>
  <c r="N59" i="56" s="1"/>
  <c r="N61" i="56" s="1"/>
  <c r="N55" i="56"/>
  <c r="O50" i="56" s="1"/>
  <c r="O211" i="56"/>
  <c r="P206" i="56" s="1"/>
  <c r="O214" i="56"/>
  <c r="O215" i="56" s="1"/>
  <c r="O217" i="56" s="1"/>
  <c r="R338" i="56"/>
  <c r="R340" i="56" s="1"/>
  <c r="R348" i="56" s="1"/>
  <c r="S324" i="56"/>
  <c r="S326" i="56" s="1"/>
  <c r="X91" i="9"/>
  <c r="Y72" i="9"/>
  <c r="Y242" i="9"/>
  <c r="Z221" i="9"/>
  <c r="AD156" i="9"/>
  <c r="AV19" i="6"/>
  <c r="O164" i="13" s="1"/>
  <c r="AS19" i="6"/>
  <c r="O271" i="56"/>
  <c r="O67" i="56"/>
  <c r="O75" i="56" s="1"/>
  <c r="P264" i="56"/>
  <c r="Q259" i="56" s="1"/>
  <c r="X19" i="6"/>
  <c r="O76" i="13" s="1"/>
  <c r="U19" i="6"/>
  <c r="Q340" i="56"/>
  <c r="Q348" i="56" s="1"/>
  <c r="X66" i="9"/>
  <c r="Y39" i="9"/>
  <c r="Y159" i="9"/>
  <c r="X183" i="9"/>
  <c r="AL19" i="6"/>
  <c r="AM19" i="6" s="1"/>
  <c r="AO19" i="6" s="1"/>
  <c r="BL20" i="6"/>
  <c r="P223" i="13" s="1"/>
  <c r="BI20" i="6"/>
  <c r="R182" i="56"/>
  <c r="R184" i="56" s="1"/>
  <c r="R192" i="56" s="1"/>
  <c r="S168" i="56"/>
  <c r="S170" i="56" s="1"/>
  <c r="Y15" i="9"/>
  <c r="X33" i="9"/>
  <c r="M275" i="56"/>
  <c r="M276" i="56" s="1"/>
  <c r="M277" i="56" s="1"/>
  <c r="M279" i="56" s="1"/>
  <c r="M280" i="56" s="1"/>
  <c r="R143" i="56"/>
  <c r="R145" i="56" s="1"/>
  <c r="R153" i="56" s="1"/>
  <c r="S129" i="56"/>
  <c r="S131" i="56" s="1"/>
  <c r="BD72" i="9"/>
  <c r="P345" i="56"/>
  <c r="BE129" i="9"/>
  <c r="N314" i="56"/>
  <c r="N315" i="56" s="1"/>
  <c r="N316" i="56" s="1"/>
  <c r="N318" i="56" s="1"/>
  <c r="N319" i="56" s="1"/>
  <c r="BI156" i="9"/>
  <c r="E19" i="6" l="1"/>
  <c r="F19" i="6" s="1"/>
  <c r="G19" i="6" s="1"/>
  <c r="I19" i="6" s="1"/>
  <c r="BE159" i="9"/>
  <c r="BE39" i="9"/>
  <c r="N115" i="56"/>
  <c r="N116" i="56" s="1"/>
  <c r="N118" i="56" s="1"/>
  <c r="N119" i="56" s="1"/>
  <c r="N120" i="56" s="1"/>
  <c r="N121" i="56" s="1"/>
  <c r="N123" i="56" s="1"/>
  <c r="N124" i="56" s="1"/>
  <c r="BH14" i="9"/>
  <c r="O108" i="56"/>
  <c r="P103" i="56" s="1"/>
  <c r="P108" i="56" s="1"/>
  <c r="Q103" i="56" s="1"/>
  <c r="R90" i="56"/>
  <c r="R92" i="56" s="1"/>
  <c r="Q104" i="56"/>
  <c r="Q106" i="56" s="1"/>
  <c r="Q114" i="56" s="1"/>
  <c r="O94" i="56"/>
  <c r="P89" i="56" s="1"/>
  <c r="O97" i="56"/>
  <c r="O98" i="56" s="1"/>
  <c r="O100" i="56" s="1"/>
  <c r="O111" i="56" s="1"/>
  <c r="BJ156" i="9"/>
  <c r="N154" i="56"/>
  <c r="N155" i="56" s="1"/>
  <c r="N157" i="56" s="1"/>
  <c r="Q92" i="56"/>
  <c r="BK192" i="9"/>
  <c r="BL192" i="9" s="1"/>
  <c r="BM192" i="9" s="1"/>
  <c r="BN192" i="9" s="1"/>
  <c r="BO192" i="9" s="1"/>
  <c r="BP192" i="9" s="1"/>
  <c r="BQ192" i="9" s="1"/>
  <c r="BR192" i="9" s="1"/>
  <c r="BS192" i="9" s="1"/>
  <c r="BT192" i="9" s="1"/>
  <c r="BU192" i="9" s="1"/>
  <c r="R186" i="56"/>
  <c r="S181" i="56" s="1"/>
  <c r="BD189" i="9"/>
  <c r="M158" i="56"/>
  <c r="M159" i="56" s="1"/>
  <c r="M160" i="56" s="1"/>
  <c r="M162" i="56" s="1"/>
  <c r="M163" i="56" s="1"/>
  <c r="N76" i="56"/>
  <c r="P311" i="56"/>
  <c r="P313" i="56" s="1"/>
  <c r="P314" i="56" s="1"/>
  <c r="P315" i="56" s="1"/>
  <c r="P316" i="56" s="1"/>
  <c r="P318" i="56" s="1"/>
  <c r="P319" i="56" s="1"/>
  <c r="Q349" i="56"/>
  <c r="P271" i="56"/>
  <c r="N233" i="56"/>
  <c r="N235" i="56" s="1"/>
  <c r="N236" i="56" s="1"/>
  <c r="N237" i="56" s="1"/>
  <c r="N238" i="56" s="1"/>
  <c r="N240" i="56" s="1"/>
  <c r="N241" i="56" s="1"/>
  <c r="O136" i="56"/>
  <c r="O137" i="56" s="1"/>
  <c r="O139" i="56" s="1"/>
  <c r="O150" i="56" s="1"/>
  <c r="O133" i="56"/>
  <c r="P128" i="56" s="1"/>
  <c r="BE72" i="9"/>
  <c r="O371" i="56"/>
  <c r="AN20" i="6"/>
  <c r="P135" i="13" s="1"/>
  <c r="AK20" i="6"/>
  <c r="R303" i="56"/>
  <c r="S298" i="56" s="1"/>
  <c r="R175" i="56"/>
  <c r="R176" i="56" s="1"/>
  <c r="R178" i="56" s="1"/>
  <c r="R172" i="56"/>
  <c r="S167" i="56" s="1"/>
  <c r="Z242" i="9"/>
  <c r="AA221" i="9"/>
  <c r="S143" i="56"/>
  <c r="T129" i="56"/>
  <c r="T131" i="56" s="1"/>
  <c r="O232" i="56"/>
  <c r="Y123" i="9"/>
  <c r="Z96" i="9"/>
  <c r="P194" i="56"/>
  <c r="P196" i="56" s="1"/>
  <c r="P225" i="56"/>
  <c r="Q220" i="56" s="1"/>
  <c r="Q193" i="56"/>
  <c r="Q310" i="56"/>
  <c r="BE96" i="9"/>
  <c r="O77" i="13"/>
  <c r="O79" i="13" s="1"/>
  <c r="Y91" i="9"/>
  <c r="Z72" i="9"/>
  <c r="O58" i="56"/>
  <c r="O59" i="56" s="1"/>
  <c r="O61" i="56" s="1"/>
  <c r="O55" i="56"/>
  <c r="P50" i="56" s="1"/>
  <c r="Q65" i="56"/>
  <c r="Q370" i="56" s="1"/>
  <c r="R51" i="56"/>
  <c r="R53" i="56" s="1"/>
  <c r="Q365" i="56"/>
  <c r="Q366" i="56" s="1"/>
  <c r="Q53" i="56"/>
  <c r="BB19" i="6"/>
  <c r="BC19" i="6" s="1"/>
  <c r="BE19" i="6" s="1"/>
  <c r="X216" i="9"/>
  <c r="Y189" i="9"/>
  <c r="Z150" i="9"/>
  <c r="AA129" i="9"/>
  <c r="R292" i="56"/>
  <c r="R293" i="56" s="1"/>
  <c r="R295" i="56" s="1"/>
  <c r="R289" i="56"/>
  <c r="S284" i="56" s="1"/>
  <c r="BF221" i="9"/>
  <c r="Z15" i="9"/>
  <c r="Y33" i="9"/>
  <c r="BB34" i="9"/>
  <c r="BC24" i="9"/>
  <c r="O228" i="56"/>
  <c r="Q306" i="56"/>
  <c r="P350" i="56"/>
  <c r="P352" i="56" s="1"/>
  <c r="V19" i="6"/>
  <c r="W19" i="6" s="1"/>
  <c r="Y19" i="6" s="1"/>
  <c r="BF129" i="9"/>
  <c r="N72" i="56"/>
  <c r="R147" i="56"/>
  <c r="S142" i="56" s="1"/>
  <c r="M77" i="56"/>
  <c r="M79" i="56" s="1"/>
  <c r="S182" i="56"/>
  <c r="T168" i="56"/>
  <c r="T170" i="56" s="1"/>
  <c r="Z159" i="9"/>
  <c r="Y183" i="9"/>
  <c r="Q342" i="56"/>
  <c r="R337" i="56" s="1"/>
  <c r="R342" i="56" s="1"/>
  <c r="S337" i="56" s="1"/>
  <c r="T324" i="56"/>
  <c r="T326" i="56" s="1"/>
  <c r="S338" i="56"/>
  <c r="S340" i="56" s="1"/>
  <c r="S348" i="56" s="1"/>
  <c r="O314" i="56"/>
  <c r="O315" i="56" s="1"/>
  <c r="O316" i="56" s="1"/>
  <c r="O318" i="56" s="1"/>
  <c r="O319" i="56" s="1"/>
  <c r="O272" i="56"/>
  <c r="O274" i="56" s="1"/>
  <c r="S299" i="56"/>
  <c r="S301" i="56" s="1"/>
  <c r="S309" i="56" s="1"/>
  <c r="T285" i="56"/>
  <c r="T287" i="56" s="1"/>
  <c r="P267" i="56"/>
  <c r="R331" i="56"/>
  <c r="R332" i="56" s="1"/>
  <c r="R334" i="56" s="1"/>
  <c r="R328" i="56"/>
  <c r="S323" i="56" s="1"/>
  <c r="R260" i="56"/>
  <c r="R262" i="56" s="1"/>
  <c r="R270" i="56" s="1"/>
  <c r="S246" i="56"/>
  <c r="S248" i="56" s="1"/>
  <c r="BE15" i="9"/>
  <c r="BJ20" i="6"/>
  <c r="BK20" i="6" s="1"/>
  <c r="BM20" i="6" s="1"/>
  <c r="N19" i="6"/>
  <c r="O19" i="6" s="1"/>
  <c r="Q19" i="6" s="1"/>
  <c r="P214" i="56"/>
  <c r="P215" i="56" s="1"/>
  <c r="P217" i="56" s="1"/>
  <c r="P211" i="56"/>
  <c r="Q206" i="56" s="1"/>
  <c r="Q189" i="56"/>
  <c r="AT19" i="6"/>
  <c r="AU19" i="6" s="1"/>
  <c r="AW19" i="6" s="1"/>
  <c r="O21" i="13"/>
  <c r="O23" i="13" s="1"/>
  <c r="P370" i="56"/>
  <c r="P371" i="56" s="1"/>
  <c r="AD19" i="6"/>
  <c r="AE19" i="6" s="1"/>
  <c r="AG19" i="6" s="1"/>
  <c r="Y66" i="9"/>
  <c r="Z39" i="9"/>
  <c r="AE156" i="9"/>
  <c r="Q221" i="56"/>
  <c r="R207" i="56"/>
  <c r="R209" i="56" s="1"/>
  <c r="AC14" i="9"/>
  <c r="Q253" i="56"/>
  <c r="Q254" i="56" s="1"/>
  <c r="Q256" i="56" s="1"/>
  <c r="Q250" i="56"/>
  <c r="R245" i="56" s="1"/>
  <c r="O69" i="56"/>
  <c r="P64" i="56" s="1"/>
  <c r="P69" i="56" s="1"/>
  <c r="Q64" i="56" s="1"/>
  <c r="Q345" i="56"/>
  <c r="Q262" i="56"/>
  <c r="Q270" i="56" s="1"/>
  <c r="Q67" i="56" l="1"/>
  <c r="Q75" i="56" s="1"/>
  <c r="BF39" i="9"/>
  <c r="BI14" i="9"/>
  <c r="Q350" i="56"/>
  <c r="Q352" i="56" s="1"/>
  <c r="Q353" i="56" s="1"/>
  <c r="Q354" i="56" s="1"/>
  <c r="Q355" i="56" s="1"/>
  <c r="Q357" i="56" s="1"/>
  <c r="Q358" i="56" s="1"/>
  <c r="Q264" i="56"/>
  <c r="R259" i="56" s="1"/>
  <c r="R264" i="56" s="1"/>
  <c r="S259" i="56" s="1"/>
  <c r="BE189" i="9"/>
  <c r="P272" i="56"/>
  <c r="P274" i="56" s="1"/>
  <c r="P275" i="56" s="1"/>
  <c r="P276" i="56" s="1"/>
  <c r="P277" i="56" s="1"/>
  <c r="P279" i="56" s="1"/>
  <c r="P280" i="56" s="1"/>
  <c r="Q108" i="56"/>
  <c r="R103" i="56" s="1"/>
  <c r="O115" i="56"/>
  <c r="O116" i="56" s="1"/>
  <c r="O118" i="56" s="1"/>
  <c r="P97" i="56"/>
  <c r="P98" i="56" s="1"/>
  <c r="P100" i="56" s="1"/>
  <c r="P111" i="56" s="1"/>
  <c r="P94" i="56"/>
  <c r="Q89" i="56" s="1"/>
  <c r="R104" i="56"/>
  <c r="R106" i="56" s="1"/>
  <c r="R114" i="56" s="1"/>
  <c r="S90" i="56"/>
  <c r="O76" i="56"/>
  <c r="N77" i="56"/>
  <c r="N79" i="56" s="1"/>
  <c r="N80" i="56" s="1"/>
  <c r="N81" i="56" s="1"/>
  <c r="N82" i="56" s="1"/>
  <c r="N84" i="56" s="1"/>
  <c r="N85" i="56" s="1"/>
  <c r="Q194" i="56"/>
  <c r="Q196" i="56" s="1"/>
  <c r="Q197" i="56" s="1"/>
  <c r="Q198" i="56" s="1"/>
  <c r="Q199" i="56" s="1"/>
  <c r="Q201" i="56" s="1"/>
  <c r="Q202" i="56" s="1"/>
  <c r="BG221" i="9"/>
  <c r="R193" i="56"/>
  <c r="O154" i="56"/>
  <c r="O155" i="56" s="1"/>
  <c r="O157" i="56" s="1"/>
  <c r="N158" i="56"/>
  <c r="N159" i="56" s="1"/>
  <c r="N160" i="56" s="1"/>
  <c r="N162" i="56" s="1"/>
  <c r="N163" i="56" s="1"/>
  <c r="BF96" i="9"/>
  <c r="BG129" i="9"/>
  <c r="P136" i="56"/>
  <c r="P137" i="56" s="1"/>
  <c r="P139" i="56" s="1"/>
  <c r="P150" i="56" s="1"/>
  <c r="P133" i="56"/>
  <c r="Q128" i="56" s="1"/>
  <c r="P232" i="56"/>
  <c r="BL21" i="6"/>
  <c r="Q223" i="13" s="1"/>
  <c r="BI21" i="6"/>
  <c r="Q271" i="56"/>
  <c r="AS20" i="6"/>
  <c r="AV20" i="6"/>
  <c r="P164" i="13" s="1"/>
  <c r="BF15" i="9"/>
  <c r="Z91" i="9"/>
  <c r="AA72" i="9"/>
  <c r="S292" i="56"/>
  <c r="S293" i="56" s="1"/>
  <c r="S295" i="56" s="1"/>
  <c r="S289" i="56"/>
  <c r="T284" i="56" s="1"/>
  <c r="R65" i="56"/>
  <c r="R365" i="56"/>
  <c r="R366" i="56" s="1"/>
  <c r="R367" i="56" s="1"/>
  <c r="S51" i="56"/>
  <c r="S53" i="56" s="1"/>
  <c r="T143" i="56"/>
  <c r="T145" i="56" s="1"/>
  <c r="T153" i="56" s="1"/>
  <c r="U129" i="56"/>
  <c r="U131" i="56" s="1"/>
  <c r="S303" i="56"/>
  <c r="T298" i="56" s="1"/>
  <c r="Q223" i="56"/>
  <c r="Q231" i="56" s="1"/>
  <c r="T246" i="56"/>
  <c r="T248" i="56" s="1"/>
  <c r="S260" i="56"/>
  <c r="T299" i="56"/>
  <c r="T301" i="56" s="1"/>
  <c r="T309" i="56" s="1"/>
  <c r="U285" i="56"/>
  <c r="U287" i="56" s="1"/>
  <c r="S342" i="56"/>
  <c r="T337" i="56" s="1"/>
  <c r="R306" i="56"/>
  <c r="Y216" i="9"/>
  <c r="Z189" i="9"/>
  <c r="AA15" i="9"/>
  <c r="Z33" i="9"/>
  <c r="R189" i="56"/>
  <c r="Q267" i="56"/>
  <c r="BC34" i="9"/>
  <c r="BD24" i="9"/>
  <c r="S328" i="56"/>
  <c r="T323" i="56" s="1"/>
  <c r="S331" i="56"/>
  <c r="S332" i="56" s="1"/>
  <c r="S334" i="56" s="1"/>
  <c r="O275" i="56"/>
  <c r="O276" i="56" s="1"/>
  <c r="O277" i="56" s="1"/>
  <c r="O279" i="56" s="1"/>
  <c r="O280" i="56" s="1"/>
  <c r="AA159" i="9"/>
  <c r="Z183" i="9"/>
  <c r="BD20" i="6"/>
  <c r="P193" i="13" s="1"/>
  <c r="BA20" i="6"/>
  <c r="P197" i="56"/>
  <c r="P198" i="56" s="1"/>
  <c r="P199" i="56" s="1"/>
  <c r="P201" i="56" s="1"/>
  <c r="P202" i="56" s="1"/>
  <c r="O72" i="56"/>
  <c r="P20" i="6"/>
  <c r="P48" i="13" s="1"/>
  <c r="M20" i="6"/>
  <c r="AF156" i="9"/>
  <c r="T338" i="56"/>
  <c r="U324" i="56"/>
  <c r="AD14" i="9"/>
  <c r="AF20" i="6"/>
  <c r="P106" i="13" s="1"/>
  <c r="AC20" i="6"/>
  <c r="O233" i="56"/>
  <c r="O235" i="56" s="1"/>
  <c r="AL20" i="6"/>
  <c r="AM20" i="6" s="1"/>
  <c r="AO20" i="6" s="1"/>
  <c r="Q214" i="56"/>
  <c r="Q215" i="56" s="1"/>
  <c r="Q217" i="56" s="1"/>
  <c r="Q211" i="56"/>
  <c r="R206" i="56" s="1"/>
  <c r="R345" i="56"/>
  <c r="P353" i="56"/>
  <c r="P354" i="56" s="1"/>
  <c r="P355" i="56" s="1"/>
  <c r="P357" i="56" s="1"/>
  <c r="P358" i="56" s="1"/>
  <c r="AA150" i="9"/>
  <c r="AB129" i="9"/>
  <c r="S145" i="56"/>
  <c r="S153" i="56" s="1"/>
  <c r="Z123" i="9"/>
  <c r="AA96" i="9"/>
  <c r="BK156" i="9"/>
  <c r="BF159" i="9"/>
  <c r="R250" i="56"/>
  <c r="S245" i="56" s="1"/>
  <c r="R253" i="56"/>
  <c r="R254" i="56" s="1"/>
  <c r="R256" i="56" s="1"/>
  <c r="S184" i="56"/>
  <c r="S192" i="56" s="1"/>
  <c r="X20" i="6"/>
  <c r="P76" i="13" s="1"/>
  <c r="P77" i="13" s="1"/>
  <c r="P79" i="13" s="1"/>
  <c r="U20" i="6"/>
  <c r="R310" i="56"/>
  <c r="H20" i="6"/>
  <c r="P20" i="13" s="1"/>
  <c r="E20" i="6"/>
  <c r="AA242" i="9"/>
  <c r="AB221" i="9"/>
  <c r="R221" i="56"/>
  <c r="R223" i="56" s="1"/>
  <c r="R231" i="56" s="1"/>
  <c r="S207" i="56"/>
  <c r="S209" i="56" s="1"/>
  <c r="Z66" i="9"/>
  <c r="AA39" i="9"/>
  <c r="P228" i="56"/>
  <c r="R349" i="56"/>
  <c r="T182" i="56"/>
  <c r="T184" i="56" s="1"/>
  <c r="T192" i="56" s="1"/>
  <c r="U168" i="56"/>
  <c r="U170" i="56" s="1"/>
  <c r="M80" i="56"/>
  <c r="M81" i="56" s="1"/>
  <c r="M82" i="56" s="1"/>
  <c r="M84" i="56" s="1"/>
  <c r="M85" i="56" s="1"/>
  <c r="Q311" i="56"/>
  <c r="Q313" i="56" s="1"/>
  <c r="Q367" i="56"/>
  <c r="P58" i="56"/>
  <c r="P59" i="56" s="1"/>
  <c r="P61" i="56" s="1"/>
  <c r="P55" i="56"/>
  <c r="Q50" i="56" s="1"/>
  <c r="BF72" i="9"/>
  <c r="S175" i="56"/>
  <c r="S176" i="56" s="1"/>
  <c r="S178" i="56" s="1"/>
  <c r="S172" i="56"/>
  <c r="T167" i="56" s="1"/>
  <c r="Q69" i="56" l="1"/>
  <c r="R64" i="56" s="1"/>
  <c r="Q371" i="56"/>
  <c r="BJ14" i="9"/>
  <c r="BF189" i="9"/>
  <c r="O77" i="56"/>
  <c r="O79" i="56" s="1"/>
  <c r="O80" i="56" s="1"/>
  <c r="O81" i="56" s="1"/>
  <c r="O82" i="56" s="1"/>
  <c r="O84" i="56" s="1"/>
  <c r="O85" i="56" s="1"/>
  <c r="P115" i="56"/>
  <c r="P116" i="56" s="1"/>
  <c r="P118" i="56" s="1"/>
  <c r="BG96" i="9"/>
  <c r="R194" i="56"/>
  <c r="R196" i="56" s="1"/>
  <c r="R197" i="56" s="1"/>
  <c r="R198" i="56" s="1"/>
  <c r="R199" i="56" s="1"/>
  <c r="R201" i="56" s="1"/>
  <c r="R202" i="56" s="1"/>
  <c r="BG72" i="9"/>
  <c r="BH129" i="9"/>
  <c r="O119" i="56"/>
  <c r="O120" i="56" s="1"/>
  <c r="O121" i="56" s="1"/>
  <c r="O123" i="56" s="1"/>
  <c r="O124" i="56" s="1"/>
  <c r="S92" i="56"/>
  <c r="T90" i="56"/>
  <c r="S104" i="56"/>
  <c r="S106" i="56" s="1"/>
  <c r="S114" i="56" s="1"/>
  <c r="P233" i="56"/>
  <c r="P235" i="56" s="1"/>
  <c r="P236" i="56" s="1"/>
  <c r="P237" i="56" s="1"/>
  <c r="P238" i="56" s="1"/>
  <c r="P240" i="56" s="1"/>
  <c r="P241" i="56" s="1"/>
  <c r="Q94" i="56"/>
  <c r="R89" i="56" s="1"/>
  <c r="Q97" i="56"/>
  <c r="Q98" i="56" s="1"/>
  <c r="Q100" i="56" s="1"/>
  <c r="Q111" i="56" s="1"/>
  <c r="Q225" i="56"/>
  <c r="R220" i="56" s="1"/>
  <c r="R225" i="56" s="1"/>
  <c r="S220" i="56" s="1"/>
  <c r="S147" i="56"/>
  <c r="T142" i="56" s="1"/>
  <c r="T147" i="56" s="1"/>
  <c r="U142" i="56" s="1"/>
  <c r="S310" i="56"/>
  <c r="R108" i="56"/>
  <c r="S103" i="56" s="1"/>
  <c r="O158" i="56"/>
  <c r="O159" i="56" s="1"/>
  <c r="O160" i="56" s="1"/>
  <c r="O162" i="56" s="1"/>
  <c r="O163" i="56" s="1"/>
  <c r="Q136" i="56"/>
  <c r="Q137" i="56" s="1"/>
  <c r="Q139" i="56" s="1"/>
  <c r="Q150" i="56" s="1"/>
  <c r="Q133" i="56"/>
  <c r="R128" i="56" s="1"/>
  <c r="P154" i="56"/>
  <c r="P155" i="56" s="1"/>
  <c r="P157" i="56" s="1"/>
  <c r="S193" i="56"/>
  <c r="R311" i="56"/>
  <c r="R313" i="56" s="1"/>
  <c r="R314" i="56" s="1"/>
  <c r="R315" i="56" s="1"/>
  <c r="R316" i="56" s="1"/>
  <c r="R318" i="56" s="1"/>
  <c r="R319" i="56" s="1"/>
  <c r="AN21" i="6"/>
  <c r="Q135" i="13" s="1"/>
  <c r="AK21" i="6"/>
  <c r="V20" i="6"/>
  <c r="W20" i="6" s="1"/>
  <c r="Y20" i="6" s="1"/>
  <c r="R350" i="56"/>
  <c r="R352" i="56" s="1"/>
  <c r="Q314" i="56"/>
  <c r="Q315" i="56" s="1"/>
  <c r="Q316" i="56" s="1"/>
  <c r="Q318" i="56" s="1"/>
  <c r="Q319" i="56" s="1"/>
  <c r="R211" i="56"/>
  <c r="S206" i="56" s="1"/>
  <c r="R214" i="56"/>
  <c r="R215" i="56" s="1"/>
  <c r="R217" i="56" s="1"/>
  <c r="AG156" i="9"/>
  <c r="BD34" i="9"/>
  <c r="BE24" i="9"/>
  <c r="U246" i="56"/>
  <c r="U248" i="56" s="1"/>
  <c r="T260" i="56"/>
  <c r="T262" i="56" s="1"/>
  <c r="T270" i="56" s="1"/>
  <c r="S65" i="56"/>
  <c r="S67" i="56" s="1"/>
  <c r="S75" i="56" s="1"/>
  <c r="T51" i="56"/>
  <c r="T53" i="56" s="1"/>
  <c r="S365" i="56"/>
  <c r="S366" i="56" s="1"/>
  <c r="S367" i="56" s="1"/>
  <c r="Q58" i="56"/>
  <c r="Q59" i="56" s="1"/>
  <c r="Q61" i="56" s="1"/>
  <c r="Q55" i="56"/>
  <c r="R50" i="56" s="1"/>
  <c r="AA66" i="9"/>
  <c r="AB39" i="9"/>
  <c r="AB242" i="9"/>
  <c r="AC221" i="9"/>
  <c r="R267" i="56"/>
  <c r="AB150" i="9"/>
  <c r="AC129" i="9"/>
  <c r="Q228" i="56"/>
  <c r="AD20" i="6"/>
  <c r="AE20" i="6" s="1"/>
  <c r="AG20" i="6" s="1"/>
  <c r="S345" i="56"/>
  <c r="AA91" i="9"/>
  <c r="AB72" i="9"/>
  <c r="U338" i="56"/>
  <c r="U340" i="56" s="1"/>
  <c r="U348" i="56" s="1"/>
  <c r="V324" i="56"/>
  <c r="V326" i="56" s="1"/>
  <c r="S186" i="56"/>
  <c r="T181" i="56" s="1"/>
  <c r="T186" i="56" s="1"/>
  <c r="U181" i="56" s="1"/>
  <c r="Q232" i="56"/>
  <c r="N20" i="6"/>
  <c r="O20" i="6" s="1"/>
  <c r="Q20" i="6" s="1"/>
  <c r="S262" i="56"/>
  <c r="S270" i="56" s="1"/>
  <c r="R370" i="56"/>
  <c r="P76" i="56"/>
  <c r="F20" i="6"/>
  <c r="G20" i="6" s="1"/>
  <c r="I20" i="6" s="1"/>
  <c r="R271" i="56"/>
  <c r="AE14" i="9"/>
  <c r="BB20" i="6"/>
  <c r="BC20" i="6" s="1"/>
  <c r="BE20" i="6" s="1"/>
  <c r="S349" i="56"/>
  <c r="R67" i="56"/>
  <c r="R75" i="56" s="1"/>
  <c r="T303" i="56"/>
  <c r="U298" i="56" s="1"/>
  <c r="BG15" i="9"/>
  <c r="BG39" i="9"/>
  <c r="T331" i="56"/>
  <c r="T332" i="56" s="1"/>
  <c r="T334" i="56" s="1"/>
  <c r="T328" i="56"/>
  <c r="U323" i="56" s="1"/>
  <c r="V168" i="56"/>
  <c r="U182" i="56"/>
  <c r="U184" i="56" s="1"/>
  <c r="U192" i="56" s="1"/>
  <c r="S221" i="56"/>
  <c r="S223" i="56" s="1"/>
  <c r="S231" i="56" s="1"/>
  <c r="T207" i="56"/>
  <c r="T209" i="56" s="1"/>
  <c r="BH221" i="9"/>
  <c r="BG159" i="9"/>
  <c r="Q272" i="56"/>
  <c r="Q274" i="56" s="1"/>
  <c r="Z216" i="9"/>
  <c r="AA189" i="9"/>
  <c r="V285" i="56"/>
  <c r="V287" i="56" s="1"/>
  <c r="U299" i="56"/>
  <c r="U301" i="56" s="1"/>
  <c r="U309" i="56" s="1"/>
  <c r="T292" i="56"/>
  <c r="T293" i="56" s="1"/>
  <c r="T295" i="56" s="1"/>
  <c r="T289" i="56"/>
  <c r="U284" i="56" s="1"/>
  <c r="BJ21" i="6"/>
  <c r="BK21" i="6" s="1"/>
  <c r="BM21" i="6" s="1"/>
  <c r="S189" i="56"/>
  <c r="AA123" i="9"/>
  <c r="AB96" i="9"/>
  <c r="AB159" i="9"/>
  <c r="AA183" i="9"/>
  <c r="P72" i="56"/>
  <c r="S253" i="56"/>
  <c r="S254" i="56" s="1"/>
  <c r="S256" i="56" s="1"/>
  <c r="S250" i="56"/>
  <c r="T245" i="56" s="1"/>
  <c r="P21" i="13"/>
  <c r="P23" i="13" s="1"/>
  <c r="T172" i="56"/>
  <c r="U167" i="56" s="1"/>
  <c r="T175" i="56"/>
  <c r="T176" i="56" s="1"/>
  <c r="T178" i="56" s="1"/>
  <c r="T340" i="56"/>
  <c r="T348" i="56" s="1"/>
  <c r="BL156" i="9"/>
  <c r="O236" i="56"/>
  <c r="O237" i="56" s="1"/>
  <c r="O238" i="56" s="1"/>
  <c r="O240" i="56" s="1"/>
  <c r="O241" i="56" s="1"/>
  <c r="U326" i="56"/>
  <c r="AB15" i="9"/>
  <c r="AA33" i="9"/>
  <c r="V129" i="56"/>
  <c r="U143" i="56"/>
  <c r="U145" i="56" s="1"/>
  <c r="U153" i="56" s="1"/>
  <c r="S306" i="56"/>
  <c r="AT20" i="6"/>
  <c r="AU20" i="6" s="1"/>
  <c r="AW20" i="6" s="1"/>
  <c r="BK14" i="9" l="1"/>
  <c r="S311" i="56"/>
  <c r="S313" i="56" s="1"/>
  <c r="S314" i="56" s="1"/>
  <c r="S315" i="56" s="1"/>
  <c r="S316" i="56" s="1"/>
  <c r="S318" i="56" s="1"/>
  <c r="S319" i="56" s="1"/>
  <c r="BH96" i="9"/>
  <c r="BH72" i="9"/>
  <c r="BI129" i="9"/>
  <c r="S108" i="56"/>
  <c r="T103" i="56" s="1"/>
  <c r="S370" i="56"/>
  <c r="S371" i="56" s="1"/>
  <c r="S194" i="56"/>
  <c r="S196" i="56" s="1"/>
  <c r="S197" i="56" s="1"/>
  <c r="S198" i="56" s="1"/>
  <c r="S199" i="56" s="1"/>
  <c r="S201" i="56" s="1"/>
  <c r="S202" i="56" s="1"/>
  <c r="Q76" i="56"/>
  <c r="R97" i="56"/>
  <c r="R98" i="56" s="1"/>
  <c r="R100" i="56" s="1"/>
  <c r="R111" i="56" s="1"/>
  <c r="R94" i="56"/>
  <c r="S89" i="56" s="1"/>
  <c r="T92" i="56"/>
  <c r="U90" i="56"/>
  <c r="U92" i="56" s="1"/>
  <c r="T104" i="56"/>
  <c r="P119" i="56"/>
  <c r="P120" i="56" s="1"/>
  <c r="P121" i="56" s="1"/>
  <c r="P123" i="56" s="1"/>
  <c r="P124" i="56" s="1"/>
  <c r="P77" i="56"/>
  <c r="P79" i="56" s="1"/>
  <c r="P80" i="56" s="1"/>
  <c r="P81" i="56" s="1"/>
  <c r="P82" i="56" s="1"/>
  <c r="P84" i="56" s="1"/>
  <c r="P85" i="56" s="1"/>
  <c r="Q115" i="56"/>
  <c r="Q116" i="56" s="1"/>
  <c r="Q118" i="56" s="1"/>
  <c r="P158" i="56"/>
  <c r="P159" i="56" s="1"/>
  <c r="P160" i="56" s="1"/>
  <c r="P162" i="56" s="1"/>
  <c r="P163" i="56" s="1"/>
  <c r="T310" i="56"/>
  <c r="BH39" i="9"/>
  <c r="Q154" i="56"/>
  <c r="Q155" i="56" s="1"/>
  <c r="Q157" i="56" s="1"/>
  <c r="Q158" i="56" s="1"/>
  <c r="Q159" i="56" s="1"/>
  <c r="Q160" i="56" s="1"/>
  <c r="Q162" i="56" s="1"/>
  <c r="Q163" i="56" s="1"/>
  <c r="BM156" i="9"/>
  <c r="T193" i="56"/>
  <c r="BH15" i="9"/>
  <c r="R136" i="56"/>
  <c r="R137" i="56" s="1"/>
  <c r="R139" i="56" s="1"/>
  <c r="R150" i="56" s="1"/>
  <c r="R133" i="56"/>
  <c r="S128" i="56" s="1"/>
  <c r="BH159" i="9"/>
  <c r="U186" i="56"/>
  <c r="V181" i="56" s="1"/>
  <c r="BI221" i="9"/>
  <c r="R371" i="56"/>
  <c r="BD21" i="6"/>
  <c r="Q193" i="13" s="1"/>
  <c r="BA21" i="6"/>
  <c r="BL22" i="6"/>
  <c r="R223" i="13" s="1"/>
  <c r="BI22" i="6"/>
  <c r="M21" i="6"/>
  <c r="P21" i="6"/>
  <c r="Q48" i="13" s="1"/>
  <c r="V143" i="56"/>
  <c r="V145" i="56" s="1"/>
  <c r="V153" i="56" s="1"/>
  <c r="W129" i="56"/>
  <c r="W143" i="56" s="1"/>
  <c r="V182" i="56"/>
  <c r="V184" i="56" s="1"/>
  <c r="V192" i="56" s="1"/>
  <c r="W168" i="56"/>
  <c r="W182" i="56" s="1"/>
  <c r="R353" i="56"/>
  <c r="R354" i="56" s="1"/>
  <c r="R355" i="56" s="1"/>
  <c r="R357" i="56" s="1"/>
  <c r="R358" i="56" s="1"/>
  <c r="U172" i="56"/>
  <c r="V167" i="56" s="1"/>
  <c r="U175" i="56"/>
  <c r="U176" i="56" s="1"/>
  <c r="U178" i="56" s="1"/>
  <c r="W324" i="56"/>
  <c r="W338" i="56" s="1"/>
  <c r="V338" i="56"/>
  <c r="V340" i="56" s="1"/>
  <c r="V348" i="56" s="1"/>
  <c r="V299" i="56"/>
  <c r="V301" i="56" s="1"/>
  <c r="V309" i="56" s="1"/>
  <c r="W285" i="56"/>
  <c r="W299" i="56" s="1"/>
  <c r="R55" i="56"/>
  <c r="S50" i="56" s="1"/>
  <c r="R58" i="56"/>
  <c r="R59" i="56" s="1"/>
  <c r="R61" i="56" s="1"/>
  <c r="U260" i="56"/>
  <c r="V246" i="56"/>
  <c r="V248" i="56" s="1"/>
  <c r="AC15" i="9"/>
  <c r="AB33" i="9"/>
  <c r="AA216" i="9"/>
  <c r="AB189" i="9"/>
  <c r="T349" i="56"/>
  <c r="U303" i="56"/>
  <c r="V298" i="56" s="1"/>
  <c r="S350" i="56"/>
  <c r="S352" i="56" s="1"/>
  <c r="Q72" i="56"/>
  <c r="R228" i="56"/>
  <c r="AC150" i="9"/>
  <c r="AD129" i="9"/>
  <c r="R272" i="56"/>
  <c r="R274" i="56" s="1"/>
  <c r="T253" i="56"/>
  <c r="T254" i="56" s="1"/>
  <c r="T256" i="56" s="1"/>
  <c r="T250" i="56"/>
  <c r="U245" i="56" s="1"/>
  <c r="Q275" i="56"/>
  <c r="Q276" i="56" s="1"/>
  <c r="Q277" i="56" s="1"/>
  <c r="Q279" i="56" s="1"/>
  <c r="Q280" i="56" s="1"/>
  <c r="E21" i="6"/>
  <c r="H21" i="6"/>
  <c r="Q20" i="13" s="1"/>
  <c r="Q21" i="13" s="1"/>
  <c r="Q23" i="13" s="1"/>
  <c r="R69" i="56"/>
  <c r="S64" i="56" s="1"/>
  <c r="S69" i="56" s="1"/>
  <c r="T64" i="56" s="1"/>
  <c r="AF21" i="6"/>
  <c r="Q106" i="13" s="1"/>
  <c r="AC21" i="6"/>
  <c r="AC242" i="9"/>
  <c r="AD221" i="9"/>
  <c r="BE34" i="9"/>
  <c r="BF24" i="9"/>
  <c r="R232" i="56"/>
  <c r="AF14" i="9"/>
  <c r="AH156" i="9"/>
  <c r="U328" i="56"/>
  <c r="V323" i="56" s="1"/>
  <c r="U331" i="56"/>
  <c r="U332" i="56" s="1"/>
  <c r="U334" i="56" s="1"/>
  <c r="X21" i="6"/>
  <c r="Q76" i="13" s="1"/>
  <c r="Q77" i="13" s="1"/>
  <c r="Q79" i="13" s="1"/>
  <c r="U21" i="6"/>
  <c r="T342" i="56"/>
  <c r="U337" i="56" s="1"/>
  <c r="U342" i="56" s="1"/>
  <c r="V337" i="56" s="1"/>
  <c r="T221" i="56"/>
  <c r="U207" i="56"/>
  <c r="U209" i="56" s="1"/>
  <c r="V131" i="56"/>
  <c r="S267" i="56"/>
  <c r="AC159" i="9"/>
  <c r="AB183" i="9"/>
  <c r="U292" i="56"/>
  <c r="U293" i="56" s="1"/>
  <c r="U295" i="56" s="1"/>
  <c r="U289" i="56"/>
  <c r="V284" i="56" s="1"/>
  <c r="V170" i="56"/>
  <c r="U147" i="56"/>
  <c r="V142" i="56" s="1"/>
  <c r="AB91" i="9"/>
  <c r="AC72" i="9"/>
  <c r="T65" i="56"/>
  <c r="T365" i="56"/>
  <c r="T366" i="56" s="1"/>
  <c r="T367" i="56" s="1"/>
  <c r="U51" i="56"/>
  <c r="U53" i="56" s="1"/>
  <c r="AL21" i="6"/>
  <c r="AM21" i="6" s="1"/>
  <c r="AO21" i="6" s="1"/>
  <c r="AV21" i="6"/>
  <c r="Q164" i="13" s="1"/>
  <c r="AS21" i="6"/>
  <c r="S225" i="56"/>
  <c r="T220" i="56" s="1"/>
  <c r="T345" i="56"/>
  <c r="S211" i="56"/>
  <c r="T206" i="56" s="1"/>
  <c r="S214" i="56"/>
  <c r="S215" i="56" s="1"/>
  <c r="S217" i="56" s="1"/>
  <c r="T189" i="56"/>
  <c r="S271" i="56"/>
  <c r="AB123" i="9"/>
  <c r="AC96" i="9"/>
  <c r="T306" i="56"/>
  <c r="BG189" i="9"/>
  <c r="Q233" i="56"/>
  <c r="Q235" i="56" s="1"/>
  <c r="AB66" i="9"/>
  <c r="AC39" i="9"/>
  <c r="S264" i="56"/>
  <c r="T259" i="56" s="1"/>
  <c r="T264" i="56" s="1"/>
  <c r="U259" i="56" s="1"/>
  <c r="T350" i="56" l="1"/>
  <c r="T352" i="56" s="1"/>
  <c r="T353" i="56" s="1"/>
  <c r="T354" i="56" s="1"/>
  <c r="T355" i="56" s="1"/>
  <c r="T357" i="56" s="1"/>
  <c r="T358" i="56" s="1"/>
  <c r="T194" i="56"/>
  <c r="T196" i="56" s="1"/>
  <c r="T197" i="56" s="1"/>
  <c r="T198" i="56" s="1"/>
  <c r="T199" i="56" s="1"/>
  <c r="T201" i="56" s="1"/>
  <c r="T202" i="56" s="1"/>
  <c r="W170" i="56"/>
  <c r="R115" i="56"/>
  <c r="R116" i="56" s="1"/>
  <c r="R118" i="56" s="1"/>
  <c r="R119" i="56" s="1"/>
  <c r="R120" i="56" s="1"/>
  <c r="R121" i="56" s="1"/>
  <c r="R123" i="56" s="1"/>
  <c r="R124" i="56" s="1"/>
  <c r="Q77" i="56"/>
  <c r="Q79" i="56" s="1"/>
  <c r="Q80" i="56" s="1"/>
  <c r="Q81" i="56" s="1"/>
  <c r="Q82" i="56" s="1"/>
  <c r="Q84" i="56" s="1"/>
  <c r="Q85" i="56" s="1"/>
  <c r="BH189" i="9"/>
  <c r="T311" i="56"/>
  <c r="T313" i="56" s="1"/>
  <c r="T314" i="56" s="1"/>
  <c r="T315" i="56" s="1"/>
  <c r="T316" i="56" s="1"/>
  <c r="T318" i="56" s="1"/>
  <c r="T319" i="56" s="1"/>
  <c r="R154" i="56"/>
  <c r="R155" i="56" s="1"/>
  <c r="R157" i="56" s="1"/>
  <c r="R158" i="56" s="1"/>
  <c r="R159" i="56" s="1"/>
  <c r="R160" i="56" s="1"/>
  <c r="R162" i="56" s="1"/>
  <c r="R163" i="56" s="1"/>
  <c r="Q119" i="56"/>
  <c r="Q120" i="56" s="1"/>
  <c r="Q121" i="56" s="1"/>
  <c r="Q123" i="56" s="1"/>
  <c r="Q124" i="56" s="1"/>
  <c r="BJ221" i="9"/>
  <c r="BN156" i="9"/>
  <c r="V90" i="56"/>
  <c r="U104" i="56"/>
  <c r="U106" i="56" s="1"/>
  <c r="U114" i="56" s="1"/>
  <c r="S97" i="56"/>
  <c r="S98" i="56" s="1"/>
  <c r="S100" i="56" s="1"/>
  <c r="S111" i="56" s="1"/>
  <c r="S94" i="56"/>
  <c r="T89" i="56" s="1"/>
  <c r="W326" i="56"/>
  <c r="T106" i="56"/>
  <c r="BI159" i="9"/>
  <c r="W340" i="56"/>
  <c r="W348" i="56" s="1"/>
  <c r="W131" i="56"/>
  <c r="W287" i="56"/>
  <c r="V303" i="56"/>
  <c r="W298" i="56" s="1"/>
  <c r="S136" i="56"/>
  <c r="S137" i="56" s="1"/>
  <c r="S139" i="56" s="1"/>
  <c r="S150" i="56" s="1"/>
  <c r="S133" i="56"/>
  <c r="T128" i="56" s="1"/>
  <c r="AK22" i="6"/>
  <c r="AN22" i="6"/>
  <c r="R135" i="13" s="1"/>
  <c r="N21" i="6"/>
  <c r="O21" i="6" s="1"/>
  <c r="Q21" i="6" s="1"/>
  <c r="AC91" i="9"/>
  <c r="AD72" i="9"/>
  <c r="R275" i="56"/>
  <c r="R276" i="56" s="1"/>
  <c r="R277" i="56" s="1"/>
  <c r="R279" i="56" s="1"/>
  <c r="R280" i="56" s="1"/>
  <c r="S353" i="56"/>
  <c r="S354" i="56" s="1"/>
  <c r="S355" i="56" s="1"/>
  <c r="S357" i="56" s="1"/>
  <c r="S358" i="56" s="1"/>
  <c r="R76" i="56"/>
  <c r="BJ22" i="6"/>
  <c r="BK22" i="6" s="1"/>
  <c r="BM22" i="6" s="1"/>
  <c r="U345" i="56"/>
  <c r="T271" i="56"/>
  <c r="BI72" i="9"/>
  <c r="W184" i="56"/>
  <c r="W192" i="56" s="1"/>
  <c r="V21" i="6"/>
  <c r="W21" i="6" s="1"/>
  <c r="Y21" i="6" s="1"/>
  <c r="S55" i="56"/>
  <c r="T50" i="56" s="1"/>
  <c r="S58" i="56"/>
  <c r="S59" i="56" s="1"/>
  <c r="S61" i="56" s="1"/>
  <c r="U189" i="56"/>
  <c r="S272" i="56"/>
  <c r="S274" i="56" s="1"/>
  <c r="U349" i="56"/>
  <c r="BF34" i="9"/>
  <c r="BG24" i="9"/>
  <c r="F21" i="6"/>
  <c r="G21" i="6" s="1"/>
  <c r="I21" i="6" s="1"/>
  <c r="AD150" i="9"/>
  <c r="AE129" i="9"/>
  <c r="V175" i="56"/>
  <c r="V176" i="56" s="1"/>
  <c r="V178" i="56" s="1"/>
  <c r="V172" i="56"/>
  <c r="W167" i="56" s="1"/>
  <c r="AC66" i="9"/>
  <c r="AD39" i="9"/>
  <c r="BI39" i="9"/>
  <c r="R72" i="56"/>
  <c r="U306" i="56"/>
  <c r="AD21" i="6"/>
  <c r="AE21" i="6" s="1"/>
  <c r="AG21" i="6" s="1"/>
  <c r="AD159" i="9"/>
  <c r="AC183" i="9"/>
  <c r="U221" i="56"/>
  <c r="V207" i="56"/>
  <c r="S228" i="56"/>
  <c r="T370" i="56"/>
  <c r="T211" i="56"/>
  <c r="U206" i="56" s="1"/>
  <c r="T214" i="56"/>
  <c r="T215" i="56" s="1"/>
  <c r="T217" i="56" s="1"/>
  <c r="V186" i="56"/>
  <c r="W181" i="56" s="1"/>
  <c r="V342" i="56"/>
  <c r="W337" i="56" s="1"/>
  <c r="AI156" i="9"/>
  <c r="T223" i="56"/>
  <c r="T231" i="56" s="1"/>
  <c r="R233" i="56"/>
  <c r="R235" i="56" s="1"/>
  <c r="AB216" i="9"/>
  <c r="AC189" i="9"/>
  <c r="V260" i="56"/>
  <c r="W246" i="56"/>
  <c r="W260" i="56" s="1"/>
  <c r="W301" i="56"/>
  <c r="W309" i="56" s="1"/>
  <c r="U193" i="56"/>
  <c r="W145" i="56"/>
  <c r="W153" i="56" s="1"/>
  <c r="BJ129" i="9"/>
  <c r="V292" i="56"/>
  <c r="V293" i="56" s="1"/>
  <c r="V295" i="56" s="1"/>
  <c r="V289" i="56"/>
  <c r="W284" i="56" s="1"/>
  <c r="AG14" i="9"/>
  <c r="U253" i="56"/>
  <c r="U254" i="56" s="1"/>
  <c r="U256" i="56" s="1"/>
  <c r="U250" i="56"/>
  <c r="V245" i="56" s="1"/>
  <c r="AD15" i="9"/>
  <c r="AC33" i="9"/>
  <c r="BL14" i="9"/>
  <c r="Q236" i="56"/>
  <c r="Q237" i="56" s="1"/>
  <c r="Q238" i="56" s="1"/>
  <c r="Q240" i="56" s="1"/>
  <c r="Q241" i="56" s="1"/>
  <c r="U310" i="56"/>
  <c r="T267" i="56"/>
  <c r="AT21" i="6"/>
  <c r="AU21" i="6" s="1"/>
  <c r="AW21" i="6" s="1"/>
  <c r="V147" i="56"/>
  <c r="W142" i="56" s="1"/>
  <c r="V328" i="56"/>
  <c r="W323" i="56" s="1"/>
  <c r="V331" i="56"/>
  <c r="V332" i="56" s="1"/>
  <c r="V334" i="56" s="1"/>
  <c r="BB21" i="6"/>
  <c r="BC21" i="6" s="1"/>
  <c r="BE21" i="6" s="1"/>
  <c r="T67" i="56"/>
  <c r="T75" i="56" s="1"/>
  <c r="AC123" i="9"/>
  <c r="AD96" i="9"/>
  <c r="S232" i="56"/>
  <c r="U365" i="56"/>
  <c r="U366" i="56" s="1"/>
  <c r="U367" i="56" s="1"/>
  <c r="U65" i="56"/>
  <c r="U67" i="56" s="1"/>
  <c r="U75" i="56" s="1"/>
  <c r="V51" i="56"/>
  <c r="V53" i="56" s="1"/>
  <c r="AD242" i="9"/>
  <c r="AE221" i="9"/>
  <c r="BI15" i="9"/>
  <c r="U262" i="56"/>
  <c r="U270" i="56" s="1"/>
  <c r="BI96" i="9"/>
  <c r="W147" i="56" l="1"/>
  <c r="W342" i="56"/>
  <c r="S115" i="56"/>
  <c r="S116" i="56" s="1"/>
  <c r="S118" i="56" s="1"/>
  <c r="BJ15" i="9"/>
  <c r="BO156" i="9"/>
  <c r="V193" i="56"/>
  <c r="T97" i="56"/>
  <c r="T98" i="56" s="1"/>
  <c r="T100" i="56" s="1"/>
  <c r="T111" i="56" s="1"/>
  <c r="T94" i="56"/>
  <c r="U89" i="56" s="1"/>
  <c r="V92" i="56"/>
  <c r="W90" i="56"/>
  <c r="W104" i="56" s="1"/>
  <c r="V104" i="56"/>
  <c r="T114" i="56"/>
  <c r="T108" i="56"/>
  <c r="U103" i="56" s="1"/>
  <c r="U108" i="56" s="1"/>
  <c r="V103" i="56" s="1"/>
  <c r="BJ159" i="9"/>
  <c r="BM14" i="9"/>
  <c r="S76" i="56"/>
  <c r="S154" i="56"/>
  <c r="S155" i="56" s="1"/>
  <c r="S157" i="56" s="1"/>
  <c r="S158" i="56" s="1"/>
  <c r="S159" i="56" s="1"/>
  <c r="S160" i="56" s="1"/>
  <c r="S162" i="56" s="1"/>
  <c r="S163" i="56" s="1"/>
  <c r="BJ96" i="9"/>
  <c r="W303" i="56"/>
  <c r="U311" i="56"/>
  <c r="U313" i="56" s="1"/>
  <c r="U314" i="56" s="1"/>
  <c r="U315" i="56" s="1"/>
  <c r="U316" i="56" s="1"/>
  <c r="U318" i="56" s="1"/>
  <c r="U319" i="56" s="1"/>
  <c r="T133" i="56"/>
  <c r="U128" i="56" s="1"/>
  <c r="T136" i="56"/>
  <c r="T137" i="56" s="1"/>
  <c r="T139" i="56" s="1"/>
  <c r="T150" i="56" s="1"/>
  <c r="R77" i="56"/>
  <c r="R79" i="56" s="1"/>
  <c r="R80" i="56" s="1"/>
  <c r="R81" i="56" s="1"/>
  <c r="R82" i="56" s="1"/>
  <c r="R84" i="56" s="1"/>
  <c r="R85" i="56" s="1"/>
  <c r="H22" i="6"/>
  <c r="R20" i="13" s="1"/>
  <c r="R21" i="13" s="1"/>
  <c r="R23" i="13" s="1"/>
  <c r="E22" i="6"/>
  <c r="BD22" i="6"/>
  <c r="R193" i="13" s="1"/>
  <c r="BA22" i="6"/>
  <c r="AV22" i="6"/>
  <c r="R164" i="13" s="1"/>
  <c r="AS22" i="6"/>
  <c r="AH14" i="9"/>
  <c r="T232" i="56"/>
  <c r="AE150" i="9"/>
  <c r="AF129" i="9"/>
  <c r="X22" i="6"/>
  <c r="R76" i="13" s="1"/>
  <c r="R77" i="13" s="1"/>
  <c r="R79" i="13" s="1"/>
  <c r="U22" i="6"/>
  <c r="T69" i="56"/>
  <c r="U64" i="56" s="1"/>
  <c r="U69" i="56" s="1"/>
  <c r="V64" i="56" s="1"/>
  <c r="P22" i="6"/>
  <c r="R48" i="13" s="1"/>
  <c r="M22" i="6"/>
  <c r="AD123" i="9"/>
  <c r="AE96" i="9"/>
  <c r="AE15" i="9"/>
  <c r="AD33" i="9"/>
  <c r="W248" i="56"/>
  <c r="AJ156" i="9"/>
  <c r="T371" i="56"/>
  <c r="BJ39" i="9"/>
  <c r="U223" i="56"/>
  <c r="U231" i="56" s="1"/>
  <c r="U350" i="56"/>
  <c r="U352" i="56" s="1"/>
  <c r="T272" i="56"/>
  <c r="T274" i="56" s="1"/>
  <c r="AD66" i="9"/>
  <c r="AE39" i="9"/>
  <c r="W262" i="56"/>
  <c r="W270" i="56" s="1"/>
  <c r="T225" i="56"/>
  <c r="U220" i="56" s="1"/>
  <c r="V262" i="56"/>
  <c r="V270" i="56" s="1"/>
  <c r="V345" i="56"/>
  <c r="U271" i="56"/>
  <c r="V310" i="56"/>
  <c r="AC216" i="9"/>
  <c r="AD189" i="9"/>
  <c r="U264" i="56"/>
  <c r="V259" i="56" s="1"/>
  <c r="W172" i="56"/>
  <c r="W193" i="56" s="1"/>
  <c r="W175" i="56"/>
  <c r="W176" i="56" s="1"/>
  <c r="W178" i="56" s="1"/>
  <c r="BI189" i="9"/>
  <c r="U370" i="56"/>
  <c r="U371" i="56" s="1"/>
  <c r="V221" i="56"/>
  <c r="V223" i="56" s="1"/>
  <c r="V231" i="56" s="1"/>
  <c r="W207" i="56"/>
  <c r="W221" i="56" s="1"/>
  <c r="AE242" i="9"/>
  <c r="AF221" i="9"/>
  <c r="W289" i="56"/>
  <c r="W310" i="56" s="1"/>
  <c r="W292" i="56"/>
  <c r="W293" i="56" s="1"/>
  <c r="W295" i="56" s="1"/>
  <c r="S233" i="56"/>
  <c r="S235" i="56" s="1"/>
  <c r="S275" i="56"/>
  <c r="S276" i="56" s="1"/>
  <c r="S277" i="56" s="1"/>
  <c r="S279" i="56" s="1"/>
  <c r="S280" i="56" s="1"/>
  <c r="V306" i="56"/>
  <c r="AF22" i="6"/>
  <c r="R106" i="13" s="1"/>
  <c r="AC22" i="6"/>
  <c r="U194" i="56"/>
  <c r="U196" i="56" s="1"/>
  <c r="V65" i="56"/>
  <c r="V67" i="56" s="1"/>
  <c r="V75" i="56" s="1"/>
  <c r="W51" i="56"/>
  <c r="W53" i="56" s="1"/>
  <c r="V365" i="56"/>
  <c r="V366" i="56" s="1"/>
  <c r="V367" i="56" s="1"/>
  <c r="W328" i="56"/>
  <c r="W349" i="56" s="1"/>
  <c r="W331" i="56"/>
  <c r="W332" i="56" s="1"/>
  <c r="W334" i="56" s="1"/>
  <c r="BK221" i="9"/>
  <c r="S72" i="56"/>
  <c r="BI23" i="6"/>
  <c r="BL23" i="6"/>
  <c r="S223" i="13" s="1"/>
  <c r="U214" i="56"/>
  <c r="U215" i="56" s="1"/>
  <c r="U217" i="56" s="1"/>
  <c r="U211" i="56"/>
  <c r="V206" i="56" s="1"/>
  <c r="AD91" i="9"/>
  <c r="AE72" i="9"/>
  <c r="V250" i="56"/>
  <c r="W245" i="56" s="1"/>
  <c r="V253" i="56"/>
  <c r="V254" i="56" s="1"/>
  <c r="V256" i="56" s="1"/>
  <c r="AE159" i="9"/>
  <c r="AD183" i="9"/>
  <c r="U267" i="56"/>
  <c r="BK129" i="9"/>
  <c r="W186" i="56"/>
  <c r="V349" i="56"/>
  <c r="R236" i="56"/>
  <c r="R237" i="56" s="1"/>
  <c r="R238" i="56" s="1"/>
  <c r="R240" i="56" s="1"/>
  <c r="R241" i="56" s="1"/>
  <c r="T228" i="56"/>
  <c r="V209" i="56"/>
  <c r="V189" i="56"/>
  <c r="BG34" i="9"/>
  <c r="BH24" i="9"/>
  <c r="T58" i="56"/>
  <c r="T59" i="56" s="1"/>
  <c r="T61" i="56" s="1"/>
  <c r="T55" i="56"/>
  <c r="U50" i="56" s="1"/>
  <c r="BJ72" i="9"/>
  <c r="AL22" i="6"/>
  <c r="AM22" i="6" s="1"/>
  <c r="AO22" i="6" s="1"/>
  <c r="BN14" i="9" l="1"/>
  <c r="BP156" i="9"/>
  <c r="BK96" i="9"/>
  <c r="BL221" i="9"/>
  <c r="BK15" i="9"/>
  <c r="V194" i="56"/>
  <c r="V196" i="56" s="1"/>
  <c r="V197" i="56" s="1"/>
  <c r="V198" i="56" s="1"/>
  <c r="V199" i="56" s="1"/>
  <c r="V201" i="56" s="1"/>
  <c r="V202" i="56" s="1"/>
  <c r="BL129" i="9"/>
  <c r="BK72" i="9"/>
  <c r="W92" i="56"/>
  <c r="W209" i="56"/>
  <c r="W106" i="56"/>
  <c r="W114" i="56" s="1"/>
  <c r="V106" i="56"/>
  <c r="S119" i="56"/>
  <c r="S120" i="56" s="1"/>
  <c r="S121" i="56" s="1"/>
  <c r="S123" i="56" s="1"/>
  <c r="S124" i="56" s="1"/>
  <c r="S77" i="56"/>
  <c r="S79" i="56" s="1"/>
  <c r="S80" i="56" s="1"/>
  <c r="S81" i="56" s="1"/>
  <c r="S82" i="56" s="1"/>
  <c r="S84" i="56" s="1"/>
  <c r="S85" i="56" s="1"/>
  <c r="U94" i="56"/>
  <c r="V89" i="56" s="1"/>
  <c r="U97" i="56"/>
  <c r="U98" i="56" s="1"/>
  <c r="U100" i="56" s="1"/>
  <c r="U111" i="56" s="1"/>
  <c r="T115" i="56"/>
  <c r="T116" i="56" s="1"/>
  <c r="T118" i="56" s="1"/>
  <c r="V370" i="56"/>
  <c r="V371" i="56" s="1"/>
  <c r="BJ189" i="9"/>
  <c r="U136" i="56"/>
  <c r="U137" i="56" s="1"/>
  <c r="U139" i="56" s="1"/>
  <c r="U150" i="56" s="1"/>
  <c r="U133" i="56"/>
  <c r="V128" i="56" s="1"/>
  <c r="T154" i="56"/>
  <c r="T155" i="56" s="1"/>
  <c r="T157" i="56" s="1"/>
  <c r="U58" i="56"/>
  <c r="U59" i="56" s="1"/>
  <c r="U61" i="56" s="1"/>
  <c r="U55" i="56"/>
  <c r="V50" i="56" s="1"/>
  <c r="T72" i="56"/>
  <c r="AF159" i="9"/>
  <c r="AE183" i="9"/>
  <c r="V311" i="56"/>
  <c r="V313" i="56" s="1"/>
  <c r="T275" i="56"/>
  <c r="T276" i="56" s="1"/>
  <c r="T277" i="56" s="1"/>
  <c r="T279" i="56" s="1"/>
  <c r="T280" i="56" s="1"/>
  <c r="BK159" i="9"/>
  <c r="U353" i="56"/>
  <c r="U354" i="56" s="1"/>
  <c r="U355" i="56" s="1"/>
  <c r="U357" i="56" s="1"/>
  <c r="U358" i="56" s="1"/>
  <c r="W250" i="56"/>
  <c r="W271" i="56" s="1"/>
  <c r="W253" i="56"/>
  <c r="W254" i="56" s="1"/>
  <c r="W256" i="56" s="1"/>
  <c r="V22" i="6"/>
  <c r="W22" i="6" s="1"/>
  <c r="Y22" i="6" s="1"/>
  <c r="AT22" i="6"/>
  <c r="AU22" i="6" s="1"/>
  <c r="AW22" i="6" s="1"/>
  <c r="U228" i="56"/>
  <c r="W189" i="56"/>
  <c r="W194" i="56" s="1"/>
  <c r="W196" i="56" s="1"/>
  <c r="V69" i="56"/>
  <c r="W64" i="56" s="1"/>
  <c r="V271" i="56"/>
  <c r="S236" i="56"/>
  <c r="S237" i="56" s="1"/>
  <c r="S238" i="56" s="1"/>
  <c r="S240" i="56" s="1"/>
  <c r="S241" i="56" s="1"/>
  <c r="V264" i="56"/>
  <c r="W259" i="56" s="1"/>
  <c r="W264" i="56" s="1"/>
  <c r="U225" i="56"/>
  <c r="V220" i="56" s="1"/>
  <c r="V225" i="56" s="1"/>
  <c r="W220" i="56" s="1"/>
  <c r="BK39" i="9"/>
  <c r="F22" i="6"/>
  <c r="G22" i="6" s="1"/>
  <c r="I22" i="6" s="1"/>
  <c r="AE66" i="9"/>
  <c r="AF39" i="9"/>
  <c r="V211" i="56"/>
  <c r="W206" i="56" s="1"/>
  <c r="V214" i="56"/>
  <c r="V215" i="56" s="1"/>
  <c r="V217" i="56" s="1"/>
  <c r="T233" i="56"/>
  <c r="T235" i="56" s="1"/>
  <c r="T76" i="56"/>
  <c r="U232" i="56"/>
  <c r="AF242" i="9"/>
  <c r="AG221" i="9"/>
  <c r="BB22" i="6"/>
  <c r="BC22" i="6" s="1"/>
  <c r="BE22" i="6" s="1"/>
  <c r="BH34" i="9"/>
  <c r="BI24" i="9"/>
  <c r="AN23" i="6"/>
  <c r="S135" i="13" s="1"/>
  <c r="AK23" i="6"/>
  <c r="U272" i="56"/>
  <c r="U274" i="56" s="1"/>
  <c r="W345" i="56"/>
  <c r="W350" i="56" s="1"/>
  <c r="W352" i="56" s="1"/>
  <c r="U197" i="56"/>
  <c r="U198" i="56" s="1"/>
  <c r="U199" i="56" s="1"/>
  <c r="U201" i="56" s="1"/>
  <c r="U202" i="56" s="1"/>
  <c r="AD216" i="9"/>
  <c r="AE189" i="9"/>
  <c r="AF150" i="9"/>
  <c r="AG129" i="9"/>
  <c r="N22" i="6"/>
  <c r="O22" i="6" s="1"/>
  <c r="Q22" i="6" s="1"/>
  <c r="V350" i="56"/>
  <c r="V352" i="56" s="1"/>
  <c r="AI14" i="9"/>
  <c r="V267" i="56"/>
  <c r="W65" i="56"/>
  <c r="W370" i="56" s="1"/>
  <c r="W365" i="56"/>
  <c r="W366" i="56" s="1"/>
  <c r="W367" i="56" s="1"/>
  <c r="AF15" i="9"/>
  <c r="AE33" i="9"/>
  <c r="BJ23" i="6"/>
  <c r="BK23" i="6" s="1"/>
  <c r="BM23" i="6" s="1"/>
  <c r="W306" i="56"/>
  <c r="W311" i="56" s="1"/>
  <c r="W313" i="56" s="1"/>
  <c r="AE91" i="9"/>
  <c r="AF72" i="9"/>
  <c r="AD22" i="6"/>
  <c r="AE22" i="6" s="1"/>
  <c r="AG22" i="6" s="1"/>
  <c r="W223" i="56"/>
  <c r="W231" i="56" s="1"/>
  <c r="AK156" i="9"/>
  <c r="AE123" i="9"/>
  <c r="AF96" i="9"/>
  <c r="BQ156" i="9" l="1"/>
  <c r="BL15" i="9"/>
  <c r="BM221" i="9"/>
  <c r="U115" i="56"/>
  <c r="U116" i="56" s="1"/>
  <c r="U118" i="56" s="1"/>
  <c r="U119" i="56" s="1"/>
  <c r="U120" i="56" s="1"/>
  <c r="U121" i="56" s="1"/>
  <c r="U123" i="56" s="1"/>
  <c r="U124" i="56" s="1"/>
  <c r="BL72" i="9"/>
  <c r="T119" i="56"/>
  <c r="T120" i="56" s="1"/>
  <c r="T121" i="56" s="1"/>
  <c r="T123" i="56" s="1"/>
  <c r="T124" i="56" s="1"/>
  <c r="V272" i="56"/>
  <c r="V274" i="56" s="1"/>
  <c r="V275" i="56" s="1"/>
  <c r="V276" i="56" s="1"/>
  <c r="V277" i="56" s="1"/>
  <c r="V279" i="56" s="1"/>
  <c r="V280" i="56" s="1"/>
  <c r="W225" i="56"/>
  <c r="BL159" i="9"/>
  <c r="U233" i="56"/>
  <c r="U235" i="56" s="1"/>
  <c r="U236" i="56" s="1"/>
  <c r="V114" i="56"/>
  <c r="V108" i="56"/>
  <c r="W103" i="56" s="1"/>
  <c r="W108" i="56" s="1"/>
  <c r="V232" i="56"/>
  <c r="U154" i="56"/>
  <c r="U155" i="56" s="1"/>
  <c r="U157" i="56" s="1"/>
  <c r="V97" i="56"/>
  <c r="V98" i="56" s="1"/>
  <c r="V100" i="56" s="1"/>
  <c r="V111" i="56" s="1"/>
  <c r="V94" i="56"/>
  <c r="W89" i="56" s="1"/>
  <c r="T158" i="56"/>
  <c r="T159" i="56" s="1"/>
  <c r="T160" i="56" s="1"/>
  <c r="T162" i="56" s="1"/>
  <c r="T163" i="56" s="1"/>
  <c r="V133" i="56"/>
  <c r="W128" i="56" s="1"/>
  <c r="V136" i="56"/>
  <c r="V137" i="56" s="1"/>
  <c r="V139" i="56" s="1"/>
  <c r="V150" i="56" s="1"/>
  <c r="W67" i="56"/>
  <c r="W75" i="56" s="1"/>
  <c r="H23" i="6"/>
  <c r="S20" i="13" s="1"/>
  <c r="S21" i="13" s="1"/>
  <c r="S23" i="13" s="1"/>
  <c r="E23" i="6"/>
  <c r="BD23" i="6"/>
  <c r="S193" i="13" s="1"/>
  <c r="BA23" i="6"/>
  <c r="W353" i="56"/>
  <c r="W354" i="56" s="1"/>
  <c r="W355" i="56" s="1"/>
  <c r="W357" i="56" s="1"/>
  <c r="W358" i="56" s="1"/>
  <c r="W197" i="56"/>
  <c r="W198" i="56" s="1"/>
  <c r="W199" i="56" s="1"/>
  <c r="W201" i="56" s="1"/>
  <c r="W202" i="56" s="1"/>
  <c r="I203" i="56" s="1"/>
  <c r="F25" i="56" s="1"/>
  <c r="H21" i="33" s="1"/>
  <c r="H19" i="33" s="1"/>
  <c r="H10" i="33" s="1"/>
  <c r="X23" i="6"/>
  <c r="S76" i="13" s="1"/>
  <c r="S77" i="13" s="1"/>
  <c r="S79" i="13" s="1"/>
  <c r="U23" i="6"/>
  <c r="V314" i="56"/>
  <c r="V315" i="56" s="1"/>
  <c r="V316" i="56" s="1"/>
  <c r="V318" i="56" s="1"/>
  <c r="V319" i="56" s="1"/>
  <c r="U72" i="56"/>
  <c r="W211" i="56"/>
  <c r="W232" i="56" s="1"/>
  <c r="W214" i="56"/>
  <c r="W215" i="56" s="1"/>
  <c r="W217" i="56" s="1"/>
  <c r="AV23" i="6"/>
  <c r="S164" i="13" s="1"/>
  <c r="AS23" i="6"/>
  <c r="AF123" i="9"/>
  <c r="AG96" i="9"/>
  <c r="AG150" i="9"/>
  <c r="AH129" i="9"/>
  <c r="AJ14" i="9"/>
  <c r="AL23" i="6"/>
  <c r="AM23" i="6" s="1"/>
  <c r="AO23" i="6" s="1"/>
  <c r="BM129" i="9"/>
  <c r="U76" i="56"/>
  <c r="W314" i="56"/>
  <c r="W315" i="56" s="1"/>
  <c r="W316" i="56" s="1"/>
  <c r="W318" i="56" s="1"/>
  <c r="W319" i="56" s="1"/>
  <c r="V228" i="56"/>
  <c r="AF23" i="6"/>
  <c r="S106" i="13" s="1"/>
  <c r="AC23" i="6"/>
  <c r="AF66" i="9"/>
  <c r="AG39" i="9"/>
  <c r="V55" i="56"/>
  <c r="W50" i="56" s="1"/>
  <c r="V58" i="56"/>
  <c r="V59" i="56" s="1"/>
  <c r="V61" i="56" s="1"/>
  <c r="BL96" i="9"/>
  <c r="AL156" i="9"/>
  <c r="AE216" i="9"/>
  <c r="AF189" i="9"/>
  <c r="BK189" i="9"/>
  <c r="AG159" i="9"/>
  <c r="AF183" i="9"/>
  <c r="AG15" i="9"/>
  <c r="AF33" i="9"/>
  <c r="P23" i="6"/>
  <c r="S48" i="13" s="1"/>
  <c r="M23" i="6"/>
  <c r="BL24" i="6"/>
  <c r="T223" i="13" s="1"/>
  <c r="BI24" i="6"/>
  <c r="W267" i="56"/>
  <c r="W272" i="56" s="1"/>
  <c r="W274" i="56" s="1"/>
  <c r="AG242" i="9"/>
  <c r="AH221" i="9"/>
  <c r="U275" i="56"/>
  <c r="U276" i="56" s="1"/>
  <c r="U277" i="56" s="1"/>
  <c r="U279" i="56" s="1"/>
  <c r="U280" i="56" s="1"/>
  <c r="AF91" i="9"/>
  <c r="AG72" i="9"/>
  <c r="V353" i="56"/>
  <c r="V354" i="56" s="1"/>
  <c r="V355" i="56" s="1"/>
  <c r="V357" i="56" s="1"/>
  <c r="V358" i="56" s="1"/>
  <c r="BJ24" i="9"/>
  <c r="BI34" i="9"/>
  <c r="T236" i="56"/>
  <c r="T237" i="56" s="1"/>
  <c r="T238" i="56" s="1"/>
  <c r="T240" i="56" s="1"/>
  <c r="T241" i="56" s="1"/>
  <c r="BL39" i="9"/>
  <c r="T77" i="56"/>
  <c r="T79" i="56" s="1"/>
  <c r="BO14" i="9"/>
  <c r="BR156" i="9" l="1"/>
  <c r="BM72" i="9"/>
  <c r="BN221" i="9"/>
  <c r="V233" i="56"/>
  <c r="V235" i="56" s="1"/>
  <c r="V236" i="56" s="1"/>
  <c r="V237" i="56" s="1"/>
  <c r="V238" i="56" s="1"/>
  <c r="V240" i="56" s="1"/>
  <c r="V241" i="56" s="1"/>
  <c r="BM39" i="9"/>
  <c r="BM96" i="9"/>
  <c r="BL189" i="9"/>
  <c r="W94" i="56"/>
  <c r="W115" i="56" s="1"/>
  <c r="W97" i="56"/>
  <c r="W98" i="56" s="1"/>
  <c r="W100" i="56" s="1"/>
  <c r="W111" i="56" s="1"/>
  <c r="U237" i="56"/>
  <c r="U238" i="56" s="1"/>
  <c r="U240" i="56" s="1"/>
  <c r="U241" i="56" s="1"/>
  <c r="V115" i="56"/>
  <c r="V116" i="56" s="1"/>
  <c r="V118" i="56" s="1"/>
  <c r="V119" i="56" s="1"/>
  <c r="V120" i="56" s="1"/>
  <c r="V121" i="56" s="1"/>
  <c r="V123" i="56" s="1"/>
  <c r="V124" i="56" s="1"/>
  <c r="V154" i="56"/>
  <c r="V155" i="56" s="1"/>
  <c r="V157" i="56" s="1"/>
  <c r="U158" i="56"/>
  <c r="U159" i="56" s="1"/>
  <c r="U160" i="56" s="1"/>
  <c r="U162" i="56" s="1"/>
  <c r="U163" i="56" s="1"/>
  <c r="W133" i="56"/>
  <c r="W154" i="56" s="1"/>
  <c r="W136" i="56"/>
  <c r="W137" i="56" s="1"/>
  <c r="W139" i="56" s="1"/>
  <c r="W150" i="56" s="1"/>
  <c r="W69" i="56"/>
  <c r="W371" i="56"/>
  <c r="H33" i="33"/>
  <c r="H39" i="33" s="1"/>
  <c r="H12" i="33"/>
  <c r="I359" i="56"/>
  <c r="F29" i="56" s="1"/>
  <c r="L21" i="33" s="1"/>
  <c r="L19" i="33" s="1"/>
  <c r="L10" i="33" s="1"/>
  <c r="V72" i="56"/>
  <c r="N23" i="6"/>
  <c r="O23" i="6" s="1"/>
  <c r="Q23" i="6" s="1"/>
  <c r="W55" i="56"/>
  <c r="W76" i="56" s="1"/>
  <c r="W58" i="56"/>
  <c r="W59" i="56" s="1"/>
  <c r="W61" i="56" s="1"/>
  <c r="V76" i="56"/>
  <c r="AG66" i="9"/>
  <c r="AH39" i="9"/>
  <c r="AG123" i="9"/>
  <c r="AH96" i="9"/>
  <c r="AH159" i="9"/>
  <c r="AG183" i="9"/>
  <c r="AH150" i="9"/>
  <c r="AI129" i="9"/>
  <c r="V23" i="6"/>
  <c r="W23" i="6" s="1"/>
  <c r="Y23" i="6" s="1"/>
  <c r="BP14" i="9"/>
  <c r="AF216" i="9"/>
  <c r="AG189" i="9"/>
  <c r="T80" i="56"/>
  <c r="T81" i="56" s="1"/>
  <c r="T82" i="56" s="1"/>
  <c r="T84" i="56" s="1"/>
  <c r="T85" i="56" s="1"/>
  <c r="W275" i="56"/>
  <c r="W276" i="56" s="1"/>
  <c r="W277" i="56" s="1"/>
  <c r="W279" i="56" s="1"/>
  <c r="W280" i="56" s="1"/>
  <c r="I281" i="56" s="1"/>
  <c r="F27" i="56" s="1"/>
  <c r="J21" i="33" s="1"/>
  <c r="J19" i="33" s="1"/>
  <c r="J10" i="33" s="1"/>
  <c r="BN129" i="9"/>
  <c r="BM159" i="9"/>
  <c r="F23" i="6"/>
  <c r="G23" i="6" s="1"/>
  <c r="I23" i="6" s="1"/>
  <c r="AK14" i="9"/>
  <c r="AT23" i="6"/>
  <c r="AU23" i="6" s="1"/>
  <c r="AW23" i="6" s="1"/>
  <c r="I320" i="56"/>
  <c r="F28" i="56" s="1"/>
  <c r="K21" i="33" s="1"/>
  <c r="K19" i="33" s="1"/>
  <c r="K10" i="33" s="1"/>
  <c r="W228" i="56"/>
  <c r="W233" i="56" s="1"/>
  <c r="W235" i="56" s="1"/>
  <c r="BB23" i="6"/>
  <c r="BC23" i="6" s="1"/>
  <c r="BE23" i="6" s="1"/>
  <c r="AH242" i="9"/>
  <c r="AI221" i="9"/>
  <c r="BJ34" i="9"/>
  <c r="BK24" i="9"/>
  <c r="AM156" i="9"/>
  <c r="AD23" i="6"/>
  <c r="AE23" i="6" s="1"/>
  <c r="AG23" i="6" s="1"/>
  <c r="AN24" i="6"/>
  <c r="T135" i="13" s="1"/>
  <c r="AK24" i="6"/>
  <c r="U77" i="56"/>
  <c r="U79" i="56" s="1"/>
  <c r="AH15" i="9"/>
  <c r="AG33" i="9"/>
  <c r="AG91" i="9"/>
  <c r="AH72" i="9"/>
  <c r="BJ24" i="6"/>
  <c r="BK24" i="6" s="1"/>
  <c r="BM24" i="6" s="1"/>
  <c r="BM15" i="9"/>
  <c r="BS156" i="9" l="1"/>
  <c r="BN39" i="9"/>
  <c r="BO129" i="9"/>
  <c r="W116" i="56"/>
  <c r="W118" i="56" s="1"/>
  <c r="W119" i="56" s="1"/>
  <c r="W120" i="56" s="1"/>
  <c r="W121" i="56" s="1"/>
  <c r="W123" i="56" s="1"/>
  <c r="W124" i="56" s="1"/>
  <c r="I125" i="56" s="1"/>
  <c r="F23" i="56" s="1"/>
  <c r="F21" i="33" s="1"/>
  <c r="F19" i="33" s="1"/>
  <c r="F10" i="33" s="1"/>
  <c r="W155" i="56"/>
  <c r="W157" i="56" s="1"/>
  <c r="BN15" i="9"/>
  <c r="V158" i="56"/>
  <c r="V159" i="56" s="1"/>
  <c r="V160" i="56" s="1"/>
  <c r="V162" i="56" s="1"/>
  <c r="V163" i="56" s="1"/>
  <c r="BQ14" i="9"/>
  <c r="BN159" i="9"/>
  <c r="BD24" i="6"/>
  <c r="T193" i="13" s="1"/>
  <c r="BA24" i="6"/>
  <c r="K33" i="33"/>
  <c r="K39" i="33" s="1"/>
  <c r="K12" i="33"/>
  <c r="AI159" i="9"/>
  <c r="AH183" i="9"/>
  <c r="H24" i="6"/>
  <c r="T20" i="13" s="1"/>
  <c r="T21" i="13" s="1"/>
  <c r="T23" i="13" s="1"/>
  <c r="E24" i="6"/>
  <c r="AG216" i="9"/>
  <c r="AH189" i="9"/>
  <c r="W72" i="56"/>
  <c r="W77" i="56" s="1"/>
  <c r="W79" i="56" s="1"/>
  <c r="U80" i="56"/>
  <c r="U81" i="56" s="1"/>
  <c r="U82" i="56" s="1"/>
  <c r="U84" i="56" s="1"/>
  <c r="U85" i="56" s="1"/>
  <c r="AL24" i="6"/>
  <c r="AM24" i="6" s="1"/>
  <c r="AO24" i="6" s="1"/>
  <c r="BM189" i="9"/>
  <c r="AH123" i="9"/>
  <c r="AI96" i="9"/>
  <c r="P24" i="6"/>
  <c r="T48" i="13" s="1"/>
  <c r="M24" i="6"/>
  <c r="AH91" i="9"/>
  <c r="AI72" i="9"/>
  <c r="AI242" i="9"/>
  <c r="AJ221" i="9"/>
  <c r="AF24" i="6"/>
  <c r="T106" i="13" s="1"/>
  <c r="AC24" i="6"/>
  <c r="AL14" i="9"/>
  <c r="AI150" i="9"/>
  <c r="AJ129" i="9"/>
  <c r="AH66" i="9"/>
  <c r="AI39" i="9"/>
  <c r="V77" i="56"/>
  <c r="V79" i="56" s="1"/>
  <c r="BO221" i="9"/>
  <c r="W236" i="56"/>
  <c r="W237" i="56" s="1"/>
  <c r="W238" i="56" s="1"/>
  <c r="W240" i="56" s="1"/>
  <c r="W241" i="56" s="1"/>
  <c r="I242" i="56" s="1"/>
  <c r="F26" i="56" s="1"/>
  <c r="I21" i="33" s="1"/>
  <c r="I19" i="33" s="1"/>
  <c r="I10" i="33" s="1"/>
  <c r="J33" i="33"/>
  <c r="J39" i="33" s="1"/>
  <c r="J12" i="33"/>
  <c r="H35" i="33"/>
  <c r="H13" i="33"/>
  <c r="H36" i="33" s="1"/>
  <c r="H14" i="33"/>
  <c r="L33" i="33"/>
  <c r="L12" i="33"/>
  <c r="BK34" i="9"/>
  <c r="BL24" i="9"/>
  <c r="BL25" i="6"/>
  <c r="U223" i="13" s="1"/>
  <c r="BI25" i="6"/>
  <c r="AV24" i="6"/>
  <c r="T164" i="13" s="1"/>
  <c r="AS24" i="6"/>
  <c r="X24" i="6"/>
  <c r="T76" i="13" s="1"/>
  <c r="T77" i="13" s="1"/>
  <c r="T79" i="13" s="1"/>
  <c r="U24" i="6"/>
  <c r="AI15" i="9"/>
  <c r="AH33" i="9"/>
  <c r="AN156" i="9"/>
  <c r="BN96" i="9"/>
  <c r="BN72" i="9"/>
  <c r="E22" i="42" l="1"/>
  <c r="AG81" i="53"/>
  <c r="BT156" i="9"/>
  <c r="AH41" i="53"/>
  <c r="D38" i="42" s="1"/>
  <c r="AH60" i="53"/>
  <c r="D57" i="42" s="1"/>
  <c r="BR14" i="9"/>
  <c r="BP221" i="9"/>
  <c r="F33" i="33"/>
  <c r="F12" i="33"/>
  <c r="BN189" i="9"/>
  <c r="W158" i="56"/>
  <c r="W159" i="56" s="1"/>
  <c r="W160" i="56" s="1"/>
  <c r="W162" i="56" s="1"/>
  <c r="W163" i="56" s="1"/>
  <c r="I164" i="56" s="1"/>
  <c r="F24" i="56" s="1"/>
  <c r="G21" i="33" s="1"/>
  <c r="G19" i="33" s="1"/>
  <c r="G10" i="33" s="1"/>
  <c r="I33" i="33"/>
  <c r="I39" i="33" s="1"/>
  <c r="I12" i="33"/>
  <c r="AD24" i="6"/>
  <c r="AE24" i="6" s="1"/>
  <c r="AG24" i="6" s="1"/>
  <c r="V80" i="56"/>
  <c r="V81" i="56" s="1"/>
  <c r="V82" i="56" s="1"/>
  <c r="V84" i="56" s="1"/>
  <c r="V85" i="56" s="1"/>
  <c r="AI66" i="9"/>
  <c r="AJ39" i="9"/>
  <c r="N24" i="6"/>
  <c r="O24" i="6" s="1"/>
  <c r="Q24" i="6" s="1"/>
  <c r="AJ15" i="9"/>
  <c r="AI33" i="9"/>
  <c r="H37" i="33"/>
  <c r="C84" i="42"/>
  <c r="E84" i="42"/>
  <c r="G84" i="42"/>
  <c r="H52" i="33"/>
  <c r="BO15" i="9"/>
  <c r="AI91" i="9"/>
  <c r="AJ72" i="9"/>
  <c r="L35" i="33"/>
  <c r="L13" i="33"/>
  <c r="L16" i="33" s="1"/>
  <c r="L14" i="33"/>
  <c r="W80" i="56"/>
  <c r="W81" i="56" s="1"/>
  <c r="W82" i="56" s="1"/>
  <c r="W84" i="56" s="1"/>
  <c r="W85" i="56" s="1"/>
  <c r="AO156" i="9"/>
  <c r="BL34" i="9"/>
  <c r="BM24" i="9"/>
  <c r="AJ242" i="9"/>
  <c r="AK221" i="9"/>
  <c r="AJ150" i="9"/>
  <c r="AK129" i="9"/>
  <c r="AJ159" i="9"/>
  <c r="AI183" i="9"/>
  <c r="BO72" i="9"/>
  <c r="AT24" i="6"/>
  <c r="AU24" i="6" s="1"/>
  <c r="AW24" i="6" s="1"/>
  <c r="AM14" i="9"/>
  <c r="BP129" i="9"/>
  <c r="BO159" i="9"/>
  <c r="BB24" i="6"/>
  <c r="BC24" i="6" s="1"/>
  <c r="BE24" i="6" s="1"/>
  <c r="BJ25" i="6"/>
  <c r="BK25" i="6" s="1"/>
  <c r="BM25" i="6" s="1"/>
  <c r="AN25" i="6"/>
  <c r="U135" i="13" s="1"/>
  <c r="AK25" i="6"/>
  <c r="F24" i="6"/>
  <c r="G24" i="6" s="1"/>
  <c r="I24" i="6" s="1"/>
  <c r="H16" i="33"/>
  <c r="V24" i="6"/>
  <c r="W24" i="6" s="1"/>
  <c r="Y24" i="6" s="1"/>
  <c r="J35" i="33"/>
  <c r="J14" i="33"/>
  <c r="J13" i="33"/>
  <c r="J36" i="33" s="1"/>
  <c r="AI123" i="9"/>
  <c r="AJ96" i="9"/>
  <c r="BO39" i="9"/>
  <c r="BO96" i="9"/>
  <c r="L39" i="33"/>
  <c r="AH216" i="9"/>
  <c r="AI189" i="9"/>
  <c r="K35" i="33"/>
  <c r="K13" i="33"/>
  <c r="K36" i="33" s="1"/>
  <c r="K14" i="33"/>
  <c r="D22" i="42" l="1"/>
  <c r="E25" i="42"/>
  <c r="E24" i="42"/>
  <c r="E26" i="42"/>
  <c r="F22" i="42"/>
  <c r="AG87" i="53"/>
  <c r="AG85" i="53"/>
  <c r="AG89" i="53"/>
  <c r="BQ221" i="9"/>
  <c r="AH39" i="53"/>
  <c r="D36" i="42" s="1"/>
  <c r="AH58" i="53"/>
  <c r="D55" i="42" s="1"/>
  <c r="AH43" i="53"/>
  <c r="D40" i="42" s="1"/>
  <c r="AH62" i="53"/>
  <c r="D59" i="42" s="1"/>
  <c r="AH49" i="53"/>
  <c r="D46" i="42" s="1"/>
  <c r="AH68" i="53"/>
  <c r="D65" i="42" s="1"/>
  <c r="BS14" i="9"/>
  <c r="BP72" i="9"/>
  <c r="BP96" i="9"/>
  <c r="J16" i="33"/>
  <c r="BP15" i="9"/>
  <c r="F35" i="33"/>
  <c r="F14" i="33"/>
  <c r="F13" i="33"/>
  <c r="D84" i="42"/>
  <c r="BP159" i="9"/>
  <c r="G33" i="33"/>
  <c r="G39" i="33" s="1"/>
  <c r="G12" i="33"/>
  <c r="BD25" i="6"/>
  <c r="U193" i="13" s="1"/>
  <c r="BA25" i="6"/>
  <c r="AS25" i="6"/>
  <c r="AV25" i="6"/>
  <c r="U164" i="13" s="1"/>
  <c r="H25" i="6"/>
  <c r="U20" i="13" s="1"/>
  <c r="U21" i="13" s="1"/>
  <c r="U23" i="13" s="1"/>
  <c r="E25" i="6"/>
  <c r="I86" i="56"/>
  <c r="F22" i="56" s="1"/>
  <c r="E21" i="33" s="1"/>
  <c r="E19" i="33" s="1"/>
  <c r="E10" i="33" s="1"/>
  <c r="C28" i="53" s="1"/>
  <c r="C30" i="53" s="1"/>
  <c r="C38" i="53" s="1"/>
  <c r="AJ66" i="9"/>
  <c r="AK39" i="9"/>
  <c r="X25" i="6"/>
  <c r="U76" i="13" s="1"/>
  <c r="U77" i="13" s="1"/>
  <c r="U79" i="13" s="1"/>
  <c r="U25" i="6"/>
  <c r="K16" i="33"/>
  <c r="BP39" i="9"/>
  <c r="L36" i="33"/>
  <c r="C88" i="42"/>
  <c r="L37" i="33"/>
  <c r="E88" i="42"/>
  <c r="L52" i="33"/>
  <c r="G88" i="42"/>
  <c r="AI216" i="9"/>
  <c r="AJ189" i="9"/>
  <c r="AK15" i="9"/>
  <c r="AJ33" i="9"/>
  <c r="C87" i="42"/>
  <c r="E87" i="42"/>
  <c r="K37" i="33"/>
  <c r="K52" i="33"/>
  <c r="G87" i="42"/>
  <c r="AK242" i="9"/>
  <c r="AL221" i="9"/>
  <c r="AJ123" i="9"/>
  <c r="AK96" i="9"/>
  <c r="I13" i="33"/>
  <c r="I36" i="33" s="1"/>
  <c r="I35" i="33"/>
  <c r="I14" i="33"/>
  <c r="BQ129" i="9"/>
  <c r="AP156" i="9"/>
  <c r="AJ91" i="9"/>
  <c r="AK72" i="9"/>
  <c r="H58" i="33"/>
  <c r="H57" i="33"/>
  <c r="P25" i="6"/>
  <c r="U48" i="13" s="1"/>
  <c r="M25" i="6"/>
  <c r="AK150" i="9"/>
  <c r="AL129" i="9"/>
  <c r="BL26" i="6"/>
  <c r="V223" i="13" s="1"/>
  <c r="BI26" i="6"/>
  <c r="AF25" i="6"/>
  <c r="U106" i="13" s="1"/>
  <c r="AC25" i="6"/>
  <c r="BM34" i="9"/>
  <c r="BN24" i="9"/>
  <c r="BO189" i="9"/>
  <c r="J37" i="33"/>
  <c r="E86" i="42"/>
  <c r="J52" i="33"/>
  <c r="C86" i="42"/>
  <c r="G86" i="42"/>
  <c r="AL25" i="6"/>
  <c r="AM25" i="6" s="1"/>
  <c r="AO25" i="6" s="1"/>
  <c r="AN14" i="9"/>
  <c r="AK159" i="9"/>
  <c r="AJ183" i="9"/>
  <c r="F84" i="42"/>
  <c r="BU156" i="9"/>
  <c r="D25" i="42" l="1"/>
  <c r="D24" i="42"/>
  <c r="D26" i="42"/>
  <c r="F26" i="42"/>
  <c r="E23" i="42"/>
  <c r="E20" i="42"/>
  <c r="F24" i="42"/>
  <c r="F25" i="42"/>
  <c r="AG83" i="53"/>
  <c r="AG77" i="53"/>
  <c r="AH35" i="53"/>
  <c r="D32" i="42" s="1"/>
  <c r="AH54" i="53"/>
  <c r="D51" i="42" s="1"/>
  <c r="AH37" i="53"/>
  <c r="D34" i="42" s="1"/>
  <c r="AH56" i="53"/>
  <c r="D53" i="42" s="1"/>
  <c r="BT14" i="9"/>
  <c r="BQ96" i="9"/>
  <c r="F36" i="33"/>
  <c r="F16" i="33"/>
  <c r="D88" i="42"/>
  <c r="F52" i="33"/>
  <c r="E82" i="42"/>
  <c r="G82" i="42"/>
  <c r="F37" i="33"/>
  <c r="C82" i="42"/>
  <c r="I16" i="33"/>
  <c r="F87" i="42"/>
  <c r="D86" i="42"/>
  <c r="G35" i="33"/>
  <c r="G13" i="33"/>
  <c r="G36" i="33" s="1"/>
  <c r="G14" i="33"/>
  <c r="BP189" i="9"/>
  <c r="BQ39" i="9"/>
  <c r="AL159" i="9"/>
  <c r="AK183" i="9"/>
  <c r="BJ26" i="6"/>
  <c r="BK26" i="6" s="1"/>
  <c r="BM26" i="6" s="1"/>
  <c r="F25" i="6"/>
  <c r="G25" i="6" s="1"/>
  <c r="I25" i="6" s="1"/>
  <c r="AK91" i="9"/>
  <c r="AL72" i="9"/>
  <c r="BQ72" i="9"/>
  <c r="V25" i="6"/>
  <c r="W25" i="6" s="1"/>
  <c r="Y25" i="6" s="1"/>
  <c r="J58" i="33"/>
  <c r="J57" i="33"/>
  <c r="C85" i="42"/>
  <c r="I37" i="33"/>
  <c r="G85" i="42"/>
  <c r="E85" i="42"/>
  <c r="I52" i="33"/>
  <c r="L58" i="33"/>
  <c r="L57" i="33"/>
  <c r="AL15" i="9"/>
  <c r="AK33" i="9"/>
  <c r="AK66" i="9"/>
  <c r="AL39" i="9"/>
  <c r="AT25" i="6"/>
  <c r="AU25" i="6" s="1"/>
  <c r="AW25" i="6" s="1"/>
  <c r="AL150" i="9"/>
  <c r="AM129" i="9"/>
  <c r="AJ216" i="9"/>
  <c r="AK189" i="9"/>
  <c r="F86" i="42"/>
  <c r="AD25" i="6"/>
  <c r="AE25" i="6" s="1"/>
  <c r="AG25" i="6" s="1"/>
  <c r="AK123" i="9"/>
  <c r="AL96" i="9"/>
  <c r="D87" i="42"/>
  <c r="BB25" i="6"/>
  <c r="BC25" i="6" s="1"/>
  <c r="BE25" i="6" s="1"/>
  <c r="AL242" i="9"/>
  <c r="AM221" i="9"/>
  <c r="BR221" i="9"/>
  <c r="AO14" i="9"/>
  <c r="AN26" i="6"/>
  <c r="V135" i="13" s="1"/>
  <c r="AK26" i="6"/>
  <c r="BN34" i="9"/>
  <c r="BO24" i="9"/>
  <c r="BQ15" i="9"/>
  <c r="K58" i="33"/>
  <c r="K57" i="33"/>
  <c r="BQ159" i="9"/>
  <c r="N25" i="6"/>
  <c r="O25" i="6" s="1"/>
  <c r="Q25" i="6" s="1"/>
  <c r="BR129" i="9"/>
  <c r="F88" i="42"/>
  <c r="E33" i="33"/>
  <c r="E12" i="33"/>
  <c r="F20" i="42" l="1"/>
  <c r="D23" i="42"/>
  <c r="E21" i="42"/>
  <c r="D20" i="42"/>
  <c r="F23" i="42"/>
  <c r="AG79" i="53"/>
  <c r="AH45" i="53"/>
  <c r="D42" i="42" s="1"/>
  <c r="AH64" i="53"/>
  <c r="D61" i="42" s="1"/>
  <c r="E39" i="33"/>
  <c r="D28" i="53"/>
  <c r="D30" i="53" s="1"/>
  <c r="BR96" i="9"/>
  <c r="D85" i="42"/>
  <c r="F82" i="42"/>
  <c r="BS221" i="9"/>
  <c r="G16" i="33"/>
  <c r="F58" i="33"/>
  <c r="F57" i="33"/>
  <c r="D82" i="42"/>
  <c r="BR72" i="9"/>
  <c r="BR39" i="9"/>
  <c r="BR159" i="9"/>
  <c r="C83" i="42"/>
  <c r="G37" i="33"/>
  <c r="G83" i="42"/>
  <c r="E83" i="42"/>
  <c r="G52" i="33"/>
  <c r="AV26" i="6"/>
  <c r="V164" i="13" s="1"/>
  <c r="AS26" i="6"/>
  <c r="X26" i="6"/>
  <c r="V76" i="13" s="1"/>
  <c r="V77" i="13" s="1"/>
  <c r="V79" i="13" s="1"/>
  <c r="U26" i="6"/>
  <c r="P26" i="6"/>
  <c r="V48" i="13" s="1"/>
  <c r="M26" i="6"/>
  <c r="AM150" i="9"/>
  <c r="AN129" i="9"/>
  <c r="AP14" i="9"/>
  <c r="E35" i="33"/>
  <c r="E13" i="33"/>
  <c r="E14" i="33"/>
  <c r="H26" i="6"/>
  <c r="V20" i="13" s="1"/>
  <c r="V21" i="13" s="1"/>
  <c r="V23" i="13" s="1"/>
  <c r="E26" i="6"/>
  <c r="AL123" i="9"/>
  <c r="AM96" i="9"/>
  <c r="AM242" i="9"/>
  <c r="AN221" i="9"/>
  <c r="F85" i="42"/>
  <c r="AL91" i="9"/>
  <c r="AM72" i="9"/>
  <c r="AL66" i="9"/>
  <c r="AM39" i="9"/>
  <c r="BD26" i="6"/>
  <c r="V193" i="13" s="1"/>
  <c r="BA26" i="6"/>
  <c r="AM159" i="9"/>
  <c r="AL183" i="9"/>
  <c r="AM15" i="9"/>
  <c r="AL33" i="9"/>
  <c r="AF26" i="6"/>
  <c r="V106" i="13" s="1"/>
  <c r="AC26" i="6"/>
  <c r="I58" i="33"/>
  <c r="I57" i="33"/>
  <c r="BL27" i="6"/>
  <c r="W223" i="13" s="1"/>
  <c r="BI27" i="6"/>
  <c r="BR15" i="9"/>
  <c r="BO34" i="9"/>
  <c r="BP24" i="9"/>
  <c r="BS129" i="9"/>
  <c r="AK216" i="9"/>
  <c r="AL189" i="9"/>
  <c r="AL26" i="6"/>
  <c r="AM26" i="6" s="1"/>
  <c r="AO26" i="6" s="1"/>
  <c r="BQ189" i="9"/>
  <c r="BU14" i="9"/>
  <c r="D21" i="42" l="1"/>
  <c r="E19" i="42"/>
  <c r="F21" i="42"/>
  <c r="AG75" i="53"/>
  <c r="AH47" i="53"/>
  <c r="D44" i="42" s="1"/>
  <c r="AH66" i="53"/>
  <c r="D63" i="42" s="1"/>
  <c r="E36" i="33"/>
  <c r="D31" i="53" s="1"/>
  <c r="D32" i="53" s="1"/>
  <c r="C31" i="53"/>
  <c r="BS96" i="9"/>
  <c r="BS39" i="9"/>
  <c r="D83" i="42"/>
  <c r="BT129" i="9"/>
  <c r="BS72" i="9"/>
  <c r="G58" i="33"/>
  <c r="G57" i="33"/>
  <c r="F83" i="42"/>
  <c r="AN27" i="6"/>
  <c r="W135" i="13" s="1"/>
  <c r="AK27" i="6"/>
  <c r="AN159" i="9"/>
  <c r="AM183" i="9"/>
  <c r="E37" i="33"/>
  <c r="C81" i="42"/>
  <c r="G81" i="42"/>
  <c r="E81" i="42"/>
  <c r="E52" i="33"/>
  <c r="BB26" i="6"/>
  <c r="BC26" i="6" s="1"/>
  <c r="BE26" i="6" s="1"/>
  <c r="AN242" i="9"/>
  <c r="AO221" i="9"/>
  <c r="E16" i="33"/>
  <c r="N26" i="6"/>
  <c r="O26" i="6" s="1"/>
  <c r="Q26" i="6" s="1"/>
  <c r="AL216" i="9"/>
  <c r="AM189" i="9"/>
  <c r="BR189" i="9"/>
  <c r="BP34" i="9"/>
  <c r="BQ24" i="9"/>
  <c r="AD26" i="6"/>
  <c r="AE26" i="6" s="1"/>
  <c r="AG26" i="6" s="1"/>
  <c r="BT221" i="9"/>
  <c r="BS159" i="9"/>
  <c r="AM123" i="9"/>
  <c r="AN96" i="9"/>
  <c r="BS15" i="9"/>
  <c r="AT26" i="6"/>
  <c r="AU26" i="6" s="1"/>
  <c r="AW26" i="6" s="1"/>
  <c r="AM66" i="9"/>
  <c r="AN39" i="9"/>
  <c r="V26" i="6"/>
  <c r="W26" i="6" s="1"/>
  <c r="Y26" i="6" s="1"/>
  <c r="BJ27" i="6"/>
  <c r="BK27" i="6" s="1"/>
  <c r="BM27" i="6" s="1"/>
  <c r="AN15" i="9"/>
  <c r="AM33" i="9"/>
  <c r="AM91" i="9"/>
  <c r="AN72" i="9"/>
  <c r="F26" i="6"/>
  <c r="G26" i="6" s="1"/>
  <c r="I26" i="6" s="1"/>
  <c r="AN150" i="9"/>
  <c r="AO129" i="9"/>
  <c r="D19" i="42" l="1"/>
  <c r="F19" i="42"/>
  <c r="C32" i="53"/>
  <c r="C34" i="53"/>
  <c r="BU129" i="9"/>
  <c r="BT72" i="9"/>
  <c r="BS189" i="9"/>
  <c r="BT159" i="9"/>
  <c r="F81" i="42"/>
  <c r="P27" i="6"/>
  <c r="W48" i="13" s="1"/>
  <c r="M27" i="6"/>
  <c r="BL28" i="6"/>
  <c r="X223" i="13" s="1"/>
  <c r="BI28" i="6"/>
  <c r="AV27" i="6"/>
  <c r="W164" i="13" s="1"/>
  <c r="AS27" i="6"/>
  <c r="AN123" i="9"/>
  <c r="AO96" i="9"/>
  <c r="H27" i="6"/>
  <c r="W20" i="13" s="1"/>
  <c r="W21" i="13" s="1"/>
  <c r="W23" i="13" s="1"/>
  <c r="E27" i="6"/>
  <c r="AN91" i="9"/>
  <c r="AO72" i="9"/>
  <c r="AM216" i="9"/>
  <c r="AN189" i="9"/>
  <c r="X27" i="6"/>
  <c r="W76" i="13" s="1"/>
  <c r="W77" i="13" s="1"/>
  <c r="W79" i="13" s="1"/>
  <c r="U27" i="6"/>
  <c r="AN66" i="9"/>
  <c r="AO39" i="9"/>
  <c r="AO159" i="9"/>
  <c r="AN183" i="9"/>
  <c r="BU221" i="9"/>
  <c r="BT96" i="9"/>
  <c r="AL27" i="6"/>
  <c r="AM27" i="6" s="1"/>
  <c r="AO27" i="6" s="1"/>
  <c r="BQ34" i="9"/>
  <c r="BR24" i="9"/>
  <c r="BD27" i="6"/>
  <c r="W193" i="13" s="1"/>
  <c r="BA27" i="6"/>
  <c r="AO242" i="9"/>
  <c r="AP221" i="9"/>
  <c r="AP242" i="9" s="1"/>
  <c r="AO15" i="9"/>
  <c r="AN33" i="9"/>
  <c r="AF27" i="6"/>
  <c r="W106" i="13" s="1"/>
  <c r="AC27" i="6"/>
  <c r="E58" i="33"/>
  <c r="E57" i="33"/>
  <c r="AO150" i="9"/>
  <c r="AP129" i="9"/>
  <c r="AP150" i="9" s="1"/>
  <c r="BT15" i="9"/>
  <c r="D81" i="42"/>
  <c r="BT39" i="9"/>
  <c r="C36" i="53" l="1"/>
  <c r="C37" i="53"/>
  <c r="BU159" i="9"/>
  <c r="BU39" i="9"/>
  <c r="BU15" i="9"/>
  <c r="AO123" i="9"/>
  <c r="AP96" i="9"/>
  <c r="AP123" i="9" s="1"/>
  <c r="BB27" i="6"/>
  <c r="BC27" i="6" s="1"/>
  <c r="BE27" i="6" s="1"/>
  <c r="BR34" i="9"/>
  <c r="BS24" i="9"/>
  <c r="AN216" i="9"/>
  <c r="AO189" i="9"/>
  <c r="AP15" i="9"/>
  <c r="AP33" i="9" s="1"/>
  <c r="AO33" i="9"/>
  <c r="BJ28" i="6"/>
  <c r="BK28" i="6" s="1"/>
  <c r="BM28" i="6" s="1"/>
  <c r="BT189" i="9"/>
  <c r="V27" i="6"/>
  <c r="W27" i="6" s="1"/>
  <c r="Y27" i="6" s="1"/>
  <c r="AP159" i="9"/>
  <c r="AP183" i="9" s="1"/>
  <c r="AP184" i="9" s="1"/>
  <c r="AO183" i="9"/>
  <c r="AO91" i="9"/>
  <c r="AP72" i="9"/>
  <c r="AP91" i="9" s="1"/>
  <c r="AN28" i="6"/>
  <c r="X135" i="13" s="1"/>
  <c r="AK28" i="6"/>
  <c r="BU72" i="9"/>
  <c r="F27" i="6"/>
  <c r="G27" i="6" s="1"/>
  <c r="I27" i="6" s="1"/>
  <c r="N27" i="6"/>
  <c r="O27" i="6" s="1"/>
  <c r="Q27" i="6" s="1"/>
  <c r="AD27" i="6"/>
  <c r="AE27" i="6" s="1"/>
  <c r="AG27" i="6" s="1"/>
  <c r="AT27" i="6"/>
  <c r="AU27" i="6" s="1"/>
  <c r="AW27" i="6" s="1"/>
  <c r="AO66" i="9"/>
  <c r="AP39" i="9"/>
  <c r="AP66" i="9" s="1"/>
  <c r="BU96" i="9"/>
  <c r="BI29" i="6" l="1"/>
  <c r="BL29" i="6"/>
  <c r="Y223" i="13" s="1"/>
  <c r="X28" i="6"/>
  <c r="X76" i="13" s="1"/>
  <c r="X77" i="13" s="1"/>
  <c r="X79" i="13" s="1"/>
  <c r="U28" i="6"/>
  <c r="AO216" i="9"/>
  <c r="AP189" i="9"/>
  <c r="AP216" i="9" s="1"/>
  <c r="BS34" i="9"/>
  <c r="BT24" i="9"/>
  <c r="AL28" i="6"/>
  <c r="AM28" i="6" s="1"/>
  <c r="AO28" i="6" s="1"/>
  <c r="AF28" i="6"/>
  <c r="X106" i="13" s="1"/>
  <c r="AC28" i="6"/>
  <c r="P28" i="6"/>
  <c r="X48" i="13" s="1"/>
  <c r="M28" i="6"/>
  <c r="H28" i="6"/>
  <c r="X20" i="13" s="1"/>
  <c r="X21" i="13" s="1"/>
  <c r="X23" i="13" s="1"/>
  <c r="E28" i="6"/>
  <c r="AV28" i="6"/>
  <c r="X164" i="13" s="1"/>
  <c r="AS28" i="6"/>
  <c r="BU189" i="9"/>
  <c r="BD28" i="6"/>
  <c r="X193" i="13" s="1"/>
  <c r="BA28" i="6"/>
  <c r="BB28" i="6" l="1"/>
  <c r="BC28" i="6" s="1"/>
  <c r="BE28" i="6" s="1"/>
  <c r="AD28" i="6"/>
  <c r="AE28" i="6" s="1"/>
  <c r="AG28" i="6" s="1"/>
  <c r="V28" i="6"/>
  <c r="W28" i="6" s="1"/>
  <c r="Y28" i="6" s="1"/>
  <c r="F28" i="6"/>
  <c r="G28" i="6" s="1"/>
  <c r="I28" i="6" s="1"/>
  <c r="BT34" i="9"/>
  <c r="BU24" i="9"/>
  <c r="BU34" i="9" s="1"/>
  <c r="N28" i="6"/>
  <c r="O28" i="6" s="1"/>
  <c r="Q28" i="6" s="1"/>
  <c r="AT28" i="6"/>
  <c r="AU28" i="6" s="1"/>
  <c r="AW28" i="6" s="1"/>
  <c r="AN29" i="6"/>
  <c r="Y135" i="13" s="1"/>
  <c r="AK29" i="6"/>
  <c r="BJ29" i="6"/>
  <c r="BK29" i="6" s="1"/>
  <c r="BM29" i="6" s="1"/>
  <c r="H29" i="6" l="1"/>
  <c r="Y20" i="13" s="1"/>
  <c r="Y21" i="13" s="1"/>
  <c r="Y23" i="13" s="1"/>
  <c r="E29" i="6"/>
  <c r="AL29" i="6"/>
  <c r="AM29" i="6" s="1"/>
  <c r="AO29" i="6" s="1"/>
  <c r="AV29" i="6"/>
  <c r="Y164" i="13" s="1"/>
  <c r="AS29" i="6"/>
  <c r="X29" i="6"/>
  <c r="Y76" i="13" s="1"/>
  <c r="Y77" i="13" s="1"/>
  <c r="Y79" i="13" s="1"/>
  <c r="U29" i="6"/>
  <c r="AF29" i="6"/>
  <c r="Y106" i="13" s="1"/>
  <c r="AC29" i="6"/>
  <c r="BD29" i="6"/>
  <c r="Y193" i="13" s="1"/>
  <c r="BA29" i="6"/>
  <c r="P29" i="6"/>
  <c r="Y48" i="13" s="1"/>
  <c r="M29" i="6"/>
  <c r="BL30" i="6"/>
  <c r="Z223" i="13" s="1"/>
  <c r="AA223" i="13" s="1"/>
  <c r="BI30" i="6"/>
  <c r="BJ30" i="6" l="1"/>
  <c r="BK30" i="6" s="1"/>
  <c r="BM30" i="6" s="1"/>
  <c r="V29" i="6"/>
  <c r="W29" i="6" s="1"/>
  <c r="Y29" i="6" s="1"/>
  <c r="N29" i="6"/>
  <c r="O29" i="6" s="1"/>
  <c r="Q29" i="6" s="1"/>
  <c r="AT29" i="6"/>
  <c r="AU29" i="6" s="1"/>
  <c r="AW29" i="6" s="1"/>
  <c r="L233" i="13"/>
  <c r="AA224" i="13"/>
  <c r="AA226" i="13" s="1"/>
  <c r="BB29" i="6"/>
  <c r="BC29" i="6" s="1"/>
  <c r="BE29" i="6" s="1"/>
  <c r="AN30" i="6"/>
  <c r="Z135" i="13" s="1"/>
  <c r="AA135" i="13" s="1"/>
  <c r="AK30" i="6"/>
  <c r="AD29" i="6"/>
  <c r="AE29" i="6" s="1"/>
  <c r="AG29" i="6" s="1"/>
  <c r="F29" i="6"/>
  <c r="G29" i="6" s="1"/>
  <c r="I29" i="6" s="1"/>
  <c r="BD30" i="6" l="1"/>
  <c r="Z193" i="13" s="1"/>
  <c r="AA193" i="13" s="1"/>
  <c r="BA30" i="6"/>
  <c r="AF30" i="6"/>
  <c r="Z106" i="13" s="1"/>
  <c r="AA106" i="13" s="1"/>
  <c r="AC30" i="6"/>
  <c r="L145" i="13"/>
  <c r="AA136" i="13"/>
  <c r="AA138" i="13" s="1"/>
  <c r="BL31" i="6"/>
  <c r="BI31" i="6"/>
  <c r="AV30" i="6"/>
  <c r="Z164" i="13" s="1"/>
  <c r="AA164" i="13" s="1"/>
  <c r="AS30" i="6"/>
  <c r="AL30" i="6"/>
  <c r="AM30" i="6" s="1"/>
  <c r="AO30" i="6" s="1"/>
  <c r="P30" i="6"/>
  <c r="Z48" i="13" s="1"/>
  <c r="AA48" i="13" s="1"/>
  <c r="M30" i="6"/>
  <c r="X30" i="6"/>
  <c r="Z76" i="13" s="1"/>
  <c r="U30" i="6"/>
  <c r="H30" i="6"/>
  <c r="Z20" i="13" s="1"/>
  <c r="E30" i="6"/>
  <c r="K20" i="33"/>
  <c r="L234" i="13"/>
  <c r="BJ31" i="6" l="1"/>
  <c r="BK31" i="6" s="1"/>
  <c r="BM31" i="6" s="1"/>
  <c r="L58" i="13"/>
  <c r="AA49" i="13"/>
  <c r="AA51" i="13" s="1"/>
  <c r="L20" i="33"/>
  <c r="L146" i="13"/>
  <c r="V30" i="6"/>
  <c r="W30" i="6" s="1"/>
  <c r="Y30" i="6" s="1"/>
  <c r="N30" i="6"/>
  <c r="O30" i="6" s="1"/>
  <c r="Q30" i="6" s="1"/>
  <c r="M234" i="13"/>
  <c r="L236" i="13"/>
  <c r="AN31" i="6"/>
  <c r="AK31" i="6"/>
  <c r="AD30" i="6"/>
  <c r="AE30" i="6" s="1"/>
  <c r="AG30" i="6" s="1"/>
  <c r="L116" i="13"/>
  <c r="AA107" i="13"/>
  <c r="AA109" i="13" s="1"/>
  <c r="F30" i="6"/>
  <c r="G30" i="6" s="1"/>
  <c r="I30" i="6" s="1"/>
  <c r="AT30" i="6"/>
  <c r="AU30" i="6" s="1"/>
  <c r="AW30" i="6" s="1"/>
  <c r="BB30" i="6"/>
  <c r="BC30" i="6" s="1"/>
  <c r="BE30" i="6" s="1"/>
  <c r="Z77" i="13"/>
  <c r="Z79" i="13" s="1"/>
  <c r="AA76" i="13"/>
  <c r="Z21" i="13"/>
  <c r="Z23" i="13" s="1"/>
  <c r="AA20" i="13"/>
  <c r="L174" i="13"/>
  <c r="AA165" i="13"/>
  <c r="AA167" i="13" s="1"/>
  <c r="L203" i="13"/>
  <c r="AA194" i="13"/>
  <c r="AA196" i="13" s="1"/>
  <c r="BD31" i="6" l="1"/>
  <c r="BA31" i="6"/>
  <c r="X31" i="6"/>
  <c r="U31" i="6"/>
  <c r="AV31" i="6"/>
  <c r="AS31" i="6"/>
  <c r="F20" i="33"/>
  <c r="L59" i="13"/>
  <c r="E20" i="33"/>
  <c r="L204" i="13"/>
  <c r="M146" i="13"/>
  <c r="L148" i="13"/>
  <c r="L30" i="13"/>
  <c r="AA21" i="13"/>
  <c r="AA23" i="13" s="1"/>
  <c r="L86" i="13"/>
  <c r="AA77" i="13"/>
  <c r="AA79" i="13" s="1"/>
  <c r="P31" i="6"/>
  <c r="M31" i="6"/>
  <c r="BL32" i="6"/>
  <c r="BI32" i="6"/>
  <c r="AF31" i="6"/>
  <c r="AC31" i="6"/>
  <c r="AL31" i="6"/>
  <c r="AM31" i="6" s="1"/>
  <c r="AO31" i="6" s="1"/>
  <c r="G20" i="33"/>
  <c r="L175" i="13"/>
  <c r="H31" i="6"/>
  <c r="E31" i="6"/>
  <c r="M236" i="13"/>
  <c r="K24" i="33"/>
  <c r="H20" i="33"/>
  <c r="L117" i="13"/>
  <c r="AD31" i="6" l="1"/>
  <c r="AE31" i="6" s="1"/>
  <c r="AG31" i="6" s="1"/>
  <c r="AT31" i="6"/>
  <c r="AU31" i="6" s="1"/>
  <c r="AW31" i="6" s="1"/>
  <c r="M117" i="13"/>
  <c r="L119" i="13"/>
  <c r="AK32" i="6"/>
  <c r="AN32" i="6"/>
  <c r="M59" i="13"/>
  <c r="L61" i="13"/>
  <c r="M61" i="13" s="1"/>
  <c r="BJ32" i="6"/>
  <c r="BK32" i="6" s="1"/>
  <c r="BM32" i="6" s="1"/>
  <c r="J20" i="33"/>
  <c r="L87" i="13"/>
  <c r="I20" i="33"/>
  <c r="L31" i="13"/>
  <c r="F31" i="6"/>
  <c r="G31" i="6" s="1"/>
  <c r="I31" i="6" s="1"/>
  <c r="L24" i="33"/>
  <c r="M148" i="13"/>
  <c r="V31" i="6"/>
  <c r="W31" i="6" s="1"/>
  <c r="Y31" i="6" s="1"/>
  <c r="M175" i="13"/>
  <c r="L177" i="13"/>
  <c r="N31" i="6"/>
  <c r="O31" i="6" s="1"/>
  <c r="Q31" i="6" s="1"/>
  <c r="M204" i="13"/>
  <c r="L206" i="13"/>
  <c r="BB31" i="6"/>
  <c r="BC31" i="6" s="1"/>
  <c r="BE31" i="6" s="1"/>
  <c r="BD32" i="6" l="1"/>
  <c r="BA32" i="6"/>
  <c r="AL32" i="6"/>
  <c r="AM32" i="6" s="1"/>
  <c r="AO32" i="6" s="1"/>
  <c r="L89" i="13"/>
  <c r="M87" i="13"/>
  <c r="H24" i="33"/>
  <c r="M119" i="13"/>
  <c r="M177" i="13"/>
  <c r="G24" i="33"/>
  <c r="E24" i="33"/>
  <c r="M206" i="13"/>
  <c r="H32" i="6"/>
  <c r="E32" i="6"/>
  <c r="AF32" i="6"/>
  <c r="AC32" i="6"/>
  <c r="L33" i="13"/>
  <c r="M31" i="13"/>
  <c r="X32" i="6"/>
  <c r="U32" i="6"/>
  <c r="BL33" i="6"/>
  <c r="BI33" i="6"/>
  <c r="AV32" i="6"/>
  <c r="AS32" i="6"/>
  <c r="P32" i="6"/>
  <c r="M32" i="6"/>
  <c r="AN33" i="6" l="1"/>
  <c r="AK33" i="6"/>
  <c r="BJ33" i="6"/>
  <c r="BK33" i="6" s="1"/>
  <c r="BM33" i="6" s="1"/>
  <c r="F32" i="6"/>
  <c r="G32" i="6" s="1"/>
  <c r="I32" i="6" s="1"/>
  <c r="AT32" i="6"/>
  <c r="AU32" i="6" s="1"/>
  <c r="AW32" i="6" s="1"/>
  <c r="AD32" i="6"/>
  <c r="AE32" i="6" s="1"/>
  <c r="AG32" i="6" s="1"/>
  <c r="BB32" i="6"/>
  <c r="BC32" i="6" s="1"/>
  <c r="BE32" i="6" s="1"/>
  <c r="M89" i="13"/>
  <c r="J24" i="33"/>
  <c r="V32" i="6"/>
  <c r="W32" i="6" s="1"/>
  <c r="Y32" i="6" s="1"/>
  <c r="N32" i="6"/>
  <c r="O32" i="6" s="1"/>
  <c r="Q32" i="6" s="1"/>
  <c r="M33" i="13"/>
  <c r="I24" i="33"/>
  <c r="X33" i="6" l="1"/>
  <c r="U33" i="6"/>
  <c r="BI34" i="6"/>
  <c r="BL34" i="6"/>
  <c r="AV33" i="6"/>
  <c r="AS33" i="6"/>
  <c r="BD33" i="6"/>
  <c r="BA33" i="6"/>
  <c r="AC33" i="6"/>
  <c r="AF33" i="6"/>
  <c r="AL33" i="6"/>
  <c r="AM33" i="6" s="1"/>
  <c r="AO33" i="6" s="1"/>
  <c r="H33" i="6"/>
  <c r="E33" i="6"/>
  <c r="P33" i="6"/>
  <c r="M33" i="6"/>
  <c r="BB33" i="6" l="1"/>
  <c r="BC33" i="6" s="1"/>
  <c r="BE33" i="6" s="1"/>
  <c r="BJ34" i="6"/>
  <c r="BK34" i="6" s="1"/>
  <c r="BM34" i="6" s="1"/>
  <c r="AN34" i="6"/>
  <c r="AK34" i="6"/>
  <c r="V33" i="6"/>
  <c r="W33" i="6" s="1"/>
  <c r="Y33" i="6" s="1"/>
  <c r="N33" i="6"/>
  <c r="O33" i="6" s="1"/>
  <c r="Q33" i="6" s="1"/>
  <c r="F33" i="6"/>
  <c r="G33" i="6" s="1"/>
  <c r="I33" i="6" s="1"/>
  <c r="AT33" i="6"/>
  <c r="AU33" i="6" s="1"/>
  <c r="AW33" i="6" s="1"/>
  <c r="AD33" i="6"/>
  <c r="AE33" i="6" s="1"/>
  <c r="AG33" i="6" s="1"/>
  <c r="X34" i="6" l="1"/>
  <c r="U34" i="6"/>
  <c r="AV34" i="6"/>
  <c r="AS34" i="6"/>
  <c r="BL35" i="6"/>
  <c r="BI35" i="6"/>
  <c r="BD34" i="6"/>
  <c r="BA34" i="6"/>
  <c r="AF34" i="6"/>
  <c r="AC34" i="6"/>
  <c r="AL34" i="6"/>
  <c r="AM34" i="6" s="1"/>
  <c r="AO34" i="6" s="1"/>
  <c r="H34" i="6"/>
  <c r="E34" i="6"/>
  <c r="P34" i="6"/>
  <c r="M34" i="6"/>
  <c r="N34" i="6" l="1"/>
  <c r="O34" i="6" s="1"/>
  <c r="Q34" i="6" s="1"/>
  <c r="BB34" i="6"/>
  <c r="BC34" i="6" s="1"/>
  <c r="BE34" i="6" s="1"/>
  <c r="AT34" i="6"/>
  <c r="AU34" i="6" s="1"/>
  <c r="AW34" i="6" s="1"/>
  <c r="AD34" i="6"/>
  <c r="AE34" i="6" s="1"/>
  <c r="AG34" i="6" s="1"/>
  <c r="V34" i="6"/>
  <c r="W34" i="6" s="1"/>
  <c r="Y34" i="6" s="1"/>
  <c r="F34" i="6"/>
  <c r="G34" i="6" s="1"/>
  <c r="I34" i="6" s="1"/>
  <c r="BJ35" i="6"/>
  <c r="BK35" i="6" s="1"/>
  <c r="BM35" i="6" s="1"/>
  <c r="AN35" i="6"/>
  <c r="AK35" i="6"/>
  <c r="BD35" i="6" l="1"/>
  <c r="BA35" i="6"/>
  <c r="AL35" i="6"/>
  <c r="AM35" i="6" s="1"/>
  <c r="AO35" i="6" s="1"/>
  <c r="AV35" i="6"/>
  <c r="AS35" i="6"/>
  <c r="H35" i="6"/>
  <c r="E35" i="6"/>
  <c r="P35" i="6"/>
  <c r="M35" i="6"/>
  <c r="AF35" i="6"/>
  <c r="AC35" i="6"/>
  <c r="BL36" i="6"/>
  <c r="BI36" i="6"/>
  <c r="X35" i="6"/>
  <c r="U35" i="6"/>
  <c r="V35" i="6" l="1"/>
  <c r="W35" i="6" s="1"/>
  <c r="Y35" i="6" s="1"/>
  <c r="F35" i="6"/>
  <c r="G35" i="6" s="1"/>
  <c r="I35" i="6" s="1"/>
  <c r="BJ36" i="6"/>
  <c r="BK36" i="6" s="1"/>
  <c r="BM36" i="6" s="1"/>
  <c r="AT35" i="6"/>
  <c r="AU35" i="6" s="1"/>
  <c r="AW35" i="6" s="1"/>
  <c r="N35" i="6"/>
  <c r="O35" i="6" s="1"/>
  <c r="Q35" i="6" s="1"/>
  <c r="BB35" i="6"/>
  <c r="BC35" i="6" s="1"/>
  <c r="BE35" i="6" s="1"/>
  <c r="AD35" i="6"/>
  <c r="AE35" i="6" s="1"/>
  <c r="AG35" i="6" s="1"/>
  <c r="AN36" i="6"/>
  <c r="AK36" i="6"/>
  <c r="AV36" i="6" l="1"/>
  <c r="AS36" i="6"/>
  <c r="AF36" i="6"/>
  <c r="AC36" i="6"/>
  <c r="BD36" i="6"/>
  <c r="BA36" i="6"/>
  <c r="P36" i="6"/>
  <c r="M36" i="6"/>
  <c r="AL36" i="6"/>
  <c r="AM36" i="6" s="1"/>
  <c r="AO36" i="6" s="1"/>
  <c r="BI37" i="6"/>
  <c r="BL37" i="6"/>
  <c r="H36" i="6"/>
  <c r="E36" i="6"/>
  <c r="X36" i="6"/>
  <c r="U36" i="6"/>
  <c r="V36" i="6" l="1"/>
  <c r="W36" i="6" s="1"/>
  <c r="Y36" i="6" s="1"/>
  <c r="N36" i="6"/>
  <c r="O36" i="6" s="1"/>
  <c r="Q36" i="6" s="1"/>
  <c r="AD36" i="6"/>
  <c r="AE36" i="6" s="1"/>
  <c r="AG36" i="6" s="1"/>
  <c r="AN37" i="6"/>
  <c r="AK37" i="6"/>
  <c r="AT36" i="6"/>
  <c r="AU36" i="6" s="1"/>
  <c r="AW36" i="6" s="1"/>
  <c r="F36" i="6"/>
  <c r="G36" i="6" s="1"/>
  <c r="I36" i="6" s="1"/>
  <c r="BB36" i="6"/>
  <c r="BC36" i="6" s="1"/>
  <c r="BE36" i="6" s="1"/>
  <c r="BJ37" i="6"/>
  <c r="BK37" i="6" s="1"/>
  <c r="BM37" i="6" s="1"/>
  <c r="H37" i="6" l="1"/>
  <c r="E37" i="6"/>
  <c r="BL38" i="6"/>
  <c r="BI38" i="6"/>
  <c r="BA37" i="6"/>
  <c r="BD37" i="6"/>
  <c r="P37" i="6"/>
  <c r="M37" i="6"/>
  <c r="X37" i="6"/>
  <c r="U37" i="6"/>
  <c r="AL37" i="6"/>
  <c r="AM37" i="6" s="1"/>
  <c r="AO37" i="6" s="1"/>
  <c r="AF37" i="6"/>
  <c r="AC37" i="6"/>
  <c r="AV37" i="6"/>
  <c r="AS37" i="6"/>
  <c r="AT37" i="6" l="1"/>
  <c r="AU37" i="6" s="1"/>
  <c r="AW37" i="6" s="1"/>
  <c r="N37" i="6"/>
  <c r="O37" i="6" s="1"/>
  <c r="Q37" i="6" s="1"/>
  <c r="AN38" i="6"/>
  <c r="AK38" i="6"/>
  <c r="F37" i="6"/>
  <c r="G37" i="6" s="1"/>
  <c r="I37" i="6" s="1"/>
  <c r="AD37" i="6"/>
  <c r="AE37" i="6" s="1"/>
  <c r="AG37" i="6" s="1"/>
  <c r="BB37" i="6"/>
  <c r="BC37" i="6" s="1"/>
  <c r="BE37" i="6" s="1"/>
  <c r="BJ38" i="6"/>
  <c r="BK38" i="6" s="1"/>
  <c r="BM38" i="6" s="1"/>
  <c r="V37" i="6"/>
  <c r="W37" i="6" s="1"/>
  <c r="Y37" i="6" s="1"/>
  <c r="H38" i="6" l="1"/>
  <c r="E38" i="6"/>
  <c r="BL39" i="6"/>
  <c r="BI39" i="6"/>
  <c r="P38" i="6"/>
  <c r="M38" i="6"/>
  <c r="AV38" i="6"/>
  <c r="AS38" i="6"/>
  <c r="X38" i="6"/>
  <c r="U38" i="6"/>
  <c r="AL38" i="6"/>
  <c r="AM38" i="6" s="1"/>
  <c r="AO38" i="6" s="1"/>
  <c r="BD38" i="6"/>
  <c r="BA38" i="6"/>
  <c r="AF38" i="6"/>
  <c r="AC38" i="6"/>
  <c r="AD38" i="6" l="1"/>
  <c r="AE38" i="6" s="1"/>
  <c r="AG38" i="6" s="1"/>
  <c r="AT38" i="6"/>
  <c r="AU38" i="6" s="1"/>
  <c r="AW38" i="6" s="1"/>
  <c r="BB38" i="6"/>
  <c r="BC38" i="6" s="1"/>
  <c r="BE38" i="6" s="1"/>
  <c r="N38" i="6"/>
  <c r="O38" i="6" s="1"/>
  <c r="Q38" i="6" s="1"/>
  <c r="AN39" i="6"/>
  <c r="AK39" i="6"/>
  <c r="V38" i="6"/>
  <c r="W38" i="6" s="1"/>
  <c r="Y38" i="6" s="1"/>
  <c r="F38" i="6"/>
  <c r="G38" i="6" s="1"/>
  <c r="I38" i="6" s="1"/>
  <c r="BJ39" i="6"/>
  <c r="BK39" i="6" s="1"/>
  <c r="BM39" i="6" s="1"/>
  <c r="AV39" i="6" l="1"/>
  <c r="AS39" i="6"/>
  <c r="BL40" i="6"/>
  <c r="BI40" i="6"/>
  <c r="H39" i="6"/>
  <c r="E39" i="6"/>
  <c r="AF39" i="6"/>
  <c r="AC39" i="6"/>
  <c r="M39" i="6"/>
  <c r="P39" i="6"/>
  <c r="BD39" i="6"/>
  <c r="BA39" i="6"/>
  <c r="X39" i="6"/>
  <c r="U39" i="6"/>
  <c r="AL39" i="6"/>
  <c r="AM39" i="6" s="1"/>
  <c r="AO39" i="6" s="1"/>
  <c r="AD39" i="6" l="1"/>
  <c r="AE39" i="6" s="1"/>
  <c r="AG39" i="6" s="1"/>
  <c r="V39" i="6"/>
  <c r="W39" i="6" s="1"/>
  <c r="Y39" i="6" s="1"/>
  <c r="F39" i="6"/>
  <c r="G39" i="6" s="1"/>
  <c r="I39" i="6" s="1"/>
  <c r="BB39" i="6"/>
  <c r="BC39" i="6" s="1"/>
  <c r="BE39" i="6" s="1"/>
  <c r="AT39" i="6"/>
  <c r="AU39" i="6" s="1"/>
  <c r="AW39" i="6" s="1"/>
  <c r="AN40" i="6"/>
  <c r="AK40" i="6"/>
  <c r="BJ40" i="6"/>
  <c r="BK40" i="6" s="1"/>
  <c r="BM40" i="6" s="1"/>
  <c r="N39" i="6"/>
  <c r="O39" i="6" s="1"/>
  <c r="Q39" i="6" s="1"/>
  <c r="X40" i="6" l="1"/>
  <c r="U40" i="6"/>
  <c r="P40" i="6"/>
  <c r="M40" i="6"/>
  <c r="BL41" i="6"/>
  <c r="BI41" i="6"/>
  <c r="AL40" i="6"/>
  <c r="AM40" i="6" s="1"/>
  <c r="AO40" i="6" s="1"/>
  <c r="H40" i="6"/>
  <c r="E40" i="6"/>
  <c r="AV40" i="6"/>
  <c r="AS40" i="6"/>
  <c r="BD40" i="6"/>
  <c r="BA40" i="6"/>
  <c r="AF40" i="6"/>
  <c r="AC40" i="6"/>
  <c r="AN41" i="6" l="1"/>
  <c r="AK41" i="6"/>
  <c r="BB40" i="6"/>
  <c r="BC40" i="6" s="1"/>
  <c r="BE40" i="6" s="1"/>
  <c r="BJ41" i="6"/>
  <c r="BK41" i="6" s="1"/>
  <c r="BM41" i="6" s="1"/>
  <c r="AT40" i="6"/>
  <c r="AU40" i="6" s="1"/>
  <c r="AW40" i="6" s="1"/>
  <c r="N40" i="6"/>
  <c r="O40" i="6" s="1"/>
  <c r="Q40" i="6" s="1"/>
  <c r="F40" i="6"/>
  <c r="G40" i="6" s="1"/>
  <c r="I40" i="6" s="1"/>
  <c r="V40" i="6"/>
  <c r="W40" i="6" s="1"/>
  <c r="Y40" i="6" s="1"/>
  <c r="AD40" i="6"/>
  <c r="AE40" i="6" s="1"/>
  <c r="AG40" i="6" s="1"/>
  <c r="BL42" i="6" l="1"/>
  <c r="BI42" i="6"/>
  <c r="BD41" i="6"/>
  <c r="BA41" i="6"/>
  <c r="AV41" i="6"/>
  <c r="AS41" i="6"/>
  <c r="H41" i="6"/>
  <c r="E41" i="6"/>
  <c r="AL41" i="6"/>
  <c r="AM41" i="6" s="1"/>
  <c r="AO41" i="6" s="1"/>
  <c r="AF41" i="6"/>
  <c r="AC41" i="6"/>
  <c r="X41" i="6"/>
  <c r="U41" i="6"/>
  <c r="P41" i="6"/>
  <c r="M41" i="6"/>
  <c r="AN42" i="6" l="1"/>
  <c r="AK42" i="6"/>
  <c r="AT41" i="6"/>
  <c r="AU41" i="6" s="1"/>
  <c r="AW41" i="6" s="1"/>
  <c r="N41" i="6"/>
  <c r="O41" i="6" s="1"/>
  <c r="Q41" i="6" s="1"/>
  <c r="F41" i="6"/>
  <c r="G41" i="6" s="1"/>
  <c r="I41" i="6" s="1"/>
  <c r="V41" i="6"/>
  <c r="W41" i="6" s="1"/>
  <c r="Y41" i="6" s="1"/>
  <c r="AD41" i="6"/>
  <c r="AE41" i="6" s="1"/>
  <c r="AG41" i="6" s="1"/>
  <c r="BB41" i="6"/>
  <c r="BC41" i="6" s="1"/>
  <c r="BE41" i="6" s="1"/>
  <c r="BJ42" i="6"/>
  <c r="BK42" i="6" s="1"/>
  <c r="BM42" i="6" s="1"/>
  <c r="X42" i="6" l="1"/>
  <c r="U42" i="6"/>
  <c r="H42" i="6"/>
  <c r="E42" i="6"/>
  <c r="BD42" i="6"/>
  <c r="BA42" i="6"/>
  <c r="BL43" i="6"/>
  <c r="BI43" i="6"/>
  <c r="AF42" i="6"/>
  <c r="AC42" i="6"/>
  <c r="AL42" i="6"/>
  <c r="AM42" i="6" s="1"/>
  <c r="AO42" i="6" s="1"/>
  <c r="P42" i="6"/>
  <c r="M42" i="6"/>
  <c r="AV42" i="6"/>
  <c r="AS42" i="6"/>
  <c r="N42" i="6" l="1"/>
  <c r="O42" i="6" s="1"/>
  <c r="Q42" i="6" s="1"/>
  <c r="BB42" i="6"/>
  <c r="BC42" i="6" s="1"/>
  <c r="BE42" i="6" s="1"/>
  <c r="AT42" i="6"/>
  <c r="AU42" i="6" s="1"/>
  <c r="AW42" i="6" s="1"/>
  <c r="BJ43" i="6"/>
  <c r="BK43" i="6" s="1"/>
  <c r="BM43" i="6" s="1"/>
  <c r="AN43" i="6"/>
  <c r="AK43" i="6"/>
  <c r="AD42" i="6"/>
  <c r="AE42" i="6" s="1"/>
  <c r="AG42" i="6" s="1"/>
  <c r="V42" i="6"/>
  <c r="W42" i="6" s="1"/>
  <c r="Y42" i="6" s="1"/>
  <c r="F42" i="6"/>
  <c r="G42" i="6" s="1"/>
  <c r="I42" i="6" s="1"/>
  <c r="H43" i="6" l="1"/>
  <c r="E43" i="6"/>
  <c r="AV43" i="6"/>
  <c r="AS43" i="6"/>
  <c r="AF43" i="6"/>
  <c r="AC43" i="6"/>
  <c r="P43" i="6"/>
  <c r="M43" i="6"/>
  <c r="BI44" i="6"/>
  <c r="BL44" i="6"/>
  <c r="X43" i="6"/>
  <c r="U43" i="6"/>
  <c r="BD43" i="6"/>
  <c r="BA43" i="6"/>
  <c r="AL43" i="6"/>
  <c r="AM43" i="6" s="1"/>
  <c r="AO43" i="6" s="1"/>
  <c r="AN44" i="6" l="1"/>
  <c r="AK44" i="6"/>
  <c r="N43" i="6"/>
  <c r="O43" i="6" s="1"/>
  <c r="Q43" i="6" s="1"/>
  <c r="V43" i="6"/>
  <c r="W43" i="6" s="1"/>
  <c r="Y43" i="6" s="1"/>
  <c r="BB43" i="6"/>
  <c r="BC43" i="6" s="1"/>
  <c r="BE43" i="6" s="1"/>
  <c r="AD43" i="6"/>
  <c r="AE43" i="6" s="1"/>
  <c r="AG43" i="6" s="1"/>
  <c r="AT43" i="6"/>
  <c r="AU43" i="6" s="1"/>
  <c r="AW43" i="6" s="1"/>
  <c r="F43" i="6"/>
  <c r="G43" i="6" s="1"/>
  <c r="I43" i="6" s="1"/>
  <c r="BJ44" i="6"/>
  <c r="BK44" i="6" s="1"/>
  <c r="BM44" i="6" s="1"/>
  <c r="BA44" i="6" l="1"/>
  <c r="BD44" i="6"/>
  <c r="AV44" i="6"/>
  <c r="AS44" i="6"/>
  <c r="BL45" i="6"/>
  <c r="BI45" i="6"/>
  <c r="H44" i="6"/>
  <c r="E44" i="6"/>
  <c r="AL44" i="6"/>
  <c r="AM44" i="6" s="1"/>
  <c r="AO44" i="6" s="1"/>
  <c r="X44" i="6"/>
  <c r="U44" i="6"/>
  <c r="P44" i="6"/>
  <c r="M44" i="6"/>
  <c r="AF44" i="6"/>
  <c r="AC44" i="6"/>
  <c r="AD44" i="6" l="1"/>
  <c r="AE44" i="6" s="1"/>
  <c r="AG44" i="6" s="1"/>
  <c r="F44" i="6"/>
  <c r="G44" i="6" s="1"/>
  <c r="I44" i="6" s="1"/>
  <c r="BJ45" i="6"/>
  <c r="BK45" i="6" s="1"/>
  <c r="BM45" i="6" s="1"/>
  <c r="AT44" i="6"/>
  <c r="AU44" i="6" s="1"/>
  <c r="AW44" i="6" s="1"/>
  <c r="N44" i="6"/>
  <c r="O44" i="6" s="1"/>
  <c r="Q44" i="6" s="1"/>
  <c r="V44" i="6"/>
  <c r="W44" i="6" s="1"/>
  <c r="Y44" i="6" s="1"/>
  <c r="AN45" i="6"/>
  <c r="AK45" i="6"/>
  <c r="BB44" i="6"/>
  <c r="BC44" i="6" s="1"/>
  <c r="BE44" i="6" s="1"/>
  <c r="BD45" i="6" l="1"/>
  <c r="BA45" i="6"/>
  <c r="AV45" i="6"/>
  <c r="AS45" i="6"/>
  <c r="AL45" i="6"/>
  <c r="AM45" i="6" s="1"/>
  <c r="AO45" i="6" s="1"/>
  <c r="X45" i="6"/>
  <c r="U45" i="6"/>
  <c r="AF45" i="6"/>
  <c r="AC45" i="6"/>
  <c r="BL46" i="6"/>
  <c r="BI46" i="6"/>
  <c r="H45" i="6"/>
  <c r="E45" i="6"/>
  <c r="M45" i="6"/>
  <c r="P45" i="6"/>
  <c r="AN46" i="6" l="1"/>
  <c r="AK46" i="6"/>
  <c r="AT45" i="6"/>
  <c r="AU45" i="6" s="1"/>
  <c r="AW45" i="6" s="1"/>
  <c r="AD45" i="6"/>
  <c r="AE45" i="6" s="1"/>
  <c r="AG45" i="6" s="1"/>
  <c r="BB45" i="6"/>
  <c r="BC45" i="6" s="1"/>
  <c r="BE45" i="6" s="1"/>
  <c r="V45" i="6"/>
  <c r="W45" i="6" s="1"/>
  <c r="Y45" i="6" s="1"/>
  <c r="N45" i="6"/>
  <c r="O45" i="6" s="1"/>
  <c r="Q45" i="6" s="1"/>
  <c r="F45" i="6"/>
  <c r="G45" i="6" s="1"/>
  <c r="I45" i="6" s="1"/>
  <c r="BJ46" i="6"/>
  <c r="BK46" i="6" s="1"/>
  <c r="BM46" i="6" s="1"/>
  <c r="BD46" i="6" l="1"/>
  <c r="BA46" i="6"/>
  <c r="H46" i="6"/>
  <c r="E46" i="6"/>
  <c r="BL47" i="6"/>
  <c r="BI47" i="6"/>
  <c r="AV46" i="6"/>
  <c r="AS46" i="6"/>
  <c r="AL46" i="6"/>
  <c r="AM46" i="6" s="1"/>
  <c r="AO46" i="6" s="1"/>
  <c r="AF46" i="6"/>
  <c r="AC46" i="6"/>
  <c r="P46" i="6"/>
  <c r="M46" i="6"/>
  <c r="X46" i="6"/>
  <c r="U46" i="6"/>
  <c r="AT46" i="6" l="1"/>
  <c r="AU46" i="6" s="1"/>
  <c r="AW46" i="6" s="1"/>
  <c r="BJ47" i="6"/>
  <c r="BK47" i="6" s="1"/>
  <c r="BM47" i="6" s="1"/>
  <c r="AD46" i="6"/>
  <c r="AE46" i="6" s="1"/>
  <c r="AG46" i="6" s="1"/>
  <c r="AN47" i="6"/>
  <c r="AK47" i="6"/>
  <c r="BB46" i="6"/>
  <c r="BC46" i="6" s="1"/>
  <c r="BE46" i="6" s="1"/>
  <c r="V46" i="6"/>
  <c r="W46" i="6" s="1"/>
  <c r="Y46" i="6" s="1"/>
  <c r="N46" i="6"/>
  <c r="O46" i="6" s="1"/>
  <c r="Q46" i="6" s="1"/>
  <c r="F46" i="6"/>
  <c r="G46" i="6" s="1"/>
  <c r="I46" i="6" s="1"/>
  <c r="AL47" i="6" l="1"/>
  <c r="AM47" i="6" s="1"/>
  <c r="AO47" i="6" s="1"/>
  <c r="P47" i="6"/>
  <c r="M47" i="6"/>
  <c r="X47" i="6"/>
  <c r="U47" i="6"/>
  <c r="AV47" i="6"/>
  <c r="AS47" i="6"/>
  <c r="H47" i="6"/>
  <c r="E47" i="6"/>
  <c r="AF47" i="6"/>
  <c r="AC47" i="6"/>
  <c r="BI48" i="6"/>
  <c r="BL48" i="6"/>
  <c r="BD47" i="6"/>
  <c r="BA47" i="6"/>
  <c r="BJ48" i="6" l="1"/>
  <c r="BK48" i="6" s="1"/>
  <c r="BM48" i="6" s="1"/>
  <c r="BB47" i="6"/>
  <c r="BC47" i="6" s="1"/>
  <c r="BE47" i="6" s="1"/>
  <c r="N47" i="6"/>
  <c r="O47" i="6" s="1"/>
  <c r="Q47" i="6" s="1"/>
  <c r="AN48" i="6"/>
  <c r="AK48" i="6"/>
  <c r="AT47" i="6"/>
  <c r="AU47" i="6" s="1"/>
  <c r="AW47" i="6" s="1"/>
  <c r="V47" i="6"/>
  <c r="W47" i="6" s="1"/>
  <c r="Y47" i="6" s="1"/>
  <c r="AD47" i="6"/>
  <c r="AE47" i="6" s="1"/>
  <c r="AG47" i="6" s="1"/>
  <c r="F47" i="6"/>
  <c r="G47" i="6" s="1"/>
  <c r="I47" i="6" s="1"/>
  <c r="AF48" i="6" l="1"/>
  <c r="AC48" i="6"/>
  <c r="X48" i="6"/>
  <c r="U48" i="6"/>
  <c r="BL49" i="6"/>
  <c r="BI49" i="6"/>
  <c r="H48" i="6"/>
  <c r="E48" i="6"/>
  <c r="AV48" i="6"/>
  <c r="AS48" i="6"/>
  <c r="AL48" i="6"/>
  <c r="AM48" i="6" s="1"/>
  <c r="AO48" i="6" s="1"/>
  <c r="P48" i="6"/>
  <c r="M48" i="6"/>
  <c r="BD48" i="6"/>
  <c r="BA48" i="6"/>
  <c r="AN49" i="6" l="1"/>
  <c r="AK49" i="6"/>
  <c r="BJ49" i="6"/>
  <c r="BK49" i="6" s="1"/>
  <c r="BM49" i="6" s="1"/>
  <c r="BB48" i="6"/>
  <c r="BC48" i="6" s="1"/>
  <c r="BE48" i="6" s="1"/>
  <c r="V48" i="6"/>
  <c r="W48" i="6" s="1"/>
  <c r="Y48" i="6" s="1"/>
  <c r="AT48" i="6"/>
  <c r="AU48" i="6" s="1"/>
  <c r="AW48" i="6" s="1"/>
  <c r="AD48" i="6"/>
  <c r="AE48" i="6" s="1"/>
  <c r="AG48" i="6" s="1"/>
  <c r="F48" i="6"/>
  <c r="G48" i="6" s="1"/>
  <c r="I48" i="6" s="1"/>
  <c r="N48" i="6"/>
  <c r="O48" i="6" s="1"/>
  <c r="Q48" i="6" s="1"/>
  <c r="BD49" i="6" l="1"/>
  <c r="BA49" i="6"/>
  <c r="H49" i="6"/>
  <c r="E49" i="6"/>
  <c r="P49" i="6"/>
  <c r="M49" i="6"/>
  <c r="BL50" i="6"/>
  <c r="BI50" i="6"/>
  <c r="AV49" i="6"/>
  <c r="AS49" i="6"/>
  <c r="X49" i="6"/>
  <c r="U49" i="6"/>
  <c r="AC49" i="6"/>
  <c r="AF49" i="6"/>
  <c r="AL49" i="6"/>
  <c r="AM49" i="6" s="1"/>
  <c r="AO49" i="6" s="1"/>
  <c r="AN50" i="6" l="1"/>
  <c r="AK50" i="6"/>
  <c r="BJ50" i="6"/>
  <c r="BK50" i="6" s="1"/>
  <c r="BM50" i="6" s="1"/>
  <c r="N49" i="6"/>
  <c r="O49" i="6" s="1"/>
  <c r="Q49" i="6" s="1"/>
  <c r="AD49" i="6"/>
  <c r="AE49" i="6" s="1"/>
  <c r="AG49" i="6" s="1"/>
  <c r="V49" i="6"/>
  <c r="W49" i="6" s="1"/>
  <c r="Y49" i="6" s="1"/>
  <c r="BB49" i="6"/>
  <c r="BC49" i="6" s="1"/>
  <c r="BE49" i="6" s="1"/>
  <c r="F49" i="6"/>
  <c r="G49" i="6" s="1"/>
  <c r="I49" i="6" s="1"/>
  <c r="AT49" i="6"/>
  <c r="AU49" i="6" s="1"/>
  <c r="AW49" i="6" s="1"/>
  <c r="P50" i="6" l="1"/>
  <c r="M50" i="6"/>
  <c r="AF50" i="6"/>
  <c r="AC50" i="6"/>
  <c r="H50" i="6"/>
  <c r="E50" i="6"/>
  <c r="BL51" i="6"/>
  <c r="BI51" i="6"/>
  <c r="X50" i="6"/>
  <c r="U50" i="6"/>
  <c r="AV50" i="6"/>
  <c r="AS50" i="6"/>
  <c r="BD50" i="6"/>
  <c r="BA50" i="6"/>
  <c r="AL50" i="6"/>
  <c r="AM50" i="6" s="1"/>
  <c r="AO50" i="6" s="1"/>
  <c r="AN51" i="6" l="1"/>
  <c r="AK51" i="6"/>
  <c r="BB50" i="6"/>
  <c r="BC50" i="6" s="1"/>
  <c r="BE50" i="6" s="1"/>
  <c r="AT50" i="6"/>
  <c r="AU50" i="6" s="1"/>
  <c r="AW50" i="6" s="1"/>
  <c r="BJ51" i="6"/>
  <c r="BK51" i="6" s="1"/>
  <c r="BM51" i="6" s="1"/>
  <c r="F50" i="6"/>
  <c r="G50" i="6" s="1"/>
  <c r="I50" i="6" s="1"/>
  <c r="N50" i="6"/>
  <c r="O50" i="6" s="1"/>
  <c r="Q50" i="6" s="1"/>
  <c r="AD50" i="6"/>
  <c r="AE50" i="6" s="1"/>
  <c r="AG50" i="6" s="1"/>
  <c r="V50" i="6"/>
  <c r="W50" i="6" s="1"/>
  <c r="Y50" i="6" s="1"/>
  <c r="P51" i="6" l="1"/>
  <c r="M51" i="6"/>
  <c r="X51" i="6"/>
  <c r="U51" i="6"/>
  <c r="AV51" i="6"/>
  <c r="AS51" i="6"/>
  <c r="H51" i="6"/>
  <c r="E51" i="6"/>
  <c r="BL52" i="6"/>
  <c r="BI52" i="6"/>
  <c r="AF51" i="6"/>
  <c r="AC51" i="6"/>
  <c r="BD51" i="6"/>
  <c r="BA51" i="6"/>
  <c r="AL51" i="6"/>
  <c r="AM51" i="6" s="1"/>
  <c r="AO51" i="6" s="1"/>
  <c r="AN52" i="6" l="1"/>
  <c r="AK52" i="6"/>
  <c r="F51" i="6"/>
  <c r="G51" i="6" s="1"/>
  <c r="I51" i="6" s="1"/>
  <c r="AT51" i="6"/>
  <c r="AU51" i="6" s="1"/>
  <c r="AW51" i="6" s="1"/>
  <c r="V51" i="6"/>
  <c r="W51" i="6" s="1"/>
  <c r="Y51" i="6" s="1"/>
  <c r="BB51" i="6"/>
  <c r="BC51" i="6" s="1"/>
  <c r="BE51" i="6" s="1"/>
  <c r="N51" i="6"/>
  <c r="O51" i="6" s="1"/>
  <c r="Q51" i="6" s="1"/>
  <c r="AD51" i="6"/>
  <c r="AE51" i="6" s="1"/>
  <c r="AG51" i="6" s="1"/>
  <c r="BJ52" i="6"/>
  <c r="BK52" i="6" s="1"/>
  <c r="BM52" i="6" s="1"/>
  <c r="X52" i="6" l="1"/>
  <c r="U52" i="6"/>
  <c r="BI53" i="6"/>
  <c r="BL53" i="6"/>
  <c r="AF52" i="6"/>
  <c r="AC52" i="6"/>
  <c r="P52" i="6"/>
  <c r="M52" i="6"/>
  <c r="AL52" i="6"/>
  <c r="AM52" i="6" s="1"/>
  <c r="AO52" i="6" s="1"/>
  <c r="AV52" i="6"/>
  <c r="AS52" i="6"/>
  <c r="H52" i="6"/>
  <c r="E52" i="6"/>
  <c r="BD52" i="6"/>
  <c r="BA52" i="6"/>
  <c r="AD52" i="6" l="1"/>
  <c r="AE52" i="6" s="1"/>
  <c r="AG52" i="6" s="1"/>
  <c r="N52" i="6"/>
  <c r="O52" i="6" s="1"/>
  <c r="Q52" i="6" s="1"/>
  <c r="F52" i="6"/>
  <c r="G52" i="6" s="1"/>
  <c r="I52" i="6" s="1"/>
  <c r="AN53" i="6"/>
  <c r="AK53" i="6"/>
  <c r="BB52" i="6"/>
  <c r="BC52" i="6" s="1"/>
  <c r="BE52" i="6" s="1"/>
  <c r="AT52" i="6"/>
  <c r="AU52" i="6" s="1"/>
  <c r="AW52" i="6" s="1"/>
  <c r="BJ53" i="6"/>
  <c r="BK53" i="6" s="1"/>
  <c r="BM53" i="6" s="1"/>
  <c r="V52" i="6"/>
  <c r="W52" i="6" s="1"/>
  <c r="Y52" i="6" s="1"/>
  <c r="X53" i="6" l="1"/>
  <c r="U53" i="6"/>
  <c r="BI54" i="6"/>
  <c r="BL54" i="6"/>
  <c r="H53" i="6"/>
  <c r="E53" i="6"/>
  <c r="P53" i="6"/>
  <c r="M53" i="6"/>
  <c r="AL53" i="6"/>
  <c r="AM53" i="6" s="1"/>
  <c r="AO53" i="6" s="1"/>
  <c r="AV53" i="6"/>
  <c r="AS53" i="6"/>
  <c r="BA53" i="6"/>
  <c r="BD53" i="6"/>
  <c r="AF53" i="6"/>
  <c r="AC53" i="6"/>
  <c r="AD53" i="6" l="1"/>
  <c r="AE53" i="6" s="1"/>
  <c r="AG53" i="6" s="1"/>
  <c r="F53" i="6"/>
  <c r="G53" i="6" s="1"/>
  <c r="I53" i="6" s="1"/>
  <c r="AT53" i="6"/>
  <c r="AU53" i="6" s="1"/>
  <c r="AW53" i="6" s="1"/>
  <c r="N53" i="6"/>
  <c r="O53" i="6" s="1"/>
  <c r="Q53" i="6" s="1"/>
  <c r="BB53" i="6"/>
  <c r="BC53" i="6" s="1"/>
  <c r="BE53" i="6" s="1"/>
  <c r="BJ54" i="6"/>
  <c r="BK54" i="6" s="1"/>
  <c r="BM54" i="6" s="1"/>
  <c r="AN54" i="6"/>
  <c r="AK54" i="6"/>
  <c r="V53" i="6"/>
  <c r="W53" i="6" s="1"/>
  <c r="Y53" i="6" s="1"/>
  <c r="H54" i="6" l="1"/>
  <c r="E54" i="6"/>
  <c r="P54" i="6"/>
  <c r="M54" i="6"/>
  <c r="BI55" i="6"/>
  <c r="BL55" i="6"/>
  <c r="X54" i="6"/>
  <c r="U54" i="6"/>
  <c r="AL54" i="6"/>
  <c r="AM54" i="6" s="1"/>
  <c r="AO54" i="6" s="1"/>
  <c r="AV54" i="6"/>
  <c r="AS54" i="6"/>
  <c r="BD54" i="6"/>
  <c r="BA54" i="6"/>
  <c r="AF54" i="6"/>
  <c r="AC54" i="6"/>
  <c r="AD54" i="6" l="1"/>
  <c r="AE54" i="6" s="1"/>
  <c r="AG54" i="6" s="1"/>
  <c r="AT54" i="6"/>
  <c r="AU54" i="6" s="1"/>
  <c r="AW54" i="6" s="1"/>
  <c r="N54" i="6"/>
  <c r="O54" i="6" s="1"/>
  <c r="Q54" i="6" s="1"/>
  <c r="V54" i="6"/>
  <c r="W54" i="6" s="1"/>
  <c r="Y54" i="6" s="1"/>
  <c r="BB54" i="6"/>
  <c r="BC54" i="6" s="1"/>
  <c r="BE54" i="6" s="1"/>
  <c r="BJ55" i="6"/>
  <c r="BK55" i="6" s="1"/>
  <c r="BM55" i="6" s="1"/>
  <c r="AN55" i="6"/>
  <c r="AK55" i="6"/>
  <c r="F54" i="6"/>
  <c r="G54" i="6" s="1"/>
  <c r="I54" i="6" s="1"/>
  <c r="AV55" i="6" l="1"/>
  <c r="AS55" i="6"/>
  <c r="BL56" i="6"/>
  <c r="BI56" i="6"/>
  <c r="H55" i="6"/>
  <c r="E55" i="6"/>
  <c r="AL55" i="6"/>
  <c r="AM55" i="6" s="1"/>
  <c r="AO55" i="6" s="1"/>
  <c r="X55" i="6"/>
  <c r="U55" i="6"/>
  <c r="P55" i="6"/>
  <c r="M55" i="6"/>
  <c r="BD55" i="6"/>
  <c r="BA55" i="6"/>
  <c r="AF55" i="6"/>
  <c r="AC55" i="6"/>
  <c r="F55" i="6" l="1"/>
  <c r="G55" i="6" s="1"/>
  <c r="I55" i="6" s="1"/>
  <c r="AN56" i="6"/>
  <c r="AK56" i="6"/>
  <c r="N55" i="6"/>
  <c r="O55" i="6" s="1"/>
  <c r="Q55" i="6" s="1"/>
  <c r="V55" i="6"/>
  <c r="W55" i="6" s="1"/>
  <c r="Y55" i="6" s="1"/>
  <c r="AT55" i="6"/>
  <c r="AU55" i="6" s="1"/>
  <c r="AW55" i="6" s="1"/>
  <c r="AD55" i="6"/>
  <c r="AE55" i="6" s="1"/>
  <c r="AG55" i="6" s="1"/>
  <c r="BB55" i="6"/>
  <c r="BC55" i="6" s="1"/>
  <c r="BE55" i="6" s="1"/>
  <c r="BJ56" i="6"/>
  <c r="BK56" i="6" s="1"/>
  <c r="BM56" i="6" s="1"/>
  <c r="BI57" i="6" l="1"/>
  <c r="BL57" i="6"/>
  <c r="P56" i="6"/>
  <c r="M56" i="6"/>
  <c r="AL56" i="6"/>
  <c r="AM56" i="6" s="1"/>
  <c r="AO56" i="6" s="1"/>
  <c r="H56" i="6"/>
  <c r="E56" i="6"/>
  <c r="X56" i="6"/>
  <c r="U56" i="6"/>
  <c r="BD56" i="6"/>
  <c r="BA56" i="6"/>
  <c r="AF56" i="6"/>
  <c r="AC56" i="6"/>
  <c r="AV56" i="6"/>
  <c r="AS56" i="6"/>
  <c r="AT56" i="6" l="1"/>
  <c r="AU56" i="6" s="1"/>
  <c r="AW56" i="6" s="1"/>
  <c r="AN57" i="6"/>
  <c r="AK57" i="6"/>
  <c r="AD56" i="6"/>
  <c r="AE56" i="6" s="1"/>
  <c r="AG56" i="6" s="1"/>
  <c r="BB56" i="6"/>
  <c r="BC56" i="6" s="1"/>
  <c r="BE56" i="6" s="1"/>
  <c r="F56" i="6"/>
  <c r="G56" i="6" s="1"/>
  <c r="I56" i="6" s="1"/>
  <c r="N56" i="6"/>
  <c r="O56" i="6" s="1"/>
  <c r="Q56" i="6" s="1"/>
  <c r="V56" i="6"/>
  <c r="W56" i="6" s="1"/>
  <c r="Y56" i="6" s="1"/>
  <c r="BJ57" i="6"/>
  <c r="BK57" i="6" s="1"/>
  <c r="BM57" i="6" s="1"/>
  <c r="BD57" i="6" l="1"/>
  <c r="BA57" i="6"/>
  <c r="P57" i="6"/>
  <c r="M57" i="6"/>
  <c r="AC57" i="6"/>
  <c r="AF57" i="6"/>
  <c r="AL57" i="6"/>
  <c r="AM57" i="6" s="1"/>
  <c r="AO57" i="6" s="1"/>
  <c r="AV57" i="6"/>
  <c r="AS57" i="6"/>
  <c r="BL58" i="6"/>
  <c r="BI58" i="6"/>
  <c r="X57" i="6"/>
  <c r="U57" i="6"/>
  <c r="H57" i="6"/>
  <c r="E57" i="6"/>
  <c r="AN58" i="6" l="1"/>
  <c r="AK58" i="6"/>
  <c r="F57" i="6"/>
  <c r="G57" i="6" s="1"/>
  <c r="I57" i="6" s="1"/>
  <c r="V57" i="6"/>
  <c r="W57" i="6" s="1"/>
  <c r="Y57" i="6" s="1"/>
  <c r="BJ58" i="6"/>
  <c r="BK58" i="6" s="1"/>
  <c r="BM58" i="6" s="1"/>
  <c r="BB57" i="6"/>
  <c r="BC57" i="6" s="1"/>
  <c r="BE57" i="6" s="1"/>
  <c r="AD57" i="6"/>
  <c r="AE57" i="6" s="1"/>
  <c r="AG57" i="6" s="1"/>
  <c r="N57" i="6"/>
  <c r="O57" i="6" s="1"/>
  <c r="Q57" i="6" s="1"/>
  <c r="AT57" i="6"/>
  <c r="AU57" i="6" s="1"/>
  <c r="AW57" i="6" s="1"/>
  <c r="P58" i="6" l="1"/>
  <c r="M58" i="6"/>
  <c r="BL59" i="6"/>
  <c r="BI59" i="6"/>
  <c r="AS58" i="6"/>
  <c r="AV58" i="6"/>
  <c r="X58" i="6"/>
  <c r="U58" i="6"/>
  <c r="AF58" i="6"/>
  <c r="AC58" i="6"/>
  <c r="H58" i="6"/>
  <c r="E58" i="6"/>
  <c r="BD58" i="6"/>
  <c r="BA58" i="6"/>
  <c r="AL58" i="6"/>
  <c r="AM58" i="6" s="1"/>
  <c r="AO58" i="6" s="1"/>
  <c r="BJ59" i="6" l="1"/>
  <c r="BK59" i="6" s="1"/>
  <c r="BM59" i="6" s="1"/>
  <c r="AK59" i="6"/>
  <c r="AN59" i="6"/>
  <c r="BB58" i="6"/>
  <c r="BC58" i="6" s="1"/>
  <c r="BE58" i="6" s="1"/>
  <c r="AT58" i="6"/>
  <c r="AU58" i="6" s="1"/>
  <c r="AW58" i="6" s="1"/>
  <c r="N58" i="6"/>
  <c r="O58" i="6" s="1"/>
  <c r="Q58" i="6" s="1"/>
  <c r="V58" i="6"/>
  <c r="W58" i="6" s="1"/>
  <c r="Y58" i="6" s="1"/>
  <c r="F58" i="6"/>
  <c r="G58" i="6" s="1"/>
  <c r="I58" i="6" s="1"/>
  <c r="AD58" i="6"/>
  <c r="AE58" i="6" s="1"/>
  <c r="AG58" i="6" s="1"/>
  <c r="BD59" i="6" l="1"/>
  <c r="BA59" i="6"/>
  <c r="BL60" i="6"/>
  <c r="BI60" i="6"/>
  <c r="AS59" i="6"/>
  <c r="AV59" i="6"/>
  <c r="X59" i="6"/>
  <c r="U59" i="6"/>
  <c r="AF59" i="6"/>
  <c r="AC59" i="6"/>
  <c r="H59" i="6"/>
  <c r="E59" i="6"/>
  <c r="AL59" i="6"/>
  <c r="AM59" i="6" s="1"/>
  <c r="AO59" i="6" s="1"/>
  <c r="P59" i="6"/>
  <c r="M59" i="6"/>
  <c r="V59" i="6" l="1"/>
  <c r="W59" i="6" s="1"/>
  <c r="Y59" i="6" s="1"/>
  <c r="AN60" i="6"/>
  <c r="AK60" i="6"/>
  <c r="F59" i="6"/>
  <c r="G59" i="6" s="1"/>
  <c r="I59" i="6" s="1"/>
  <c r="BJ60" i="6"/>
  <c r="BK60" i="6" s="1"/>
  <c r="BM60" i="6" s="1"/>
  <c r="BB59" i="6"/>
  <c r="BC59" i="6" s="1"/>
  <c r="BE59" i="6" s="1"/>
  <c r="N59" i="6"/>
  <c r="O59" i="6" s="1"/>
  <c r="Q59" i="6" s="1"/>
  <c r="AT59" i="6"/>
  <c r="AU59" i="6" s="1"/>
  <c r="AW59" i="6" s="1"/>
  <c r="AD59" i="6"/>
  <c r="AE59" i="6" s="1"/>
  <c r="AG59" i="6" s="1"/>
  <c r="BL61" i="6" l="1"/>
  <c r="BI61" i="6"/>
  <c r="AS60" i="6"/>
  <c r="AV60" i="6"/>
  <c r="AL60" i="6"/>
  <c r="AM60" i="6" s="1"/>
  <c r="AO60" i="6" s="1"/>
  <c r="P60" i="6"/>
  <c r="M60" i="6"/>
  <c r="X60" i="6"/>
  <c r="U60" i="6"/>
  <c r="AF60" i="6"/>
  <c r="AC60" i="6"/>
  <c r="H60" i="6"/>
  <c r="E60" i="6"/>
  <c r="BD60" i="6"/>
  <c r="BA60" i="6"/>
  <c r="BB60" i="6" l="1"/>
  <c r="BC60" i="6" s="1"/>
  <c r="BE60" i="6" s="1"/>
  <c r="AT60" i="6"/>
  <c r="AU60" i="6" s="1"/>
  <c r="AW60" i="6" s="1"/>
  <c r="N60" i="6"/>
  <c r="O60" i="6" s="1"/>
  <c r="Q60" i="6" s="1"/>
  <c r="F60" i="6"/>
  <c r="G60" i="6" s="1"/>
  <c r="I60" i="6" s="1"/>
  <c r="BJ61" i="6"/>
  <c r="BK61" i="6" s="1"/>
  <c r="BM61" i="6" s="1"/>
  <c r="AN61" i="6"/>
  <c r="AK61" i="6"/>
  <c r="AD60" i="6"/>
  <c r="AE60" i="6" s="1"/>
  <c r="AG60" i="6" s="1"/>
  <c r="V60" i="6"/>
  <c r="W60" i="6" s="1"/>
  <c r="Y60" i="6" s="1"/>
  <c r="X61" i="6" l="1"/>
  <c r="U61" i="6"/>
  <c r="H61" i="6"/>
  <c r="E61" i="6"/>
  <c r="AV61" i="6"/>
  <c r="AS61" i="6"/>
  <c r="AF61" i="6"/>
  <c r="AC61" i="6"/>
  <c r="AL61" i="6"/>
  <c r="AM61" i="6" s="1"/>
  <c r="AO61" i="6" s="1"/>
  <c r="BD61" i="6"/>
  <c r="BA61" i="6"/>
  <c r="P61" i="6"/>
  <c r="M61" i="6"/>
  <c r="BL62" i="6"/>
  <c r="BI62" i="6"/>
  <c r="AD61" i="6" l="1"/>
  <c r="AE61" i="6" s="1"/>
  <c r="AG61" i="6" s="1"/>
  <c r="AT61" i="6"/>
  <c r="AU61" i="6" s="1"/>
  <c r="AW61" i="6" s="1"/>
  <c r="BB61" i="6"/>
  <c r="BC61" i="6" s="1"/>
  <c r="BE61" i="6" s="1"/>
  <c r="AN62" i="6"/>
  <c r="AK62" i="6"/>
  <c r="V61" i="6"/>
  <c r="W61" i="6" s="1"/>
  <c r="Y61" i="6" s="1"/>
  <c r="BJ62" i="6"/>
  <c r="BK62" i="6" s="1"/>
  <c r="BM62" i="6" s="1"/>
  <c r="N61" i="6"/>
  <c r="O61" i="6" s="1"/>
  <c r="Q61" i="6" s="1"/>
  <c r="F61" i="6"/>
  <c r="G61" i="6" s="1"/>
  <c r="I61" i="6" s="1"/>
  <c r="BL63" i="6" l="1"/>
  <c r="BI63" i="6"/>
  <c r="X62" i="6"/>
  <c r="U62" i="6"/>
  <c r="H62" i="6"/>
  <c r="E62" i="6"/>
  <c r="BD62" i="6"/>
  <c r="BA62" i="6"/>
  <c r="AF62" i="6"/>
  <c r="AC62" i="6"/>
  <c r="AL62" i="6"/>
  <c r="AM62" i="6" s="1"/>
  <c r="AO62" i="6" s="1"/>
  <c r="P62" i="6"/>
  <c r="M62" i="6"/>
  <c r="AV62" i="6"/>
  <c r="AS62" i="6"/>
  <c r="AT62" i="6" l="1"/>
  <c r="AU62" i="6" s="1"/>
  <c r="AW62" i="6" s="1"/>
  <c r="BB62" i="6"/>
  <c r="BC62" i="6" s="1"/>
  <c r="BE62" i="6" s="1"/>
  <c r="N62" i="6"/>
  <c r="O62" i="6" s="1"/>
  <c r="Q62" i="6" s="1"/>
  <c r="AN63" i="6"/>
  <c r="AK63" i="6"/>
  <c r="BJ63" i="6"/>
  <c r="BK63" i="6" s="1"/>
  <c r="BM63" i="6" s="1"/>
  <c r="F62" i="6"/>
  <c r="G62" i="6" s="1"/>
  <c r="I62" i="6" s="1"/>
  <c r="V62" i="6"/>
  <c r="W62" i="6" s="1"/>
  <c r="Y62" i="6" s="1"/>
  <c r="AD62" i="6"/>
  <c r="AE62" i="6" s="1"/>
  <c r="AG62" i="6" s="1"/>
  <c r="P63" i="6" l="1"/>
  <c r="M63" i="6"/>
  <c r="AF63" i="6"/>
  <c r="AC63" i="6"/>
  <c r="BA63" i="6"/>
  <c r="BD63" i="6"/>
  <c r="X63" i="6"/>
  <c r="U63" i="6"/>
  <c r="H63" i="6"/>
  <c r="E63" i="6"/>
  <c r="AV63" i="6"/>
  <c r="AS63" i="6"/>
  <c r="AL63" i="6"/>
  <c r="AM63" i="6" s="1"/>
  <c r="AO63" i="6" s="1"/>
  <c r="AT63" i="6" l="1"/>
  <c r="AU63" i="6" s="1"/>
  <c r="AW63" i="6" s="1"/>
  <c r="BB63" i="6"/>
  <c r="BC63" i="6" s="1"/>
  <c r="BE63" i="6" s="1"/>
  <c r="AD63" i="6"/>
  <c r="AE63" i="6" s="1"/>
  <c r="AG63" i="6" s="1"/>
  <c r="F63" i="6"/>
  <c r="G63" i="6" s="1"/>
  <c r="I63" i="6" s="1"/>
  <c r="V63" i="6"/>
  <c r="W63" i="6" s="1"/>
  <c r="Y63" i="6" s="1"/>
  <c r="N63" i="6"/>
  <c r="O63" i="6" s="1"/>
  <c r="Q63" i="6" s="1"/>
</calcChain>
</file>

<file path=xl/sharedStrings.xml><?xml version="1.0" encoding="utf-8"?>
<sst xmlns="http://schemas.openxmlformats.org/spreadsheetml/2006/main" count="6505" uniqueCount="1051">
  <si>
    <t>01</t>
  </si>
  <si>
    <t>Feedstock type</t>
  </si>
  <si>
    <t>Ratio
(as-recvd)</t>
  </si>
  <si>
    <t>Fermentable 
Sugars</t>
  </si>
  <si>
    <t>Total Solids</t>
  </si>
  <si>
    <t>Tonnes
 per day</t>
  </si>
  <si>
    <t>Tonnes
 per year</t>
  </si>
  <si>
    <t>Comments</t>
  </si>
  <si>
    <t>Molasses</t>
  </si>
  <si>
    <t>Typical Mackay sugar molasses</t>
  </si>
  <si>
    <t>B molasses</t>
  </si>
  <si>
    <t>98.5% sugar x 1.053</t>
  </si>
  <si>
    <t>A molasses</t>
  </si>
  <si>
    <t xml:space="preserve">Raw sugar </t>
  </si>
  <si>
    <t>Other</t>
  </si>
  <si>
    <t>Add parameters, as needed</t>
  </si>
  <si>
    <t>Total Feed</t>
  </si>
  <si>
    <t xml:space="preserve"> </t>
  </si>
  <si>
    <t>02</t>
  </si>
  <si>
    <t>Plant Operating Parameters</t>
  </si>
  <si>
    <t>Units</t>
  </si>
  <si>
    <t>Estimate</t>
  </si>
  <si>
    <t>Price, $/litre</t>
  </si>
  <si>
    <t>Revenue, $</t>
  </si>
  <si>
    <t>Annual plant output of ethanol</t>
  </si>
  <si>
    <t>ML per year</t>
  </si>
  <si>
    <t>c/l terminal gate equivalent price</t>
  </si>
  <si>
    <t>Plant efficiency</t>
  </si>
  <si>
    <t>%</t>
  </si>
  <si>
    <t>sched/unsched maint, operating at below capacity, etc</t>
  </si>
  <si>
    <t>Equivalent annual operating days</t>
  </si>
  <si>
    <t>days per year</t>
  </si>
  <si>
    <t xml:space="preserve">days in year = </t>
  </si>
  <si>
    <t>Equivalent annual operating hours</t>
  </si>
  <si>
    <t>hours per year</t>
  </si>
  <si>
    <t>Production rate</t>
  </si>
  <si>
    <t>Daily</t>
  </si>
  <si>
    <t>KL per day</t>
  </si>
  <si>
    <t>Hourly</t>
  </si>
  <si>
    <t>KL per hour</t>
  </si>
  <si>
    <t>Process plant yield</t>
  </si>
  <si>
    <t>Fermentation yield</t>
  </si>
  <si>
    <t>fixed ratio</t>
  </si>
  <si>
    <t>Distillation yield</t>
  </si>
  <si>
    <t>Overall yield</t>
  </si>
  <si>
    <t>Fixed parameters</t>
  </si>
  <si>
    <t>Ethanol density</t>
  </si>
  <si>
    <t>kg/litre</t>
  </si>
  <si>
    <t>Glucose to ethanol conversion ratio</t>
  </si>
  <si>
    <t>Carbon dioxide</t>
  </si>
  <si>
    <t>tonnes</t>
  </si>
  <si>
    <t>Dunder production</t>
  </si>
  <si>
    <t>Unit quantity</t>
  </si>
  <si>
    <t>Quantity, dry solids</t>
  </si>
  <si>
    <t>t per t of feedstock</t>
  </si>
  <si>
    <t>Plus added nutrient to produce a saleable fertiliser</t>
  </si>
  <si>
    <t>t per tonne of dunder</t>
  </si>
  <si>
    <t>Total Fertiliser - dry basis</t>
  </si>
  <si>
    <t>dry tonnes</t>
  </si>
  <si>
    <t xml:space="preserve">                        - at production solids</t>
  </si>
  <si>
    <t>as sold tonnes</t>
  </si>
  <si>
    <t>Dunder density</t>
  </si>
  <si>
    <t>tonnes per m^3</t>
  </si>
  <si>
    <t>Price,$/m^3</t>
  </si>
  <si>
    <t>Fertiliser produced</t>
  </si>
  <si>
    <t>m^3</t>
  </si>
  <si>
    <t>need to check</t>
  </si>
  <si>
    <t>Equivalent fermentables requirement</t>
  </si>
  <si>
    <t>t/d</t>
  </si>
  <si>
    <t>03</t>
  </si>
  <si>
    <t>Fermentables</t>
  </si>
  <si>
    <t>Unit
 Quantity</t>
  </si>
  <si>
    <t xml:space="preserve"> Quantity</t>
  </si>
  <si>
    <t>Cost
$/unit</t>
  </si>
  <si>
    <t>Cost</t>
  </si>
  <si>
    <t>Molasses Content</t>
  </si>
  <si>
    <t>Comment</t>
  </si>
  <si>
    <t>Tonnes per KL</t>
  </si>
  <si>
    <t>UScents/lb</t>
  </si>
  <si>
    <t>current price</t>
  </si>
  <si>
    <t>FOB      AUD/USD</t>
  </si>
  <si>
    <t>Sugar price, A$ per T</t>
  </si>
  <si>
    <t>Logistics,      $ per T</t>
  </si>
  <si>
    <t>Price to use, $ per T</t>
  </si>
  <si>
    <t>SUBTOTAL - Feedstock</t>
  </si>
  <si>
    <t>04</t>
  </si>
  <si>
    <t>Chemicals</t>
  </si>
  <si>
    <t>Refinery Chemicals</t>
  </si>
  <si>
    <t>Defoaming agent</t>
  </si>
  <si>
    <t>kg per KL</t>
  </si>
  <si>
    <t>DAP - nutrient solution</t>
  </si>
  <si>
    <t>Urea - nutrient solution</t>
  </si>
  <si>
    <t>depends of feedstock quality foaming tendency</t>
  </si>
  <si>
    <t>Disinfectant - 40% formalin</t>
  </si>
  <si>
    <t>Used during shutdown</t>
  </si>
  <si>
    <t>NaOH</t>
  </si>
  <si>
    <t>kg per day</t>
  </si>
  <si>
    <t>depends of feedstock quality buffering capacity</t>
  </si>
  <si>
    <t>NitricAcid</t>
  </si>
  <si>
    <t>for reboiler cleaning</t>
  </si>
  <si>
    <t>Yeast cream</t>
  </si>
  <si>
    <t>kg per occasion</t>
  </si>
  <si>
    <t xml:space="preserve">occasionaly </t>
  </si>
  <si>
    <t xml:space="preserve">x per year </t>
  </si>
  <si>
    <t>Denaturant (gasoline)</t>
  </si>
  <si>
    <t>Biogas Plant Chemicals</t>
  </si>
  <si>
    <t>Only required for aerobic treatment</t>
  </si>
  <si>
    <t>Phosphoric acid at 75 wt%</t>
  </si>
  <si>
    <t>Ammonium sulphate</t>
  </si>
  <si>
    <t>Alum for sludge dewatering</t>
  </si>
  <si>
    <t>g per KL</t>
  </si>
  <si>
    <t>Polymer flocculant for sludge dewatering</t>
  </si>
  <si>
    <t>Defoamer</t>
  </si>
  <si>
    <t>Hi N + P</t>
  </si>
  <si>
    <t>Fertiliser Plant Chemicals</t>
  </si>
  <si>
    <t>Urea</t>
  </si>
  <si>
    <t>Amsul</t>
  </si>
  <si>
    <t>DAP</t>
  </si>
  <si>
    <t>Biodunder</t>
  </si>
  <si>
    <t>Target</t>
  </si>
  <si>
    <t>Caculated</t>
  </si>
  <si>
    <t>kg/t dunder</t>
  </si>
  <si>
    <t>N content</t>
  </si>
  <si>
    <t>Ammonia Sulphate</t>
  </si>
  <si>
    <t>P content</t>
  </si>
  <si>
    <t>Ca content</t>
  </si>
  <si>
    <t>SUBTOTAL - Chemicals</t>
  </si>
  <si>
    <t>S content</t>
  </si>
  <si>
    <t>05</t>
  </si>
  <si>
    <t>Utilities</t>
  </si>
  <si>
    <t>Cost
$</t>
  </si>
  <si>
    <t>Steam</t>
  </si>
  <si>
    <t>Steam to distillation</t>
  </si>
  <si>
    <t>t per KL</t>
  </si>
  <si>
    <t>9 Bar steam, condensate returned, steam chemicals, blowdown, etc</t>
  </si>
  <si>
    <t>Steam to dehydration</t>
  </si>
  <si>
    <t>9 Bar steam, condensate returned</t>
  </si>
  <si>
    <t>SUBTOTAL - Steam</t>
  </si>
  <si>
    <t>based on self-generation</t>
  </si>
  <si>
    <t>Water</t>
  </si>
  <si>
    <t>Condensate return</t>
  </si>
  <si>
    <t>Distillation condensate</t>
  </si>
  <si>
    <t>Return to power plant</t>
  </si>
  <si>
    <t>Dehydration condensate</t>
  </si>
  <si>
    <t>Vapour condensate (dist/dehy)</t>
  </si>
  <si>
    <t>treatment required</t>
  </si>
  <si>
    <t>Process water</t>
  </si>
  <si>
    <t>Inlet</t>
  </si>
  <si>
    <t>Outlet</t>
  </si>
  <si>
    <t>Molassess dilution</t>
  </si>
  <si>
    <t>m^3 per KL</t>
  </si>
  <si>
    <t>Temperature</t>
  </si>
  <si>
    <t>Deg C</t>
  </si>
  <si>
    <t>Cooling water for fermentation</t>
  </si>
  <si>
    <t>Cooling for distillation</t>
  </si>
  <si>
    <t>Cooling for dehydration</t>
  </si>
  <si>
    <t>Total cooling water</t>
  </si>
  <si>
    <t>% of CW demand</t>
  </si>
  <si>
    <t>SUBTOTAL - Water</t>
  </si>
  <si>
    <t>Electric Energy</t>
  </si>
  <si>
    <t>Fermentation</t>
  </si>
  <si>
    <t>KWH per KL</t>
  </si>
  <si>
    <t>Distillation</t>
  </si>
  <si>
    <t>Dehydration</t>
  </si>
  <si>
    <t>Dunder Centrifugation</t>
  </si>
  <si>
    <t>KWH per T dunder</t>
  </si>
  <si>
    <t>Fertilisier Plant</t>
  </si>
  <si>
    <t>Biogas Plant</t>
  </si>
  <si>
    <t>KWh per day</t>
  </si>
  <si>
    <t>Utiltiies</t>
  </si>
  <si>
    <t>KW/day</t>
  </si>
  <si>
    <t>load-out, offices, treatment, etc</t>
  </si>
  <si>
    <t>SUBTOTAL - Electricity</t>
  </si>
  <si>
    <t>KWH</t>
  </si>
  <si>
    <t>Electrical load</t>
  </si>
  <si>
    <t>KW</t>
  </si>
  <si>
    <t>06</t>
  </si>
  <si>
    <t>Dunder treatment and handling</t>
  </si>
  <si>
    <t>Thin dunder at 10% solids</t>
  </si>
  <si>
    <t>m3 per KL</t>
  </si>
  <si>
    <t xml:space="preserve">solids </t>
  </si>
  <si>
    <t>Fertiliser sales, agency fee</t>
  </si>
  <si>
    <t>$ per t</t>
  </si>
  <si>
    <t xml:space="preserve">recovery </t>
  </si>
  <si>
    <t>Freight</t>
  </si>
  <si>
    <t>t.km</t>
  </si>
  <si>
    <t xml:space="preserve">aver trip </t>
  </si>
  <si>
    <t>km</t>
  </si>
  <si>
    <t>SUBTOTAL - Dunder</t>
  </si>
  <si>
    <t>07</t>
  </si>
  <si>
    <t>Personnel</t>
  </si>
  <si>
    <t>Refinery manager</t>
  </si>
  <si>
    <t>FTE</t>
  </si>
  <si>
    <t>Finance Manager</t>
  </si>
  <si>
    <t>Sales Manager</t>
  </si>
  <si>
    <t xml:space="preserve">Administration </t>
  </si>
  <si>
    <t>1 office manager, 1 accounts, 1 reception / assistant</t>
  </si>
  <si>
    <t>Operations Manager</t>
  </si>
  <si>
    <t>Engineering</t>
  </si>
  <si>
    <t>Maintenance - electrician, instrument fitter, mechanic</t>
  </si>
  <si>
    <t>Laboratory</t>
  </si>
  <si>
    <t>OHS and Enviro</t>
  </si>
  <si>
    <t>Feed handling</t>
  </si>
  <si>
    <t>Dunder preparation and loading</t>
  </si>
  <si>
    <t>Shift Operations</t>
  </si>
  <si>
    <t>FTE/shift</t>
  </si>
  <si>
    <t>No of shifts</t>
  </si>
  <si>
    <t>Wages</t>
  </si>
  <si>
    <t>On-costs</t>
  </si>
  <si>
    <t>% of wages</t>
  </si>
  <si>
    <t>SUBTOTAL - Personnel</t>
  </si>
  <si>
    <t>08</t>
  </si>
  <si>
    <t xml:space="preserve">Delivery </t>
  </si>
  <si>
    <t>Unit Quantity</t>
  </si>
  <si>
    <t>Tanker delivery to fuel blending plant</t>
  </si>
  <si>
    <t>$ per tonne.km</t>
  </si>
  <si>
    <t>SUBTOTAL - Freight</t>
  </si>
  <si>
    <t>09</t>
  </si>
  <si>
    <t>Maintenance</t>
  </si>
  <si>
    <t>Refinery</t>
  </si>
  <si>
    <t>% of capital</t>
  </si>
  <si>
    <t>Biogas</t>
  </si>
  <si>
    <t>Cogen</t>
  </si>
  <si>
    <t>Admin and overheads</t>
  </si>
  <si>
    <t>Land Lease</t>
  </si>
  <si>
    <t>$/ ha per year</t>
  </si>
  <si>
    <t>Land tax / rates</t>
  </si>
  <si>
    <t>$/year</t>
  </si>
  <si>
    <t>Not relevent - covered by landholder</t>
  </si>
  <si>
    <t>Information Services</t>
  </si>
  <si>
    <t>Certifications and training</t>
  </si>
  <si>
    <t>Insurances</t>
  </si>
  <si>
    <t>Travel</t>
  </si>
  <si>
    <t>$/trip</t>
  </si>
  <si>
    <t>Office costs</t>
  </si>
  <si>
    <t>$/day</t>
  </si>
  <si>
    <t>Carbon credits, LGC's , Excise</t>
  </si>
  <si>
    <t>Carbon credits</t>
  </si>
  <si>
    <t>t CO2/ KL</t>
  </si>
  <si>
    <r>
      <t>nm</t>
    </r>
    <r>
      <rPr>
        <vertAlign val="superscript"/>
        <sz val="10"/>
        <rFont val="Arial"/>
        <family val="2"/>
      </rPr>
      <t>3</t>
    </r>
    <r>
      <rPr>
        <sz val="10"/>
        <rFont val="Arial"/>
        <family val="2"/>
      </rPr>
      <t>/day</t>
    </r>
  </si>
  <si>
    <t>methane content</t>
  </si>
  <si>
    <t>energy</t>
  </si>
  <si>
    <t>MJ/nm3</t>
  </si>
  <si>
    <t>MJ/day</t>
  </si>
  <si>
    <t>Large generator Credits</t>
  </si>
  <si>
    <t>$/MWH</t>
  </si>
  <si>
    <t>delivered</t>
  </si>
  <si>
    <t>Excise</t>
  </si>
  <si>
    <t>Factor</t>
  </si>
  <si>
    <t>Year -2</t>
  </si>
  <si>
    <t>Year -1</t>
  </si>
  <si>
    <t>Year 1</t>
  </si>
  <si>
    <t>Year 2</t>
  </si>
  <si>
    <t>Year 3</t>
  </si>
  <si>
    <t>Year 4</t>
  </si>
  <si>
    <t>Year 5</t>
  </si>
  <si>
    <t>Year 6</t>
  </si>
  <si>
    <t>Year 7</t>
  </si>
  <si>
    <t>Year 8</t>
  </si>
  <si>
    <t>Year 9</t>
  </si>
  <si>
    <t>Year 10</t>
  </si>
  <si>
    <t>Year 11</t>
  </si>
  <si>
    <t>Year 12</t>
  </si>
  <si>
    <t>Year 13</t>
  </si>
  <si>
    <t>Year 14</t>
  </si>
  <si>
    <t>Year 15</t>
  </si>
  <si>
    <t>Price inflator including productivity gain</t>
  </si>
  <si>
    <t>Costs inflator</t>
  </si>
  <si>
    <t>Revenue  Inflator multiplier - used for sensitivity analysis</t>
  </si>
  <si>
    <t>Cost Inflator multiplier - used for sensitivity analysis</t>
  </si>
  <si>
    <t>Operating rates</t>
  </si>
  <si>
    <t>Revenue inflation factor</t>
  </si>
  <si>
    <t>Cost inflation factor</t>
  </si>
  <si>
    <t>Capital expenditure sensitivity factor</t>
  </si>
  <si>
    <t>Capital expenditure</t>
  </si>
  <si>
    <t>Sustaining capital</t>
  </si>
  <si>
    <t xml:space="preserve">Depreciation rate </t>
  </si>
  <si>
    <t>Diminishing</t>
  </si>
  <si>
    <t>Profit and Loss</t>
  </si>
  <si>
    <t>Gross Revenue</t>
  </si>
  <si>
    <t>Ethanol</t>
  </si>
  <si>
    <t>Electricity generation credits</t>
  </si>
  <si>
    <t>less freight</t>
  </si>
  <si>
    <t>Net revenue</t>
  </si>
  <si>
    <t>less</t>
  </si>
  <si>
    <t>Feedstock</t>
  </si>
  <si>
    <t>Energy</t>
  </si>
  <si>
    <t>Personell</t>
  </si>
  <si>
    <t>Administation and overheads</t>
  </si>
  <si>
    <t>Depreciation</t>
  </si>
  <si>
    <t>Surplus</t>
  </si>
  <si>
    <t>Capital Cost summary</t>
  </si>
  <si>
    <t>Molasses Receival</t>
  </si>
  <si>
    <t>Fermentation Plant</t>
  </si>
  <si>
    <t>Distillation, Rectification and Dehydration</t>
  </si>
  <si>
    <t>Alcohol Storage</t>
  </si>
  <si>
    <t>Dunder and Fertiliser Plant</t>
  </si>
  <si>
    <t>Cogenaration Plant</t>
  </si>
  <si>
    <t>Project Management Services</t>
  </si>
  <si>
    <t>Contingency</t>
  </si>
  <si>
    <t>from above</t>
  </si>
  <si>
    <t>Total Capital Cost</t>
  </si>
  <si>
    <t>Description</t>
  </si>
  <si>
    <t>Subtotal</t>
  </si>
  <si>
    <t>Overview</t>
  </si>
  <si>
    <t>Project</t>
  </si>
  <si>
    <t>Revision</t>
  </si>
  <si>
    <t>Developed by</t>
  </si>
  <si>
    <t>Date</t>
  </si>
  <si>
    <t>Efficient Costs of New Entrant Ethanol Producers</t>
  </si>
  <si>
    <t>1. Depreciation</t>
  </si>
  <si>
    <t>2. Location</t>
  </si>
  <si>
    <t>3. Vertically integrated</t>
  </si>
  <si>
    <t>Grant</t>
  </si>
  <si>
    <t>Investor</t>
  </si>
  <si>
    <t>Debt</t>
  </si>
  <si>
    <t>5.  Delivery</t>
  </si>
  <si>
    <t>Drop down list options</t>
  </si>
  <si>
    <t>Straight-Line</t>
  </si>
  <si>
    <t>Region 1</t>
  </si>
  <si>
    <t>Region 2</t>
  </si>
  <si>
    <t>Region 3</t>
  </si>
  <si>
    <t>Region 4</t>
  </si>
  <si>
    <t>Region 5</t>
  </si>
  <si>
    <t>Yes</t>
  </si>
  <si>
    <t>No</t>
  </si>
  <si>
    <t>Brisbane</t>
  </si>
  <si>
    <t>Sydney</t>
  </si>
  <si>
    <t>Model inputs, variables and assumptions</t>
  </si>
  <si>
    <t>Location</t>
  </si>
  <si>
    <t>Loan</t>
  </si>
  <si>
    <t>Year</t>
  </si>
  <si>
    <t>O/B</t>
  </si>
  <si>
    <t>Interest $</t>
  </si>
  <si>
    <t>O/B plus Interest</t>
  </si>
  <si>
    <t>Repayment</t>
  </si>
  <si>
    <t>C/B</t>
  </si>
  <si>
    <t>Loan Funding Calculations</t>
  </si>
  <si>
    <t>Unit</t>
  </si>
  <si>
    <t>ML/year</t>
  </si>
  <si>
    <t>Sensitivity</t>
  </si>
  <si>
    <t>Depreciation Calculations</t>
  </si>
  <si>
    <t>Asset</t>
  </si>
  <si>
    <t>Depreciation method</t>
  </si>
  <si>
    <t>FY of Operation</t>
  </si>
  <si>
    <t>FY of Construction</t>
  </si>
  <si>
    <t>Financial Year</t>
  </si>
  <si>
    <t>6. Dollars</t>
  </si>
  <si>
    <t>Real</t>
  </si>
  <si>
    <t>Nominal</t>
  </si>
  <si>
    <t>$FY2017</t>
  </si>
  <si>
    <t>Project Management / Contract Profit Allowance</t>
  </si>
  <si>
    <t>Contigency</t>
  </si>
  <si>
    <t>(applied to Base Replacement Cost)</t>
  </si>
  <si>
    <t>(applied to Base Replacement Cost + PM Allowance)</t>
  </si>
  <si>
    <t>(applied to Base Replacement Cost + PM + Contigency)</t>
  </si>
  <si>
    <t>Base+</t>
  </si>
  <si>
    <t>PM</t>
  </si>
  <si>
    <t>Accelerated</t>
  </si>
  <si>
    <t>Depreciation Method</t>
  </si>
  <si>
    <t>Deprecation  factor</t>
  </si>
  <si>
    <t>Total Depreciation</t>
  </si>
  <si>
    <t>Interest and principle repayments made during operation</t>
  </si>
  <si>
    <t>$ per Litre.km</t>
  </si>
  <si>
    <t>SUBTOTAL - Admin and Overheads</t>
  </si>
  <si>
    <t>SUBTOTAL - Additional revenue streams</t>
  </si>
  <si>
    <t>Non-Process Buildings</t>
  </si>
  <si>
    <t>Construction Management - 4.5%, Engineering - 8%</t>
  </si>
  <si>
    <t>Project Fee</t>
  </si>
  <si>
    <t>Contractor margin</t>
  </si>
  <si>
    <t>Owners development cost</t>
  </si>
  <si>
    <t>incurred prior to year 1</t>
  </si>
  <si>
    <t>Owners costs during construction</t>
  </si>
  <si>
    <t>Feedstock type (TARGET PROTEIN = min 10.5%)</t>
  </si>
  <si>
    <t>Protein</t>
  </si>
  <si>
    <t>General purpose wheat</t>
  </si>
  <si>
    <t>Prime hard wheat</t>
  </si>
  <si>
    <t>Hard wheat</t>
  </si>
  <si>
    <t>Premium white wheat</t>
  </si>
  <si>
    <t>Standard white wheat</t>
  </si>
  <si>
    <t>Feed</t>
  </si>
  <si>
    <t>target is min 10%</t>
  </si>
  <si>
    <t>t/h</t>
  </si>
  <si>
    <t>Pre-processing yields</t>
  </si>
  <si>
    <t>Process yield
Dry basis</t>
  </si>
  <si>
    <t>Finished Product 
Moisture content</t>
  </si>
  <si>
    <t>Daily production
t/d</t>
  </si>
  <si>
    <t>Annual production
t/d</t>
  </si>
  <si>
    <t>Screen rejects</t>
  </si>
  <si>
    <t>Added to dry grain solids</t>
  </si>
  <si>
    <t>Bran - millrun</t>
  </si>
  <si>
    <t xml:space="preserve">Germ </t>
  </si>
  <si>
    <t>Gluten</t>
  </si>
  <si>
    <t>Starch</t>
  </si>
  <si>
    <t>of which</t>
  </si>
  <si>
    <t>total</t>
  </si>
  <si>
    <t>is fermentable</t>
  </si>
  <si>
    <t>Quantity
product tonnes</t>
  </si>
  <si>
    <t>Price, $/tonne</t>
  </si>
  <si>
    <t xml:space="preserve">added to bran </t>
  </si>
  <si>
    <t>SUBTOTAL - By products</t>
  </si>
  <si>
    <t>Starch conversion</t>
  </si>
  <si>
    <t>Starch to Glucose conversion ratio</t>
  </si>
  <si>
    <t>Bulk Density</t>
  </si>
  <si>
    <t>t/m^3</t>
  </si>
  <si>
    <t>DDGS production</t>
  </si>
  <si>
    <t>Quantity, 
dry solids</t>
  </si>
  <si>
    <t>Moisture content
%</t>
  </si>
  <si>
    <t>Product sales
tonnes</t>
  </si>
  <si>
    <t>DDGS produced</t>
  </si>
  <si>
    <t>TOTAL - Fermentables</t>
  </si>
  <si>
    <t>Milling chemicals</t>
  </si>
  <si>
    <t>Chlorine</t>
  </si>
  <si>
    <t>kg per tonne of grain</t>
  </si>
  <si>
    <t>Hydrogen peroxide</t>
  </si>
  <si>
    <t>Liquefaction/Saccharification chemicals</t>
  </si>
  <si>
    <t>Alpha-amylase</t>
  </si>
  <si>
    <t>Liquozyme SC DS</t>
  </si>
  <si>
    <t>Gluco-amylase</t>
  </si>
  <si>
    <t>Spirizyme Fuel HS</t>
  </si>
  <si>
    <t>Fermentation chemicals</t>
  </si>
  <si>
    <t>DDGS Plant Chemicals</t>
  </si>
  <si>
    <t>kg/t ddgs</t>
  </si>
  <si>
    <t>Wet milling</t>
  </si>
  <si>
    <t>Liquefaction</t>
  </si>
  <si>
    <t>WDGS Drying</t>
  </si>
  <si>
    <t>t per t DDGS</t>
  </si>
  <si>
    <t xml:space="preserve">Reuse </t>
  </si>
  <si>
    <t>Flour dilution</t>
  </si>
  <si>
    <t>Wet milling cooling</t>
  </si>
  <si>
    <t>Dry Milling</t>
  </si>
  <si>
    <t xml:space="preserve">Wet Milling </t>
  </si>
  <si>
    <t>Saccharification</t>
  </si>
  <si>
    <t>DDGS Separation</t>
  </si>
  <si>
    <t>DDGS Drying</t>
  </si>
  <si>
    <t>KW/KL</t>
  </si>
  <si>
    <t>Bran, germ and DDGS delivery</t>
  </si>
  <si>
    <t>Price
$</t>
  </si>
  <si>
    <t>Assumes integrated cattle feedlot</t>
  </si>
  <si>
    <t>Delivered to port. Containerised</t>
  </si>
  <si>
    <t>SUBTOTAL - by-product freight</t>
  </si>
  <si>
    <t xml:space="preserve">Ethanol Delivery </t>
  </si>
  <si>
    <t>Wheat Handling and Miling</t>
  </si>
  <si>
    <t>Ethanol Refinery</t>
  </si>
  <si>
    <t>Stock feed</t>
  </si>
  <si>
    <t>SUBTOTAL - Maintenance</t>
  </si>
  <si>
    <t>1 office manager, 2 accounts, 1 payroll, 2 reception / assistant</t>
  </si>
  <si>
    <t>10</t>
  </si>
  <si>
    <t>Overheads</t>
  </si>
  <si>
    <t>Consultancies, Certifications,Training and sales</t>
  </si>
  <si>
    <t>11</t>
  </si>
  <si>
    <t>Biogas and Carbon Credits</t>
  </si>
  <si>
    <t>Bran</t>
  </si>
  <si>
    <t>Germ</t>
  </si>
  <si>
    <t>DDGS</t>
  </si>
  <si>
    <t>Stockpile</t>
  </si>
  <si>
    <t>Dry Mill</t>
  </si>
  <si>
    <t>Wet Mill and gluten handling</t>
  </si>
  <si>
    <t>Liquefaction and saccharification</t>
  </si>
  <si>
    <t>WDGS drying plant</t>
  </si>
  <si>
    <t>Stockfeed plant - bran, germ, DDGS</t>
  </si>
  <si>
    <t>Cogeneration Plant</t>
  </si>
  <si>
    <t>Non-process buildings</t>
  </si>
  <si>
    <t>Starch (Wheat) Feedstock</t>
  </si>
  <si>
    <t>Sucrosic (Molasses) Feedstock</t>
  </si>
  <si>
    <t>Operating Year</t>
  </si>
  <si>
    <t>Costs of ethanol production by feedstock</t>
  </si>
  <si>
    <t>Total production</t>
  </si>
  <si>
    <t>Fertiliser</t>
  </si>
  <si>
    <t>Production</t>
  </si>
  <si>
    <t>Interest</t>
  </si>
  <si>
    <t>Cost of Capital (Depreciation)</t>
  </si>
  <si>
    <t>Period 
Average</t>
  </si>
  <si>
    <t>Capex depreciation method</t>
  </si>
  <si>
    <t>years</t>
  </si>
  <si>
    <t>If accelerated, annual rate</t>
  </si>
  <si>
    <t>AUD to US conversion rate</t>
  </si>
  <si>
    <t>DGGS</t>
  </si>
  <si>
    <t>Yield %</t>
  </si>
  <si>
    <t>Distance to BNE</t>
  </si>
  <si>
    <t>Distance to Sydney</t>
  </si>
  <si>
    <t>Newcastle</t>
  </si>
  <si>
    <t>$/tonne</t>
  </si>
  <si>
    <t>L per KL</t>
  </si>
  <si>
    <t>tonnage</t>
  </si>
  <si>
    <t>Allocator</t>
  </si>
  <si>
    <t>Production of Ethanol</t>
  </si>
  <si>
    <t>Note</t>
  </si>
  <si>
    <t>Total</t>
  </si>
  <si>
    <t>Negligible, therefore not used.</t>
  </si>
  <si>
    <t>Distribution of Ethanol</t>
  </si>
  <si>
    <t>Distribution of Fertiliser</t>
  </si>
  <si>
    <t>Production of Fertiliser</t>
  </si>
  <si>
    <t>2 additional maintenance for Gluten</t>
  </si>
  <si>
    <t>1 shift operator</t>
  </si>
  <si>
    <t>1 sales manager for gluten</t>
  </si>
  <si>
    <t>All for fertiliser</t>
  </si>
  <si>
    <t>Labour cost of Fertiliser</t>
  </si>
  <si>
    <t>Labour cost of Ethanol</t>
  </si>
  <si>
    <t>Ethanol / Total - Chemical</t>
  </si>
  <si>
    <t>Ethanol / Total - Utilities</t>
  </si>
  <si>
    <t>Ethanol / Total - Freight</t>
  </si>
  <si>
    <t>Ethanol / Total - FTE / Overheads</t>
  </si>
  <si>
    <t>Production of Gluten</t>
  </si>
  <si>
    <t>Ethanol delivery</t>
  </si>
  <si>
    <t>Labour cost of Gluten, DDGS</t>
  </si>
  <si>
    <t>1 sales manager, 2 maintenance staff and 1 shift of operations</t>
  </si>
  <si>
    <t>FTE / Overheads (before on costs)</t>
  </si>
  <si>
    <t>Capital Costs (before allowances)</t>
  </si>
  <si>
    <t>Ethanol assets</t>
  </si>
  <si>
    <t>Gluten/DDGS Assets</t>
  </si>
  <si>
    <t>Cost only incurred with cooling</t>
  </si>
  <si>
    <t>(Flour diluation and Wet milling costs)</t>
  </si>
  <si>
    <t>Ethanol Stockpile Assets (by Weight)</t>
  </si>
  <si>
    <t>Gluten/DDGS Assets Stockpile Assets (by Weight)</t>
  </si>
  <si>
    <t>Weight</t>
  </si>
  <si>
    <t>Value</t>
  </si>
  <si>
    <t>Starch (tonnes per day)</t>
  </si>
  <si>
    <t>Gluten (tonnes per day)</t>
  </si>
  <si>
    <t>Ethanol / Total - Weight</t>
  </si>
  <si>
    <t>Used below</t>
  </si>
  <si>
    <t>Stockpile assets allocated by tonnage</t>
  </si>
  <si>
    <t>Ethanol Assets ($M)</t>
  </si>
  <si>
    <t>Dunder and Fertiliser Plant ($M)</t>
  </si>
  <si>
    <t>Ethanol / Total - Capital Costs</t>
  </si>
  <si>
    <t>Personel</t>
  </si>
  <si>
    <t>Direct Costs</t>
  </si>
  <si>
    <t>Indirect Costs</t>
  </si>
  <si>
    <t>Finance</t>
  </si>
  <si>
    <t>Capital Cost per L</t>
  </si>
  <si>
    <t>Capital Cost ($'000)</t>
  </si>
  <si>
    <t>Lower</t>
  </si>
  <si>
    <t>Mean</t>
  </si>
  <si>
    <t>Upper</t>
  </si>
  <si>
    <t>50ML</t>
  </si>
  <si>
    <t>200ML</t>
  </si>
  <si>
    <t>100ML</t>
  </si>
  <si>
    <t>Scenario 1, Production Sensitivity</t>
  </si>
  <si>
    <t>Ethanol Revenue</t>
  </si>
  <si>
    <t>Gluten Revenue</t>
  </si>
  <si>
    <t>Ethanol Selling Price</t>
  </si>
  <si>
    <t>Ethanol / Total - Value</t>
  </si>
  <si>
    <t>Fertiliser Revenue</t>
  </si>
  <si>
    <t>Production by assumed selling price</t>
  </si>
  <si>
    <t>Remove inflation factors</t>
  </si>
  <si>
    <t>max molasses</t>
  </si>
  <si>
    <t>t</t>
  </si>
  <si>
    <t>Capital Cost Base</t>
  </si>
  <si>
    <t>Capital Cost Exponent</t>
  </si>
  <si>
    <t>Sorgum</t>
  </si>
  <si>
    <t>Sorgum Bran</t>
  </si>
  <si>
    <t>Cellulose</t>
  </si>
  <si>
    <t>Hemicellulose</t>
  </si>
  <si>
    <t>Lignin</t>
  </si>
  <si>
    <t>Dry Tonnes
 per day</t>
  </si>
  <si>
    <t>Dry Tonnes
 per year</t>
  </si>
  <si>
    <t>ash/extractives</t>
  </si>
  <si>
    <t>Moisture content</t>
  </si>
  <si>
    <t>HW forest residues</t>
  </si>
  <si>
    <t>HW pulpwood</t>
  </si>
  <si>
    <t>SW forest residues</t>
  </si>
  <si>
    <t xml:space="preserve">J. Chil. Chem. Soc., 49, N 3 (2004): 251-256 </t>
  </si>
  <si>
    <t>SW pulpwood</t>
  </si>
  <si>
    <t>EFFECT OF TREE AGE ON VARIATION OF PINUS RADIATA D. DON CHEMICAL COMPOSITION</t>
  </si>
  <si>
    <t>Cane trash</t>
  </si>
  <si>
    <t>http://www.scielo.br/scielo.php?script=sci_arttext&amp;pid=S0103-90162013000500004</t>
  </si>
  <si>
    <t>Mallee Eucalypt</t>
  </si>
  <si>
    <t>l / tonnes</t>
  </si>
  <si>
    <t>L per day</t>
  </si>
  <si>
    <t>L per hour</t>
  </si>
  <si>
    <t>Cellulose recovery yield</t>
  </si>
  <si>
    <t>pre-hydrolysis</t>
  </si>
  <si>
    <t xml:space="preserve">Cellulose (glucan)  to glucose mass conversion </t>
  </si>
  <si>
    <t>mass conversion</t>
  </si>
  <si>
    <t>Cellulose to glucose conversion</t>
  </si>
  <si>
    <t>hydrolysis</t>
  </si>
  <si>
    <t>Glucose fermentation yield</t>
  </si>
  <si>
    <t>fermentation</t>
  </si>
  <si>
    <t>Cellulose to ethanol yield</t>
  </si>
  <si>
    <t>Hemicellulose recovery yield</t>
  </si>
  <si>
    <t xml:space="preserve">Hemicellulose (xylan)  to xylose mass conversion </t>
  </si>
  <si>
    <t>Hemicellulose to xylose conversion</t>
  </si>
  <si>
    <t>Xylose fermentation yield</t>
  </si>
  <si>
    <t>Xylose to ethanol conversion ratio</t>
  </si>
  <si>
    <t>Hemicellulose to ethanol yield</t>
  </si>
  <si>
    <t xml:space="preserve">Ethanol </t>
  </si>
  <si>
    <t>000 t/y</t>
  </si>
  <si>
    <t>Hemiicellulose</t>
  </si>
  <si>
    <t>Fuel production</t>
  </si>
  <si>
    <t xml:space="preserve">eff = </t>
  </si>
  <si>
    <t>NCV=</t>
  </si>
  <si>
    <t>KJ/kg</t>
  </si>
  <si>
    <t>Electricty balance</t>
  </si>
  <si>
    <t>Price, $/MWH</t>
  </si>
  <si>
    <t>Electricity</t>
  </si>
  <si>
    <t>MWH</t>
  </si>
  <si>
    <t>Electricity from lignin</t>
  </si>
  <si>
    <t>Electiricty from biogas</t>
  </si>
  <si>
    <t>Electricty consumed</t>
  </si>
  <si>
    <t>Excess electricity produced</t>
  </si>
  <si>
    <t>Harvest cost / incr for cane
$/t</t>
  </si>
  <si>
    <t>Field processing
$/t</t>
  </si>
  <si>
    <t>Transport
$/t</t>
  </si>
  <si>
    <t>Stumpage or W/bridge fee
$/t</t>
  </si>
  <si>
    <t>Capital recovery
$/t</t>
  </si>
  <si>
    <t>Total
$/t</t>
  </si>
  <si>
    <t>Sulphuric Acid</t>
  </si>
  <si>
    <t>kg per dry t of biomass</t>
  </si>
  <si>
    <t>Ammonia</t>
  </si>
  <si>
    <t>Endo-ß-glucanase</t>
  </si>
  <si>
    <t>Exo-ß-glucanase</t>
  </si>
  <si>
    <t>ß-glucosidase</t>
  </si>
  <si>
    <t>C6 -Yeast cream</t>
  </si>
  <si>
    <t>C5 -Yeast cream</t>
  </si>
  <si>
    <t>DDGS Plant Chemicals (not relevant)</t>
  </si>
  <si>
    <t>Pre-Treatment</t>
  </si>
  <si>
    <t>Hydrolysis</t>
  </si>
  <si>
    <t>Feed dillution</t>
  </si>
  <si>
    <t>Cooling water for hydrolysis</t>
  </si>
  <si>
    <t>Pre-treatment</t>
  </si>
  <si>
    <t>Saccharification and Fermentation</t>
  </si>
  <si>
    <t>Pressure filtration</t>
  </si>
  <si>
    <t>Cogen Plant</t>
  </si>
  <si>
    <t>Lignin by-product</t>
  </si>
  <si>
    <t>1 sales manager</t>
  </si>
  <si>
    <t>1 office manager, 1 payroll,1 accounts/reception</t>
  </si>
  <si>
    <t>Excess electricity</t>
  </si>
  <si>
    <t>Stockpile and wood handling</t>
  </si>
  <si>
    <t>Pretreatment</t>
  </si>
  <si>
    <t>Enzyme production</t>
  </si>
  <si>
    <t>Enzymtic hydrolysis and Fermentation Plant</t>
  </si>
  <si>
    <t>Offsets</t>
  </si>
  <si>
    <t>Total production cost ($/L)</t>
  </si>
  <si>
    <t>Total production costs ($/L) before depreciation and interest</t>
  </si>
  <si>
    <t>Net production cost</t>
  </si>
  <si>
    <t>Co-product credit</t>
  </si>
  <si>
    <t>Co-product credit (biodunder, electricity generation credits)</t>
  </si>
  <si>
    <t>Net production cost ($/L)</t>
  </si>
  <si>
    <t>Co-product credit (bran, DDGS, electricity generation credits)</t>
  </si>
  <si>
    <t>Co-product credit (bran, germ, gluten, DDGS, electricity generation credits)</t>
  </si>
  <si>
    <t>Offset</t>
  </si>
  <si>
    <t>Loan Method</t>
  </si>
  <si>
    <t>Fixed rate</t>
  </si>
  <si>
    <t>Grant %</t>
  </si>
  <si>
    <t>Loan %</t>
  </si>
  <si>
    <t>Repayment (years)</t>
  </si>
  <si>
    <t>Investor %</t>
  </si>
  <si>
    <t>No payments made during construction</t>
  </si>
  <si>
    <t>Operation</t>
  </si>
  <si>
    <t>B-Syrup</t>
  </si>
  <si>
    <t>Base Replacement Cost ($'000)</t>
  </si>
  <si>
    <t>Table 2 - Capital Cost per Litre ($/L)</t>
  </si>
  <si>
    <t>Table 3 - Feedstock cost per Litre ($/L)</t>
  </si>
  <si>
    <t>Includes land cost</t>
  </si>
  <si>
    <t>Carbon Credit</t>
  </si>
  <si>
    <t>Carbon Content</t>
  </si>
  <si>
    <t>C MW</t>
  </si>
  <si>
    <t>O</t>
  </si>
  <si>
    <t>C02</t>
  </si>
  <si>
    <t>Total carbon</t>
  </si>
  <si>
    <t>Lignin Carbon</t>
  </si>
  <si>
    <t>Carbon saved</t>
  </si>
  <si>
    <t>Feedstocks locations</t>
  </si>
  <si>
    <t>Northern Region</t>
  </si>
  <si>
    <t>Burdekin</t>
  </si>
  <si>
    <t>Central Region</t>
  </si>
  <si>
    <t>Southern Region</t>
  </si>
  <si>
    <t>Measured from Cairns</t>
  </si>
  <si>
    <t>Measured from Townsville</t>
  </si>
  <si>
    <t>Measured from Mackay</t>
  </si>
  <si>
    <t>Measured from Bundaberg</t>
  </si>
  <si>
    <t>Eden</t>
  </si>
  <si>
    <t>Tumut</t>
  </si>
  <si>
    <t>Griffith</t>
  </si>
  <si>
    <t>Nyngan</t>
  </si>
  <si>
    <t>Pillaga</t>
  </si>
  <si>
    <t>Grafton</t>
  </si>
  <si>
    <t>Inglewood</t>
  </si>
  <si>
    <t>Distance to Sydney (km)</t>
  </si>
  <si>
    <t>Richmond Range</t>
  </si>
  <si>
    <t>Basis of Estimate</t>
  </si>
  <si>
    <t>Base Estimate</t>
  </si>
  <si>
    <t>Margin</t>
  </si>
  <si>
    <t>Drawdown</t>
  </si>
  <si>
    <t>Cassava Pulp</t>
  </si>
  <si>
    <t>Casava pulp</t>
  </si>
  <si>
    <t>Cassava pulp (Stockfeed)</t>
  </si>
  <si>
    <t>located adjacent to blend plant</t>
  </si>
  <si>
    <t>Stockfeed plant</t>
  </si>
  <si>
    <t>Total loan period</t>
  </si>
  <si>
    <t>Co-product credit (DDGS, electricity generation credits)</t>
  </si>
  <si>
    <t>1 office manager, 1 accounts, 1 reception assistant</t>
  </si>
  <si>
    <t>Sustaining Capital</t>
  </si>
  <si>
    <t>Total Production Cost with Margin</t>
  </si>
  <si>
    <t>Scenario 2, XXXX</t>
  </si>
  <si>
    <t>Walgett</t>
  </si>
  <si>
    <t>Moree</t>
  </si>
  <si>
    <t>Wyadra</t>
  </si>
  <si>
    <t>C-Syrup (Sucrosic)</t>
  </si>
  <si>
    <t>Wheat Integrated (Starch)</t>
  </si>
  <si>
    <t>Sorghum (Starch)</t>
  </si>
  <si>
    <t>Forest Residues (Cellulosic)</t>
  </si>
  <si>
    <t>Wharfage and craneage</t>
  </si>
  <si>
    <t>S1</t>
  </si>
  <si>
    <t>S2</t>
  </si>
  <si>
    <t>S3</t>
  </si>
  <si>
    <t>S4</t>
  </si>
  <si>
    <t>S5</t>
  </si>
  <si>
    <t>S6</t>
  </si>
  <si>
    <t>S7</t>
  </si>
  <si>
    <t>S8</t>
  </si>
  <si>
    <t>S9</t>
  </si>
  <si>
    <t>S10</t>
  </si>
  <si>
    <t>Dunder</t>
  </si>
  <si>
    <t>Cost / L</t>
  </si>
  <si>
    <t>S11</t>
  </si>
  <si>
    <t>Item</t>
  </si>
  <si>
    <t>Admin and Overheads</t>
  </si>
  <si>
    <t>Note: This includes costs to produce gluten</t>
  </si>
  <si>
    <t>Bran, DDGS delivery</t>
  </si>
  <si>
    <t>Electrical</t>
  </si>
  <si>
    <t>water</t>
  </si>
  <si>
    <t>DDGS Delivery</t>
  </si>
  <si>
    <t>DDGS delivery</t>
  </si>
  <si>
    <t>Allocators used for Wheat Integrated (Starch) feedstock</t>
  </si>
  <si>
    <t>C-Syrup (Sucrosic Model)</t>
  </si>
  <si>
    <t>Sorgum (Starch) model</t>
  </si>
  <si>
    <t>Forest Residues (Cellulosic) Model</t>
  </si>
  <si>
    <t>Used in "Production Cost" tab to remove costs associated with the production of gluten</t>
  </si>
  <si>
    <t>Capital Costs (before allowances) ($M)</t>
  </si>
  <si>
    <t>DISCLAIMER</t>
  </si>
  <si>
    <t>AECOM has used its reasonable endeavours to ensure that the data contained in the Model and accompanying Report reflects the most accurate and timely information available to it and is based on information that was current as of the date of the Report.</t>
  </si>
  <si>
    <t>The Model and accompanying Report is based on estimates, assumptions and other information developed by AECOM from its independent research effort, general knowledge of the industry and consultations with IPART, IPARTs employees and representatives. No warranty or representation is made by AECOM that any of the projected values or results contained in the Model will actually be achieved, nor is AECOM responsible for any misuse or misinterpretation of the information presented. In addition, the Model and accompanying Report is based upon information that was obtained on or before the date in which the Report was prepared. Circumstances and events may occur following the date on which such information was obtained that are beyond our control and which may affect the findings or projections contained in the Report. We may not be held responsible for such circumstances or events and specifically disclaim any responsibility therefore.</t>
  </si>
  <si>
    <t>AECOM has relied on information provided by IPART and by third parties (Information Providers) to produce the Model and accompanying Report and arrive at its conclusions. AECOM has not verified information provided by Information Providers (unless specifically noted otherwise) and we assume no responsibility and make no representations with respect to the adequacy, accuracy or completeness of such information. No responsibility is assumed for inaccuracies in reporting by Information Providers including, without limitation, by IPART employees or representatives or for inaccuracies in any other data source whether provided in writing or orally used in preparing or presenting the Model and accompanying Report.</t>
  </si>
  <si>
    <t xml:space="preserve">In no event, regardless of whether AECOM’s consent has been provided, shall AECOM assume any liability or responsibility to any third party to whom the Model and accompanying Report is disclosed or otherwise made available. </t>
  </si>
  <si>
    <t>The conclusions of the Model and accompanying Report must be viewed in the context of the entire Model and accompanying Report including, without limitation, any assumptions made and disclaimers provided. The conclusions in the accompanying Report must not be excised from the body of the Report under any circumstances.</t>
  </si>
  <si>
    <t>This Model and accompanying Report is provided solely for IPARTs use in connection with the purpose in respect of which the Model and accompanying Report are provided. Use of this Model and accompanying Report does not carry with it the right to commercially reproduce, publish, sale, hire, lend, redistribute, abstract, excerpt or summarise the Model and accompanying Report or to use the name of AECOM in any manner without first obtaining the prior written consent of AECOM.</t>
  </si>
  <si>
    <t>Cost Estimate</t>
  </si>
  <si>
    <t>Basis for Cost Estimate</t>
  </si>
  <si>
    <t>C-Syrup</t>
  </si>
  <si>
    <t>C-Syrup &amp; B-Syrup</t>
  </si>
  <si>
    <t>C-Syrup
C-Syrup &amp; B-Syrup</t>
  </si>
  <si>
    <t>Sorgum (Starch)</t>
  </si>
  <si>
    <t>$15/t for harvest; $10/t for field processing; $15/t for transport; $5/t for stumpage; $6/t for capital recovery</t>
  </si>
  <si>
    <t>Relevent Feedstock / Model (s)</t>
  </si>
  <si>
    <t>Cassava (starch)</t>
  </si>
  <si>
    <t>Cassava chip</t>
  </si>
  <si>
    <t>Feedstock Costs ($2017FY)</t>
  </si>
  <si>
    <t>Chemical Costs ($FY17)</t>
  </si>
  <si>
    <t>ALL</t>
  </si>
  <si>
    <t>$/t</t>
  </si>
  <si>
    <t>1.9 t per KL for distillation; 0.63 t per KL for dehyration</t>
  </si>
  <si>
    <t>Vapour condensate</t>
  </si>
  <si>
    <t>4.1 t per KL</t>
  </si>
  <si>
    <t>$1/m3</t>
  </si>
  <si>
    <t>10% of cooling water demand</t>
  </si>
  <si>
    <t>KW/h</t>
  </si>
  <si>
    <t>Allowance of 75 trips per annum.</t>
  </si>
  <si>
    <t>Allowance</t>
  </si>
  <si>
    <t>Annual Cost</t>
  </si>
  <si>
    <t>Allowances</t>
  </si>
  <si>
    <t>Operational Costs ($FY17)</t>
  </si>
  <si>
    <t>Capital Costs ($2017FY)</t>
  </si>
  <si>
    <t>$M</t>
  </si>
  <si>
    <t>As above</t>
  </si>
  <si>
    <t>C-Syrup (Sucrosic); C-Syrup &amp; B-Syrup (Sucrosic)</t>
  </si>
  <si>
    <t>Allowance. $7.5M adopted for Forest Residues Cellulosic</t>
  </si>
  <si>
    <t>Allowance. $17M adopted for Forest Residues Cellulosic</t>
  </si>
  <si>
    <t>Refer to Wheat Integrated (Starch)</t>
  </si>
  <si>
    <t>Summary Tables</t>
  </si>
  <si>
    <t>Financial Model Structure/Navigation</t>
  </si>
  <si>
    <t>Recent Mackay Sugar project at the Port of Mackay</t>
  </si>
  <si>
    <t>as per above</t>
  </si>
  <si>
    <t>Recent Dalby Bioethanol drying facility</t>
  </si>
  <si>
    <t>ADI indicative quote</t>
  </si>
  <si>
    <t>Goldman Energy (+/- 25% indicative quote)</t>
  </si>
  <si>
    <t>Estimate factored from other process plant projects</t>
  </si>
  <si>
    <t>Estimate based on recent Lauke Flour mills project</t>
  </si>
  <si>
    <t>Factored from Aecom estimate/prior Vogelbusch quote</t>
  </si>
  <si>
    <t>Factored from general non-pricess building estimates</t>
  </si>
  <si>
    <t>NREL and internal estimates</t>
  </si>
  <si>
    <t>Factored from Aecom US ethanol plant estimate</t>
  </si>
  <si>
    <t>Aecom quote  / generally accepted process industry factor</t>
  </si>
  <si>
    <t>Generally accepted process industry factor (note that the estimate is accurate to +/- 50%)</t>
  </si>
  <si>
    <t>Typical market price - from $100 to 130 per tonne FIS</t>
  </si>
  <si>
    <t>Current sugar price of $0.20 US / lb with an exchange rate of 0.75 AUD and allowance for molasses component</t>
  </si>
  <si>
    <t>AWB/Graincorp web pages for prices by location</t>
  </si>
  <si>
    <t>Based on co-located dilute syrup supplied through the fence with non-starch solids and solubles included.</t>
  </si>
  <si>
    <t>$/kg</t>
  </si>
  <si>
    <t>Supplier quotes</t>
  </si>
  <si>
    <t>Estimated</t>
  </si>
  <si>
    <t>$/g</t>
  </si>
  <si>
    <t>$/litre</t>
  </si>
  <si>
    <t>Retail price</t>
  </si>
  <si>
    <t>$/mg</t>
  </si>
  <si>
    <t>Non fuel,  cost estimate</t>
  </si>
  <si>
    <t>Based on trucking model for long haul B-Double fuel tanker</t>
  </si>
  <si>
    <t>Basis of the Cost Estimate</t>
  </si>
  <si>
    <t>Appendix D in report.</t>
  </si>
  <si>
    <t>B-Syrup (Sucrosic)</t>
  </si>
  <si>
    <t>C-Syrup (Sucrosic) Loan Funding (flat)</t>
  </si>
  <si>
    <t>Wheat Integrated (Starch) Loan Funding (flat)</t>
  </si>
  <si>
    <t>Sorgum (Starch) Loan Funding (flat)</t>
  </si>
  <si>
    <t>Forest Residues (Cellulosic) Loan Funding (flat)</t>
  </si>
  <si>
    <t>Cassava (Starch) Loan Funding (flat)</t>
  </si>
  <si>
    <t>Starch Loan Funding (flat)</t>
  </si>
  <si>
    <t>Production Volume</t>
  </si>
  <si>
    <t>Levelised Delivered Cost</t>
  </si>
  <si>
    <t>Wheat (Starch)</t>
  </si>
  <si>
    <t>Cane Trash (Cellulosic)</t>
  </si>
  <si>
    <t>C Molasses</t>
  </si>
  <si>
    <t>-</t>
  </si>
  <si>
    <t>B-Syrup (Sucrosic Model)</t>
  </si>
  <si>
    <t>B-Syrup Loan Funding (flat)</t>
  </si>
  <si>
    <t>Block Co-orindates</t>
  </si>
  <si>
    <t>Btm L</t>
  </si>
  <si>
    <t>Top L</t>
  </si>
  <si>
    <t>Top R</t>
  </si>
  <si>
    <t>x</t>
  </si>
  <si>
    <t>y</t>
  </si>
  <si>
    <t>Btm R</t>
  </si>
  <si>
    <t>Cane trash (Cellulosic)</t>
  </si>
  <si>
    <t>Cane Trash (Cellulosic) Loan Funding (flat)</t>
  </si>
  <si>
    <t>Table 1a - Levelised annual production cost per litre for 100ML capacity ($/L)</t>
  </si>
  <si>
    <t>Table 1b - Levelised annual production cost per litre for 100ML capacity ($M)</t>
  </si>
  <si>
    <t>Allowance for larger stockpile</t>
  </si>
  <si>
    <t>Cane trash stockpile</t>
  </si>
  <si>
    <t>Inflation</t>
  </si>
  <si>
    <t>Opening RAB</t>
  </si>
  <si>
    <t xml:space="preserve">  capex net of capital contributions </t>
  </si>
  <si>
    <t xml:space="preserve">  disposals </t>
  </si>
  <si>
    <t xml:space="preserve">  depreciation</t>
  </si>
  <si>
    <t xml:space="preserve">   indexation</t>
  </si>
  <si>
    <t>Closing RAB</t>
  </si>
  <si>
    <t xml:space="preserve">Calculation of return on RAB </t>
  </si>
  <si>
    <t xml:space="preserve">Value of fixed RAB on which year-end return given </t>
  </si>
  <si>
    <t>$'000</t>
  </si>
  <si>
    <t>ML /year</t>
  </si>
  <si>
    <t>$/L</t>
  </si>
  <si>
    <t>WACC Calculations</t>
  </si>
  <si>
    <t>Annual Sustaining Capital Cost ($'000)</t>
  </si>
  <si>
    <t>Table 1 - Annual Sustaining Capital costs by feedstock</t>
  </si>
  <si>
    <t>Table 3 - WACC Calculations</t>
  </si>
  <si>
    <t>Table 2 - WACC Summary</t>
  </si>
  <si>
    <t>Period average</t>
  </si>
  <si>
    <t>Annual Ethanol Charge</t>
  </si>
  <si>
    <t>WACC</t>
  </si>
  <si>
    <t>7. Cost of Capital</t>
  </si>
  <si>
    <t>Depreciation, Interest, Margin</t>
  </si>
  <si>
    <t>Pre-tax real WACC point estimate</t>
  </si>
  <si>
    <t>Check</t>
  </si>
  <si>
    <t>Return on asset base (pre-tax)</t>
  </si>
  <si>
    <t>Return on asset base + depn</t>
  </si>
  <si>
    <t>$</t>
  </si>
  <si>
    <t>Imported Starch</t>
  </si>
  <si>
    <t>Cooling water loss (makeup)</t>
  </si>
  <si>
    <t>Levelised annual production cost ($/L)</t>
  </si>
  <si>
    <t>Levelised annual production cost ($M)</t>
  </si>
  <si>
    <t>Landed cassava chip price in Australia.</t>
  </si>
  <si>
    <t>Current Thai FOB price + freight + port handling</t>
  </si>
  <si>
    <t>Change in feedstock price</t>
  </si>
  <si>
    <t>Delivery to</t>
  </si>
  <si>
    <t>Base-case location</t>
  </si>
  <si>
    <t>Overhead savings as a result of integration</t>
  </si>
  <si>
    <t>Feedstock savings as a result of integration</t>
  </si>
  <si>
    <t>Bran and DDGS Delivery</t>
  </si>
  <si>
    <t>ML</t>
  </si>
  <si>
    <t>Wheat Standalone (Starch)</t>
  </si>
  <si>
    <t xml:space="preserve">Items based on prior Vogelbusch quote / AECOM estimate. </t>
  </si>
  <si>
    <t>Estimate based on GEA indicative quote</t>
  </si>
  <si>
    <t>Plant Production</t>
  </si>
  <si>
    <t>Annual plant output of ethanol (ML/year)</t>
  </si>
  <si>
    <t>Feedstock Locations</t>
  </si>
  <si>
    <t>Ethanol Margin</t>
  </si>
  <si>
    <t>Financial Inputs</t>
  </si>
  <si>
    <t>Method</t>
  </si>
  <si>
    <t>Useful Life</t>
  </si>
  <si>
    <t>Interest rate (construction.)</t>
  </si>
  <si>
    <t>drawdown</t>
  </si>
  <si>
    <t>repayment period</t>
  </si>
  <si>
    <t>Financial Method</t>
  </si>
  <si>
    <t>(Loan is not repaid in the construction period)</t>
  </si>
  <si>
    <t>SL Factor</t>
  </si>
  <si>
    <t>Acc Factor</t>
  </si>
  <si>
    <t>Assumptions</t>
  </si>
  <si>
    <t>Capital cost base</t>
  </si>
  <si>
    <t>PM Services</t>
  </si>
  <si>
    <t>(ML/year)</t>
  </si>
  <si>
    <t>(%)</t>
  </si>
  <si>
    <t>Margin on costs</t>
  </si>
  <si>
    <t>Construction years</t>
  </si>
  <si>
    <t>Delivery distance (km)</t>
  </si>
  <si>
    <t>IPART Interactive Adjustments</t>
  </si>
  <si>
    <t>Changes made in the "Interactive" tab take precedent over the variables above.</t>
  </si>
  <si>
    <t>Inflation rate</t>
  </si>
  <si>
    <t>Life of new assets</t>
  </si>
  <si>
    <t>Nominal risk free rate</t>
  </si>
  <si>
    <t>Market risk premium</t>
  </si>
  <si>
    <t>Inputs</t>
  </si>
  <si>
    <t>TABLE 1 - WACC PARAMETERS, RANGES AND MIDPOINTS</t>
  </si>
  <si>
    <t>Current WACC range</t>
  </si>
  <si>
    <t>Long-term WACC range</t>
  </si>
  <si>
    <t>Final WACC range</t>
  </si>
  <si>
    <t>lower</t>
  </si>
  <si>
    <t>midpt</t>
  </si>
  <si>
    <t>upper</t>
  </si>
  <si>
    <t>Updated to 7 September 2016</t>
  </si>
  <si>
    <t>Debt margin</t>
  </si>
  <si>
    <t xml:space="preserve">Debt funding </t>
  </si>
  <si>
    <t xml:space="preserve">Equity funding </t>
  </si>
  <si>
    <t>Total funding (debt+equity)</t>
  </si>
  <si>
    <t>Gamma</t>
  </si>
  <si>
    <t>Corporate tax rate</t>
  </si>
  <si>
    <t>Effective tax rate for equity</t>
  </si>
  <si>
    <t>Effective tax rate for debt</t>
  </si>
  <si>
    <t>Equity beta</t>
  </si>
  <si>
    <t>Cost of equity (nominal post-tax)</t>
  </si>
  <si>
    <t>Cost of equity (real post-tax)</t>
  </si>
  <si>
    <t>Cost of debt (nominal pre-tax)</t>
  </si>
  <si>
    <t>Cost of debt (real pre-tax)</t>
  </si>
  <si>
    <t>Cost of debt (nominal post-tax)</t>
  </si>
  <si>
    <t>Cost of debt (real post-tax)</t>
  </si>
  <si>
    <t xml:space="preserve">Nominal Vanilla (Post-tax nominal) WACC </t>
  </si>
  <si>
    <t>Post-tax real WACC</t>
  </si>
  <si>
    <t>Pre-tax nominal WACC</t>
  </si>
  <si>
    <t>Note: The final WACC range is given by the midpoints of the WACCs using current market data and long-term averages</t>
  </si>
  <si>
    <t xml:space="preserve">             That is, the minimum of the 2 midpoints will be the lower bound of the final WACC range,  and the maximum of the 2 midpoints will be the upper bound of the final WACC range.</t>
  </si>
  <si>
    <t xml:space="preserve">             However, it may not always be the case that the individual WACC parameters used to estimate the lower bound are lower than those used to estimate the upper bound</t>
  </si>
  <si>
    <t>TABLE 2 - POINT ESTIMATES FOR WACC PARAMETERS</t>
  </si>
  <si>
    <t>Based on the level of market uncertainty, using IPART's 'uncertainty index' (see Cover worksheet)</t>
  </si>
  <si>
    <t>Weights for current and long-term WACC range</t>
  </si>
  <si>
    <t>Current market data</t>
  </si>
  <si>
    <t>Note: IPART uses 50% unless the 'uncertainty index'  exceeds one standard deviation of the long-term average of 0.</t>
  </si>
  <si>
    <t>Long-term averages</t>
  </si>
  <si>
    <t>Total weight</t>
  </si>
  <si>
    <t>Parameters</t>
  </si>
  <si>
    <t>Point estimate</t>
  </si>
  <si>
    <t>Nominal Vanilla (Post-tax nominal) WACC point estimate</t>
  </si>
  <si>
    <t>Post-tax real WACC point estimate</t>
  </si>
  <si>
    <t>Pre-tax nominal WACC point estimate</t>
  </si>
  <si>
    <t>RAB return and Tax Calculations</t>
  </si>
  <si>
    <t>Remaining life of opening assets</t>
  </si>
  <si>
    <t>Useful life of new assets</t>
  </si>
  <si>
    <t>per year</t>
  </si>
  <si>
    <t>% capex in year depreciated</t>
  </si>
  <si>
    <t>Debt to total asset</t>
  </si>
  <si>
    <t>CPI index</t>
  </si>
  <si>
    <t>$'000 real</t>
  </si>
  <si>
    <t>opening value + 50% of capex</t>
  </si>
  <si>
    <t>Return on asset base (post-tax, year end value)</t>
  </si>
  <si>
    <t>Return on asset base + depn, mid-year value</t>
  </si>
  <si>
    <t>Tax depreciation</t>
  </si>
  <si>
    <t>Opening TVA</t>
  </si>
  <si>
    <t>$'000 nominal</t>
  </si>
  <si>
    <t xml:space="preserve">  no indexation for TVA</t>
  </si>
  <si>
    <t>Closing TVA</t>
  </si>
  <si>
    <t xml:space="preserve">Tax allowance </t>
  </si>
  <si>
    <t>excl opex</t>
  </si>
  <si>
    <t xml:space="preserve">  less</t>
  </si>
  <si>
    <t>no opex</t>
  </si>
  <si>
    <t>NA - Operating expenditure</t>
  </si>
  <si>
    <t>Interest deductible</t>
  </si>
  <si>
    <t>Nominal RAB x debt ratio x cost of dect</t>
  </si>
  <si>
    <t>Taxable income for the year</t>
  </si>
  <si>
    <t>Tax before adjustment for franking credits</t>
  </si>
  <si>
    <t>Adjustment for franking credits</t>
  </si>
  <si>
    <t>Tax net of adjustment for franking credits</t>
  </si>
  <si>
    <t>Return on asset base + depn + tax allowance</t>
  </si>
  <si>
    <t>Method checks</t>
  </si>
  <si>
    <t>RAB depreciation</t>
  </si>
  <si>
    <t>Depr on opening value</t>
  </si>
  <si>
    <t>Total capex depreciated</t>
  </si>
  <si>
    <t>capex depreciation</t>
  </si>
  <si>
    <t>check = 0</t>
  </si>
  <si>
    <t>TVA depreciation</t>
  </si>
  <si>
    <t>depreciation on capex</t>
  </si>
  <si>
    <t>RAB ($'000)</t>
  </si>
  <si>
    <t>Table 3 - Closing RAB when operations commences ($'000)</t>
  </si>
  <si>
    <t>Return on RAB + depn</t>
  </si>
  <si>
    <t>Rank</t>
  </si>
  <si>
    <t>Data Tables - range of possible feedstock production in NSW &amp; QLD</t>
  </si>
  <si>
    <t>Data Tables - wider range of production</t>
  </si>
  <si>
    <t>Feedstock Variance - Min</t>
  </si>
  <si>
    <t>Feedstock Variance - Max</t>
  </si>
  <si>
    <t>Refer to section 4.3</t>
  </si>
  <si>
    <t>$120 adopted as base case.  Range of $100-130 per tonne</t>
  </si>
  <si>
    <t>Refer to section 3.4.3</t>
  </si>
  <si>
    <t>Refer to Section 3.2.1
$180 adopted. Range of $160-230</t>
  </si>
  <si>
    <t>Min Variablility ($)</t>
  </si>
  <si>
    <t>Max Variablility ($)</t>
  </si>
  <si>
    <t>Refer to section 3.2.2</t>
  </si>
  <si>
    <t>Max feedstock price ($)</t>
  </si>
  <si>
    <t>Min feedstock Price</t>
  </si>
  <si>
    <t>Capital Exponent</t>
  </si>
  <si>
    <r>
      <t xml:space="preserve">Required revenue excluding tax liability </t>
    </r>
    <r>
      <rPr>
        <sz val="10"/>
        <rFont val="Arial"/>
        <family val="2"/>
      </rPr>
      <t>and opex</t>
    </r>
  </si>
  <si>
    <t>Owner's Cost</t>
  </si>
  <si>
    <t>Fixed price p.u. ethanol</t>
  </si>
  <si>
    <t>Cost impact of increasing production capacity (per litre of ethanol)</t>
  </si>
  <si>
    <t>Proportional to capital value</t>
  </si>
  <si>
    <t>Increases at approx 66% of capacity increase</t>
  </si>
  <si>
    <t xml:space="preserve"> ML/year</t>
  </si>
  <si>
    <r>
      <t xml:space="preserve">(%)   </t>
    </r>
    <r>
      <rPr>
        <i/>
        <sz val="10"/>
        <rFont val="Arial"/>
        <family val="2"/>
      </rPr>
      <t>[Not used if WACC method selected]</t>
    </r>
  </si>
  <si>
    <t>Default Financial Year</t>
  </si>
  <si>
    <t>Interest rate (op.)</t>
  </si>
  <si>
    <t>Note:  Cells with a yellow background may be edited</t>
  </si>
  <si>
    <t>Without the prior written consent of AECOM, the Model and accompanying Report is not to be used in conjunction with any public or private offering of securities or other similar purpose where it might be relied upon to any degree.</t>
  </si>
  <si>
    <r>
      <t xml:space="preserve">Controlled in Interactive tab
</t>
    </r>
    <r>
      <rPr>
        <sz val="10"/>
        <rFont val="Arial"/>
        <family val="2"/>
      </rPr>
      <t>(100 ML/year base case)</t>
    </r>
  </si>
  <si>
    <t>Table 4 - Feedstock price variance</t>
  </si>
  <si>
    <t>AECOM</t>
  </si>
  <si>
    <t>Project Inputs</t>
  </si>
  <si>
    <t>Feedstock Models</t>
  </si>
  <si>
    <t>Note:  Cells with a yellow background contain hyperlinks</t>
  </si>
  <si>
    <t>$ per kg.km</t>
  </si>
  <si>
    <t>Closest Location</t>
  </si>
  <si>
    <t>Furthest Location</t>
  </si>
  <si>
    <t>Base Case</t>
  </si>
  <si>
    <t>Furtherest</t>
  </si>
  <si>
    <t>Back haulage Available</t>
  </si>
  <si>
    <t>Delivery Distance (km)</t>
  </si>
  <si>
    <t>Remaining lives of assets (years)</t>
  </si>
  <si>
    <t>Note:  WACC method, as determined by IPART</t>
  </si>
  <si>
    <t>IPART assume 25% Debt</t>
  </si>
  <si>
    <t>Cane Trash (Cellulosic) Model</t>
  </si>
  <si>
    <t>Cost of Debt (nominal post-tax)</t>
  </si>
  <si>
    <t>Outputs / Sensitivities</t>
  </si>
  <si>
    <t>X Location</t>
  </si>
  <si>
    <t>Height</t>
  </si>
  <si>
    <t>Y Location</t>
  </si>
  <si>
    <t>C-Syrup 
(Sucrosic)</t>
  </si>
  <si>
    <t>Sorghum 
(Starch)</t>
  </si>
  <si>
    <t>Forest Residues 
(Cellulosic)</t>
  </si>
  <si>
    <t>B-Syrup 
(Sucrosic)</t>
  </si>
  <si>
    <t>Cane Trash 
(Cellulosic)</t>
  </si>
  <si>
    <t>X Coordinates</t>
  </si>
  <si>
    <t>Y Coordinates</t>
  </si>
  <si>
    <t>Riverina</t>
  </si>
  <si>
    <t>Southern NSW</t>
  </si>
  <si>
    <t>Darling Downs</t>
  </si>
  <si>
    <t>Measured to Chinchilla</t>
  </si>
  <si>
    <t>Scenario 1, Scale Impact</t>
  </si>
  <si>
    <t>Scenario 2, Location Impact</t>
  </si>
  <si>
    <t>Data Tables - wider range of production (used in "LevelisedCost" Chart)</t>
  </si>
  <si>
    <t>Data Tables - Range of possible feedstock production in NSW &amp; QLD</t>
  </si>
  <si>
    <t>Data Range for ProductionCurve Chart (unranked)</t>
  </si>
  <si>
    <t>Data Range for ProductionCurve Chart (ranked)</t>
  </si>
  <si>
    <t>Labels for ProductionCurve Chart</t>
  </si>
  <si>
    <t>Sensitivities</t>
  </si>
  <si>
    <t>Data tables located on Interactive Tab</t>
  </si>
  <si>
    <t>October 2016</t>
  </si>
  <si>
    <t>Imported Starch (Cassava) Model</t>
  </si>
  <si>
    <t>60515181-MOD-005-Efficent Cost of New Entrant -Public Model</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</si>
</sst>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8" formatCode="&quot;$&quot;#,##0.00;[Red]\-&quot;$&quot;#,##0.00"/>
    <numFmt numFmtId="41" formatCode="_-* #,##0_-;\-* #,##0_-;_-* &quot;-&quot;_-;_-@_-"/>
    <numFmt numFmtId="44" formatCode="_-&quot;$&quot;* #,##0.00_-;\-&quot;$&quot;* #,##0.00_-;_-&quot;$&quot;* &quot;-&quot;??_-;_-@_-"/>
    <numFmt numFmtId="43" formatCode="_-* #,##0.00_-;\-* #,##0.00_-;_-* &quot;-&quot;??_-;_-@_-"/>
    <numFmt numFmtId="164" formatCode="&quot;$&quot;#,##0_);[Red]\(&quot;$&quot;#,##0\)"/>
    <numFmt numFmtId="165" formatCode="0.0%"/>
    <numFmt numFmtId="166" formatCode="_-* #,##0_-;\-* #,##0_-;_-* &quot;-&quot;??_-;_-@_-"/>
    <numFmt numFmtId="167" formatCode="#,##0.0"/>
    <numFmt numFmtId="168" formatCode="_-* #,##0.000_-;\-* #,##0.000_-;_-* &quot;-&quot;??_-;_-@_-"/>
    <numFmt numFmtId="169" formatCode="_-* #,##0.0_-;\-* #,##0.0_-;_-* &quot;-&quot;??_-;_-@_-"/>
    <numFmt numFmtId="170" formatCode="_-&quot;$&quot;* #,##0_-;\-&quot;$&quot;* #,##0_-;_-&quot;$&quot;* &quot;-&quot;??_-;_-@_-"/>
    <numFmt numFmtId="171" formatCode="0.0"/>
    <numFmt numFmtId="172" formatCode="&quot;$&quot;#,##0"/>
    <numFmt numFmtId="173" formatCode="0.000"/>
    <numFmt numFmtId="174" formatCode="&quot;$&quot;#,##0,"/>
    <numFmt numFmtId="175" formatCode="&quot;$&quot;#,##0.00"/>
    <numFmt numFmtId="176" formatCode="0.0000000%"/>
    <numFmt numFmtId="177" formatCode="0.0000%"/>
    <numFmt numFmtId="178" formatCode="0.000%"/>
    <numFmt numFmtId="179" formatCode="_-* #,##0.0_-;\-* #,##0.0_-;_-* &quot;-&quot;?_-;_-@_-"/>
    <numFmt numFmtId="180" formatCode="_-* #,##0.000000_-;\-* #,##0.000000_-;_-* &quot;-&quot;??_-;_-@_-"/>
    <numFmt numFmtId="181" formatCode="0.000000%"/>
    <numFmt numFmtId="182" formatCode="_(* #,##0.0_);_(* \(#,##0.0\);_(* &quot;-&quot;??_);_(@_)"/>
    <numFmt numFmtId="183" formatCode="_(* #,##0_);_(* \(#,##0\);_(* &quot;-&quot;??_);_(@_)"/>
    <numFmt numFmtId="184" formatCode="0.0000"/>
    <numFmt numFmtId="185" formatCode="&quot;$&quot;#,##0.000"/>
    <numFmt numFmtId="186" formatCode="#,##0.0,,_);[Red]\(#,##0.0,,\)"/>
    <numFmt numFmtId="187" formatCode="#,##0.00_ ;\-#,##0.00\ "/>
    <numFmt numFmtId="188" formatCode="#,##0.0_ ;\-#,##0.0\ "/>
    <numFmt numFmtId="189" formatCode="_(* #,##0.00_);_(* \(#,##0.00\);_(* &quot;-&quot;_);_(@_)"/>
    <numFmt numFmtId="190" formatCode="_(* #,##0.0_);_(* \(#,##0.0\);_(* &quot;-&quot;?_);_(@_)"/>
    <numFmt numFmtId="191" formatCode="#,##0_ ;\-#,##0\ "/>
    <numFmt numFmtId="192" formatCode="[$-409]d/mmm/yyyy;@"/>
    <numFmt numFmtId="193" formatCode="[$-409]mmmm\ d\,\ yyyy;@"/>
  </numFmts>
  <fonts count="64" x14ac:knownFonts="1">
    <font>
      <sz val="10"/>
      <name val="Arial"/>
      <family val="2"/>
    </font>
    <font>
      <sz val="9"/>
      <name val="Arial"/>
      <family val="2"/>
    </font>
    <font>
      <sz val="9"/>
      <color theme="1"/>
      <name val="Arial"/>
      <family val="2"/>
    </font>
    <font>
      <sz val="9"/>
      <color theme="1"/>
      <name val="Arial"/>
      <family val="2"/>
    </font>
    <font>
      <sz val="9"/>
      <color theme="1"/>
      <name val="Arial"/>
      <family val="2"/>
    </font>
    <font>
      <sz val="9"/>
      <color theme="1"/>
      <name val="Arial"/>
      <family val="2"/>
    </font>
    <font>
      <sz val="10"/>
      <name val="Arial"/>
      <family val="2"/>
    </font>
    <font>
      <b/>
      <sz val="16"/>
      <color theme="3"/>
      <name val="Arial"/>
      <family val="2"/>
    </font>
    <font>
      <b/>
      <sz val="10"/>
      <color rgb="FFC00000"/>
      <name val="Arial"/>
      <family val="2"/>
    </font>
    <font>
      <b/>
      <sz val="18"/>
      <name val="Arial"/>
      <family val="2"/>
    </font>
    <font>
      <b/>
      <sz val="10"/>
      <color theme="3"/>
      <name val="Arial"/>
      <family val="2"/>
    </font>
    <font>
      <b/>
      <sz val="10"/>
      <name val="Arial"/>
      <family val="2"/>
    </font>
    <font>
      <vertAlign val="superscript"/>
      <sz val="10"/>
      <name val="Arial"/>
      <family val="2"/>
    </font>
    <font>
      <sz val="14"/>
      <color rgb="FFC00000"/>
      <name val="Arial"/>
      <family val="2"/>
    </font>
    <font>
      <sz val="11"/>
      <color theme="1"/>
      <name val="Calibri"/>
      <family val="2"/>
      <scheme val="minor"/>
    </font>
    <font>
      <b/>
      <sz val="14"/>
      <color theme="0"/>
      <name val="Calibri"/>
      <family val="2"/>
      <scheme val="minor"/>
    </font>
    <font>
      <b/>
      <sz val="12"/>
      <color theme="1"/>
      <name val="Arial"/>
      <family val="2"/>
    </font>
    <font>
      <b/>
      <sz val="9"/>
      <color theme="0"/>
      <name val="Arial"/>
      <family val="2"/>
    </font>
    <font>
      <sz val="9"/>
      <color theme="0"/>
      <name val="Arial"/>
      <family val="2"/>
    </font>
    <font>
      <sz val="10"/>
      <color theme="0" tint="-0.499984740745262"/>
      <name val="Arial"/>
      <family val="2"/>
    </font>
    <font>
      <sz val="10"/>
      <color theme="0"/>
      <name val="Arial"/>
      <family val="2"/>
    </font>
    <font>
      <b/>
      <sz val="10"/>
      <color theme="0"/>
      <name val="Arial"/>
      <family val="2"/>
    </font>
    <font>
      <sz val="9"/>
      <name val="Arial"/>
      <family val="2"/>
    </font>
    <font>
      <sz val="9"/>
      <color theme="0" tint="-0.499984740745262"/>
      <name val="Arial"/>
      <family val="2"/>
    </font>
    <font>
      <b/>
      <sz val="12"/>
      <color theme="0" tint="-0.499984740745262"/>
      <name val="Arial"/>
      <family val="2"/>
    </font>
    <font>
      <b/>
      <sz val="9"/>
      <color theme="0" tint="-0.499984740745262"/>
      <name val="Arial"/>
      <family val="2"/>
    </font>
    <font>
      <b/>
      <sz val="9"/>
      <name val="Arial"/>
      <family val="2"/>
    </font>
    <font>
      <b/>
      <sz val="12"/>
      <name val="Arial"/>
      <family val="2"/>
    </font>
    <font>
      <b/>
      <sz val="16"/>
      <name val="Arial"/>
      <family val="2"/>
    </font>
    <font>
      <sz val="10"/>
      <color theme="0" tint="-0.14999847407452621"/>
      <name val="Arial"/>
      <family val="2"/>
    </font>
    <font>
      <b/>
      <sz val="11"/>
      <color theme="0" tint="-4.9989318521683403E-2"/>
      <name val="Arial"/>
      <family val="2"/>
    </font>
    <font>
      <b/>
      <sz val="12"/>
      <color theme="0"/>
      <name val="Arial"/>
      <family val="2"/>
    </font>
    <font>
      <i/>
      <sz val="10"/>
      <color theme="1"/>
      <name val="Arial"/>
      <family val="2"/>
    </font>
    <font>
      <sz val="10"/>
      <color theme="3"/>
      <name val="Arial"/>
      <family val="2"/>
    </font>
    <font>
      <i/>
      <sz val="10"/>
      <name val="Arial"/>
      <family val="2"/>
    </font>
    <font>
      <sz val="10"/>
      <color theme="0" tint="-0.249977111117893"/>
      <name val="Arial"/>
      <family val="2"/>
    </font>
    <font>
      <sz val="9"/>
      <color theme="0" tint="-0.249977111117893"/>
      <name val="Arial"/>
      <family val="2"/>
    </font>
    <font>
      <b/>
      <i/>
      <sz val="9"/>
      <name val="Arial"/>
      <family val="2"/>
    </font>
    <font>
      <i/>
      <sz val="9"/>
      <name val="Arial"/>
      <family val="2"/>
    </font>
    <font>
      <b/>
      <i/>
      <sz val="9"/>
      <color theme="0"/>
      <name val="Arial"/>
      <family val="2"/>
    </font>
    <font>
      <sz val="8"/>
      <name val="Arial"/>
      <family val="2"/>
    </font>
    <font>
      <sz val="10"/>
      <color theme="0" tint="-0.34998626667073579"/>
      <name val="Arial"/>
      <family val="2"/>
    </font>
    <font>
      <b/>
      <sz val="10"/>
      <color rgb="FFFF0000"/>
      <name val="Arial"/>
      <family val="2"/>
    </font>
    <font>
      <b/>
      <i/>
      <sz val="10"/>
      <name val="Arial"/>
      <family val="2"/>
    </font>
    <font>
      <sz val="11"/>
      <color theme="0"/>
      <name val="Calibri"/>
      <family val="2"/>
      <scheme val="minor"/>
    </font>
    <font>
      <b/>
      <sz val="16"/>
      <color theme="0"/>
      <name val="Arial"/>
      <family val="2"/>
    </font>
    <font>
      <i/>
      <sz val="11"/>
      <name val="Arial"/>
      <family val="2"/>
    </font>
    <font>
      <sz val="10"/>
      <name val="Wingdings"/>
      <charset val="2"/>
    </font>
    <font>
      <b/>
      <sz val="11"/>
      <name val="Arial"/>
      <family val="2"/>
    </font>
    <font>
      <i/>
      <sz val="8"/>
      <name val="Arial"/>
      <family val="2"/>
    </font>
    <font>
      <sz val="9"/>
      <color theme="9" tint="0.59999389629810485"/>
      <name val="Arial"/>
      <family val="2"/>
    </font>
    <font>
      <sz val="10"/>
      <color theme="9" tint="0.59999389629810485"/>
      <name val="Arial"/>
      <family val="2"/>
    </font>
    <font>
      <b/>
      <sz val="9"/>
      <color rgb="FFFF0000"/>
      <name val="Arial"/>
      <family val="2"/>
    </font>
    <font>
      <b/>
      <sz val="9"/>
      <color indexed="9"/>
      <name val="Arial"/>
      <family val="2"/>
    </font>
    <font>
      <sz val="10"/>
      <color rgb="FF0000FF"/>
      <name val="Arial"/>
      <family val="2"/>
    </font>
    <font>
      <sz val="10"/>
      <color rgb="FFFF0000"/>
      <name val="Arial"/>
      <family val="2"/>
    </font>
    <font>
      <sz val="8"/>
      <color indexed="14"/>
      <name val="Arial"/>
      <family val="2"/>
    </font>
    <font>
      <sz val="9"/>
      <color indexed="10"/>
      <name val="Arial"/>
      <family val="2"/>
    </font>
    <font>
      <sz val="9"/>
      <color indexed="12"/>
      <name val="Arial"/>
      <family val="2"/>
    </font>
    <font>
      <b/>
      <sz val="10"/>
      <color indexed="57"/>
      <name val="Arial"/>
      <family val="2"/>
    </font>
    <font>
      <sz val="10"/>
      <color indexed="9"/>
      <name val="Arial"/>
      <family val="2"/>
    </font>
    <font>
      <b/>
      <sz val="11"/>
      <color theme="0"/>
      <name val="Arial"/>
      <family val="2"/>
    </font>
    <font>
      <b/>
      <sz val="14"/>
      <color theme="0"/>
      <name val="Arial"/>
      <family val="2"/>
    </font>
    <font>
      <b/>
      <sz val="14"/>
      <name val="Arial"/>
      <family val="2"/>
    </font>
  </fonts>
  <fills count="4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C0504D"/>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FFFF9A"/>
        <bgColor indexed="64"/>
      </patternFill>
    </fill>
    <fill>
      <patternFill patternType="solid">
        <fgColor theme="4" tint="0.39997558519241921"/>
        <bgColor indexed="64"/>
      </patternFill>
    </fill>
    <fill>
      <patternFill patternType="solid">
        <fgColor rgb="FFDDD9C4"/>
        <bgColor indexed="64"/>
      </patternFill>
    </fill>
    <fill>
      <patternFill patternType="solid">
        <fgColor theme="0" tint="-0.34998626667073579"/>
        <bgColor indexed="64"/>
      </patternFill>
    </fill>
    <fill>
      <patternFill patternType="solid">
        <fgColor rgb="FFDA9694"/>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494529"/>
        <bgColor indexed="64"/>
      </patternFill>
    </fill>
    <fill>
      <patternFill patternType="solid">
        <fgColor theme="5"/>
        <bgColor indexed="64"/>
      </patternFill>
    </fill>
    <fill>
      <patternFill patternType="solid">
        <fgColor theme="5"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C00000"/>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theme="9" tint="-0.499984740745262"/>
        <bgColor indexed="64"/>
      </patternFill>
    </fill>
    <fill>
      <patternFill patternType="solid">
        <fgColor theme="9"/>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A5A5A5"/>
      </patternFill>
    </fill>
    <fill>
      <patternFill patternType="solid">
        <fgColor rgb="FFFFFFCC"/>
      </patternFill>
    </fill>
    <fill>
      <patternFill patternType="solid">
        <fgColor indexed="44"/>
        <bgColor indexed="64"/>
      </patternFill>
    </fill>
    <fill>
      <patternFill patternType="solid">
        <fgColor indexed="18"/>
        <bgColor indexed="64"/>
      </patternFill>
    </fill>
    <fill>
      <patternFill patternType="lightGray">
        <fgColor indexed="13"/>
      </patternFill>
    </fill>
    <fill>
      <patternFill patternType="solid">
        <fgColor indexed="26"/>
        <bgColor indexed="64"/>
      </patternFill>
    </fill>
    <fill>
      <patternFill patternType="solid">
        <fgColor indexed="26"/>
        <bgColor indexed="41"/>
      </patternFill>
    </fill>
    <fill>
      <patternFill patternType="solid">
        <fgColor indexed="41"/>
        <bgColor indexed="64"/>
      </patternFill>
    </fill>
    <fill>
      <patternFill patternType="solid">
        <fgColor indexed="41"/>
        <bgColor indexed="15"/>
      </patternFill>
    </fill>
    <fill>
      <patternFill patternType="solid">
        <fgColor indexed="20"/>
        <bgColor indexed="64"/>
      </patternFill>
    </fill>
    <fill>
      <patternFill patternType="solid">
        <fgColor rgb="FFFF0000"/>
        <bgColor indexed="64"/>
      </patternFill>
    </fill>
    <fill>
      <patternFill patternType="solid">
        <fgColor rgb="FFFFC000"/>
        <bgColor indexed="64"/>
      </patternFill>
    </fill>
  </fills>
  <borders count="78">
    <border>
      <left/>
      <right/>
      <top/>
      <bottom/>
      <diagonal/>
    </border>
    <border>
      <left/>
      <right/>
      <top style="dotted">
        <color auto="1"/>
      </top>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right/>
      <top style="thin">
        <color indexed="64"/>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int="-0.24994659260841701"/>
      </top>
      <bottom style="thin">
        <color theme="0" tint="-0.24994659260841701"/>
      </bottom>
      <diagonal/>
    </border>
    <border>
      <left/>
      <right/>
      <top style="thin">
        <color indexed="64"/>
      </top>
      <bottom style="dotted">
        <color indexed="64"/>
      </bottom>
      <diagonal/>
    </border>
    <border>
      <left/>
      <right/>
      <top style="thin">
        <color indexed="64"/>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top/>
      <bottom style="thin">
        <color theme="0" tint="-0.34998626667073579"/>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thin">
        <color indexed="64"/>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right style="thin">
        <color indexed="64"/>
      </right>
      <top/>
      <bottom style="thin">
        <color theme="0" tint="-0.34998626667073579"/>
      </bottom>
      <diagonal/>
    </border>
    <border>
      <left/>
      <right style="thin">
        <color indexed="64"/>
      </right>
      <top style="thin">
        <color theme="0" tint="-0.34998626667073579"/>
      </top>
      <bottom style="thin">
        <color theme="0" tint="-0.34998626667073579"/>
      </bottom>
      <diagonal/>
    </border>
    <border>
      <left/>
      <right/>
      <top style="thin">
        <color theme="0" tint="-0.24994659260841701"/>
      </top>
      <bottom/>
      <diagonal/>
    </border>
    <border>
      <left/>
      <right/>
      <top style="medium">
        <color indexed="64"/>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top style="thin">
        <color theme="0" tint="-0.34998626667073579"/>
      </top>
      <bottom style="thin">
        <color theme="0" tint="-0.34998626667073579"/>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medium">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double">
        <color rgb="FFFF0000"/>
      </right>
      <top/>
      <bottom/>
      <diagonal/>
    </border>
    <border>
      <left/>
      <right style="double">
        <color rgb="FFFF0000"/>
      </right>
      <top style="thin">
        <color theme="0" tint="-0.24994659260841701"/>
      </top>
      <bottom style="thin">
        <color theme="0" tint="-0.24994659260841701"/>
      </bottom>
      <diagonal/>
    </border>
    <border>
      <left/>
      <right style="double">
        <color theme="6"/>
      </right>
      <top/>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style="thin">
        <color indexed="64"/>
      </right>
      <top/>
      <bottom style="thin">
        <color theme="0" tint="-0.14996795556505021"/>
      </bottom>
      <diagonal/>
    </border>
    <border>
      <left/>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indexed="64"/>
      </bottom>
      <diagonal/>
    </border>
    <border>
      <left/>
      <right/>
      <top style="thin">
        <color theme="0" tint="-0.14996795556505021"/>
      </top>
      <bottom style="thin">
        <color indexed="64"/>
      </bottom>
      <diagonal/>
    </border>
    <border>
      <left style="thin">
        <color theme="0"/>
      </left>
      <right/>
      <top/>
      <bottom style="thin">
        <color theme="0"/>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s>
  <cellStyleXfs count="48">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14"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6"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0" fontId="6" fillId="0" borderId="0" applyNumberFormat="0" applyAlignment="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10" fontId="22" fillId="36" borderId="0" applyBorder="0">
      <alignment horizontal="right"/>
      <protection locked="0"/>
    </xf>
    <xf numFmtId="3" fontId="17" fillId="37" borderId="0" applyBorder="0" applyAlignment="0"/>
    <xf numFmtId="0" fontId="2" fillId="0" borderId="0"/>
    <xf numFmtId="3" fontId="56" fillId="0" borderId="0" applyFill="0" applyBorder="0" applyAlignment="0">
      <alignment horizontal="left"/>
    </xf>
    <xf numFmtId="189" fontId="22" fillId="0" borderId="60" applyNumberFormat="0" applyFont="0" applyFill="0" applyAlignment="0" applyProtection="0">
      <alignment horizontal="left"/>
    </xf>
    <xf numFmtId="0" fontId="22" fillId="0" borderId="62" applyNumberFormat="0" applyFont="0" applyFill="0" applyAlignment="0" applyProtection="0"/>
    <xf numFmtId="0" fontId="17" fillId="34" borderId="55" applyNumberFormat="0" applyAlignment="0" applyProtection="0"/>
    <xf numFmtId="41" fontId="22" fillId="0" borderId="0" applyFont="0" applyFill="0" applyBorder="0" applyAlignment="0" applyProtection="0"/>
    <xf numFmtId="43" fontId="22" fillId="0" borderId="0" applyFont="0" applyFill="0" applyBorder="0" applyAlignment="0" applyProtection="0"/>
    <xf numFmtId="0" fontId="57" fillId="0" borderId="0"/>
    <xf numFmtId="4" fontId="22" fillId="38" borderId="0" applyBorder="0" applyAlignment="0">
      <alignment horizontal="left"/>
      <protection locked="0"/>
    </xf>
    <xf numFmtId="165" fontId="22" fillId="38" borderId="0" applyBorder="0" applyAlignment="0">
      <alignment horizontal="right"/>
      <protection locked="0"/>
    </xf>
    <xf numFmtId="190" fontId="6" fillId="39" borderId="0" applyFont="0" applyBorder="0">
      <alignment horizontal="right"/>
    </xf>
    <xf numFmtId="165" fontId="22" fillId="40" borderId="0" applyBorder="0" applyAlignment="0"/>
    <xf numFmtId="4" fontId="6" fillId="41" borderId="45" applyFont="0" applyBorder="0" applyAlignment="0">
      <alignment horizontal="right"/>
      <protection locked="0"/>
    </xf>
    <xf numFmtId="165" fontId="6" fillId="41" borderId="0" applyFont="0" applyBorder="0" applyAlignment="0">
      <protection locked="0"/>
    </xf>
    <xf numFmtId="191" fontId="22" fillId="36" borderId="0" applyBorder="0" applyAlignment="0">
      <alignment horizontal="right"/>
      <protection locked="0"/>
    </xf>
    <xf numFmtId="3" fontId="22" fillId="42" borderId="0" applyBorder="0">
      <protection locked="0"/>
    </xf>
    <xf numFmtId="10" fontId="22" fillId="42" borderId="0" applyBorder="0" applyAlignment="0">
      <protection locked="0"/>
    </xf>
    <xf numFmtId="3" fontId="58" fillId="0" borderId="0" applyNumberFormat="0" applyFill="0" applyBorder="0" applyAlignment="0">
      <protection locked="0"/>
    </xf>
    <xf numFmtId="0" fontId="59" fillId="0" borderId="0"/>
    <xf numFmtId="0" fontId="22" fillId="0" borderId="0"/>
    <xf numFmtId="0" fontId="22" fillId="35" borderId="56" applyNumberFormat="0" applyFont="0" applyAlignment="0" applyProtection="0"/>
    <xf numFmtId="0" fontId="22" fillId="35" borderId="56" applyNumberFormat="0" applyFont="0" applyAlignment="0" applyProtection="0"/>
    <xf numFmtId="9" fontId="60" fillId="0" borderId="0" applyFont="0" applyBorder="0" applyAlignment="0" applyProtection="0"/>
    <xf numFmtId="9" fontId="60" fillId="0" borderId="0" applyFont="0" applyBorder="0" applyAlignment="0" applyProtection="0"/>
    <xf numFmtId="9" fontId="22" fillId="0" borderId="0" applyFont="0" applyFill="0" applyBorder="0" applyAlignment="0" applyProtection="0"/>
    <xf numFmtId="0" fontId="53" fillId="43" borderId="0" applyNumberFormat="0" applyAlignment="0"/>
    <xf numFmtId="0" fontId="53" fillId="43" borderId="0" applyNumberFormat="0" applyBorder="0" applyAlignment="0" applyProtection="0"/>
  </cellStyleXfs>
  <cellXfs count="1625">
    <xf numFmtId="0" fontId="0" fillId="0" borderId="0" xfId="0"/>
    <xf numFmtId="0" fontId="7" fillId="2" borderId="0" xfId="0" applyFont="1" applyFill="1"/>
    <xf numFmtId="0" fontId="0" fillId="2" borderId="0" xfId="0" applyFill="1"/>
    <xf numFmtId="0" fontId="0" fillId="2" borderId="0" xfId="0" applyFill="1" applyAlignment="1">
      <alignment horizontal="center"/>
    </xf>
    <xf numFmtId="0" fontId="0" fillId="2" borderId="0" xfId="0" applyFill="1" applyAlignment="1">
      <alignment horizontal="right"/>
    </xf>
    <xf numFmtId="0" fontId="0" fillId="2" borderId="0" xfId="0" applyFill="1" applyBorder="1"/>
    <xf numFmtId="0" fontId="8" fillId="2" borderId="1" xfId="0" quotePrefix="1" applyFont="1" applyFill="1" applyBorder="1" applyAlignment="1">
      <alignment horizontal="right"/>
    </xf>
    <xf numFmtId="0" fontId="0" fillId="2" borderId="2" xfId="0" applyFill="1" applyBorder="1"/>
    <xf numFmtId="0" fontId="10" fillId="2" borderId="2" xfId="0" quotePrefix="1" applyFont="1" applyFill="1" applyBorder="1" applyAlignment="1">
      <alignment horizontal="right"/>
    </xf>
    <xf numFmtId="0" fontId="10" fillId="2" borderId="1" xfId="0" applyFont="1" applyFill="1" applyBorder="1" applyAlignment="1"/>
    <xf numFmtId="0" fontId="10" fillId="2" borderId="1" xfId="0" applyFont="1" applyFill="1" applyBorder="1" applyAlignment="1">
      <alignment horizontal="center" wrapText="1"/>
    </xf>
    <xf numFmtId="0" fontId="10" fillId="2" borderId="1" xfId="0" applyFont="1" applyFill="1" applyBorder="1" applyAlignment="1">
      <alignment horizontal="right" wrapText="1"/>
    </xf>
    <xf numFmtId="0" fontId="0" fillId="2" borderId="3" xfId="0" applyFill="1" applyBorder="1"/>
    <xf numFmtId="0" fontId="0" fillId="2" borderId="1" xfId="0" applyFill="1" applyBorder="1"/>
    <xf numFmtId="0" fontId="0" fillId="2" borderId="4" xfId="0" applyFill="1" applyBorder="1"/>
    <xf numFmtId="0" fontId="6" fillId="2" borderId="0" xfId="0" applyFont="1" applyFill="1" applyBorder="1"/>
    <xf numFmtId="165" fontId="0" fillId="3" borderId="0" xfId="3" applyNumberFormat="1" applyFont="1" applyFill="1" applyBorder="1" applyAlignment="1">
      <alignment horizontal="center"/>
    </xf>
    <xf numFmtId="166" fontId="0" fillId="2" borderId="0" xfId="1" applyNumberFormat="1" applyFont="1" applyFill="1" applyBorder="1" applyAlignment="1">
      <alignment horizontal="right"/>
    </xf>
    <xf numFmtId="166" fontId="0" fillId="2" borderId="0" xfId="1" applyNumberFormat="1" applyFont="1" applyFill="1" applyBorder="1"/>
    <xf numFmtId="0" fontId="0" fillId="2" borderId="5" xfId="0" applyFill="1" applyBorder="1"/>
    <xf numFmtId="0" fontId="11" fillId="2" borderId="0" xfId="0" applyFont="1" applyFill="1" applyBorder="1" applyAlignment="1">
      <alignment horizontal="right"/>
    </xf>
    <xf numFmtId="9" fontId="11" fillId="2" borderId="6" xfId="3" applyFont="1" applyFill="1" applyBorder="1" applyAlignment="1">
      <alignment horizontal="center"/>
    </xf>
    <xf numFmtId="165" fontId="11" fillId="2" borderId="0" xfId="3" applyNumberFormat="1" applyFont="1" applyFill="1" applyBorder="1"/>
    <xf numFmtId="0" fontId="11" fillId="2" borderId="0" xfId="0" applyFont="1" applyFill="1" applyBorder="1"/>
    <xf numFmtId="166" fontId="11" fillId="2" borderId="6" xfId="0" applyNumberFormat="1" applyFont="1" applyFill="1" applyBorder="1" applyAlignment="1">
      <alignment horizontal="right"/>
    </xf>
    <xf numFmtId="166" fontId="11" fillId="2" borderId="6" xfId="0" applyNumberFormat="1" applyFont="1" applyFill="1" applyBorder="1"/>
    <xf numFmtId="0" fontId="0" fillId="2" borderId="0" xfId="0" applyFill="1" applyBorder="1" applyAlignment="1">
      <alignment horizontal="center"/>
    </xf>
    <xf numFmtId="0" fontId="0" fillId="2" borderId="0" xfId="0" applyFill="1" applyBorder="1" applyAlignment="1">
      <alignment horizontal="right"/>
    </xf>
    <xf numFmtId="0" fontId="0" fillId="2" borderId="7" xfId="0" applyFill="1" applyBorder="1"/>
    <xf numFmtId="0" fontId="0" fillId="2" borderId="8" xfId="0" applyFill="1" applyBorder="1"/>
    <xf numFmtId="0" fontId="0" fillId="2" borderId="8" xfId="0" applyFill="1" applyBorder="1" applyAlignment="1">
      <alignment horizontal="center"/>
    </xf>
    <xf numFmtId="0" fontId="0" fillId="2" borderId="8" xfId="0" applyFill="1" applyBorder="1" applyAlignment="1">
      <alignment horizontal="right"/>
    </xf>
    <xf numFmtId="0" fontId="0" fillId="2" borderId="9" xfId="0" applyFill="1" applyBorder="1"/>
    <xf numFmtId="0" fontId="10" fillId="2" borderId="1" xfId="0" applyFont="1" applyFill="1" applyBorder="1"/>
    <xf numFmtId="0" fontId="10" fillId="2" borderId="1" xfId="0" applyFont="1" applyFill="1" applyBorder="1" applyAlignment="1">
      <alignment horizontal="center"/>
    </xf>
    <xf numFmtId="0" fontId="10" fillId="2" borderId="1" xfId="0" applyFont="1" applyFill="1" applyBorder="1" applyAlignment="1">
      <alignment horizontal="right"/>
    </xf>
    <xf numFmtId="0" fontId="10" fillId="2" borderId="4" xfId="0" quotePrefix="1" applyFont="1" applyFill="1" applyBorder="1" applyAlignment="1">
      <alignment horizontal="right"/>
    </xf>
    <xf numFmtId="0" fontId="6" fillId="2" borderId="0" xfId="0" applyFont="1" applyFill="1" applyBorder="1" applyAlignment="1">
      <alignment horizontal="center"/>
    </xf>
    <xf numFmtId="166" fontId="0" fillId="3" borderId="0" xfId="1" applyNumberFormat="1" applyFont="1" applyFill="1" applyBorder="1"/>
    <xf numFmtId="0" fontId="0" fillId="3" borderId="0" xfId="0" applyFill="1" applyBorder="1" applyAlignment="1">
      <alignment horizontal="right"/>
    </xf>
    <xf numFmtId="166" fontId="11" fillId="2" borderId="0" xfId="0" applyNumberFormat="1" applyFont="1" applyFill="1" applyBorder="1"/>
    <xf numFmtId="43" fontId="6" fillId="2" borderId="0" xfId="1" applyFont="1" applyFill="1" applyBorder="1"/>
    <xf numFmtId="165" fontId="0" fillId="3" borderId="0" xfId="1" applyNumberFormat="1" applyFont="1" applyFill="1" applyBorder="1"/>
    <xf numFmtId="167" fontId="0" fillId="2" borderId="0" xfId="0" applyNumberFormat="1" applyFill="1" applyBorder="1"/>
    <xf numFmtId="0" fontId="0" fillId="3" borderId="0" xfId="0" applyFill="1" applyBorder="1"/>
    <xf numFmtId="3" fontId="0" fillId="2" borderId="0" xfId="0" applyNumberFormat="1" applyFill="1" applyBorder="1"/>
    <xf numFmtId="166" fontId="0" fillId="2" borderId="0" xfId="0" applyNumberFormat="1" applyFill="1" applyBorder="1"/>
    <xf numFmtId="165" fontId="0" fillId="0" borderId="0" xfId="0" applyNumberFormat="1" applyFill="1" applyBorder="1"/>
    <xf numFmtId="0" fontId="11" fillId="2" borderId="0" xfId="0" applyFont="1" applyFill="1" applyBorder="1" applyAlignment="1">
      <alignment horizontal="center"/>
    </xf>
    <xf numFmtId="165" fontId="6" fillId="2" borderId="0" xfId="3" applyNumberFormat="1" applyFont="1" applyFill="1" applyBorder="1"/>
    <xf numFmtId="168" fontId="0" fillId="3" borderId="0" xfId="1" applyNumberFormat="1" applyFont="1" applyFill="1" applyBorder="1"/>
    <xf numFmtId="9" fontId="0" fillId="3" borderId="0" xfId="0" applyNumberFormat="1" applyFill="1" applyBorder="1"/>
    <xf numFmtId="166" fontId="6" fillId="2" borderId="0" xfId="1" applyNumberFormat="1" applyFont="1" applyFill="1" applyBorder="1"/>
    <xf numFmtId="9" fontId="11" fillId="2" borderId="0" xfId="0" applyNumberFormat="1" applyFont="1" applyFill="1" applyBorder="1"/>
    <xf numFmtId="9" fontId="0" fillId="2" borderId="0" xfId="0" applyNumberFormat="1" applyFill="1" applyBorder="1"/>
    <xf numFmtId="166" fontId="6" fillId="2" borderId="6" xfId="0" applyNumberFormat="1" applyFont="1" applyFill="1" applyBorder="1"/>
    <xf numFmtId="0" fontId="6" fillId="2" borderId="0" xfId="0" applyFont="1" applyFill="1" applyBorder="1" applyAlignment="1"/>
    <xf numFmtId="169" fontId="0" fillId="2" borderId="0" xfId="1" applyNumberFormat="1" applyFont="1" applyFill="1" applyBorder="1"/>
    <xf numFmtId="166" fontId="6" fillId="2" borderId="0" xfId="0" applyNumberFormat="1" applyFont="1" applyFill="1" applyBorder="1"/>
    <xf numFmtId="0" fontId="6" fillId="2" borderId="0" xfId="0" applyFont="1" applyFill="1" applyBorder="1" applyAlignment="1">
      <alignment horizontal="right"/>
    </xf>
    <xf numFmtId="43" fontId="0" fillId="3" borderId="0" xfId="1" applyFont="1" applyFill="1" applyBorder="1"/>
    <xf numFmtId="0" fontId="11" fillId="2" borderId="0" xfId="0" applyFont="1" applyFill="1" applyBorder="1" applyAlignment="1"/>
    <xf numFmtId="166" fontId="11" fillId="2" borderId="0" xfId="1" applyNumberFormat="1" applyFont="1" applyFill="1" applyBorder="1"/>
    <xf numFmtId="0" fontId="10" fillId="2" borderId="3" xfId="0" applyFont="1" applyFill="1" applyBorder="1" applyAlignment="1">
      <alignment horizontal="center" wrapText="1"/>
    </xf>
    <xf numFmtId="43" fontId="0" fillId="2" borderId="0" xfId="1" applyFont="1" applyFill="1" applyBorder="1"/>
    <xf numFmtId="9" fontId="0" fillId="2" borderId="5" xfId="3" applyFont="1" applyFill="1" applyBorder="1"/>
    <xf numFmtId="169" fontId="0" fillId="0" borderId="0" xfId="1" applyNumberFormat="1" applyFont="1" applyFill="1" applyBorder="1"/>
    <xf numFmtId="0" fontId="0" fillId="0" borderId="0" xfId="0" applyFill="1" applyBorder="1"/>
    <xf numFmtId="166" fontId="0" fillId="0" borderId="0" xfId="1" applyNumberFormat="1" applyFont="1" applyFill="1" applyBorder="1"/>
    <xf numFmtId="166" fontId="11" fillId="2" borderId="6" xfId="1" applyNumberFormat="1" applyFont="1" applyFill="1" applyBorder="1"/>
    <xf numFmtId="0" fontId="10" fillId="2" borderId="8" xfId="0" applyFont="1" applyFill="1" applyBorder="1" applyAlignment="1">
      <alignment horizontal="center"/>
    </xf>
    <xf numFmtId="0" fontId="10" fillId="2" borderId="8" xfId="0" applyFont="1" applyFill="1" applyBorder="1" applyAlignment="1">
      <alignment horizontal="right"/>
    </xf>
    <xf numFmtId="0" fontId="10" fillId="2" borderId="8" xfId="0" applyFont="1" applyFill="1" applyBorder="1"/>
    <xf numFmtId="0" fontId="10" fillId="2" borderId="0" xfId="0" applyFont="1" applyFill="1" applyBorder="1" applyAlignment="1">
      <alignment horizontal="center"/>
    </xf>
    <xf numFmtId="0" fontId="10" fillId="2" borderId="0" xfId="0" applyFont="1" applyFill="1" applyBorder="1" applyAlignment="1">
      <alignment horizontal="center" wrapText="1"/>
    </xf>
    <xf numFmtId="0" fontId="10" fillId="2" borderId="0" xfId="0" applyFont="1" applyFill="1" applyBorder="1" applyAlignment="1">
      <alignment horizontal="right" wrapText="1"/>
    </xf>
    <xf numFmtId="43" fontId="6" fillId="3" borderId="0" xfId="0" applyNumberFormat="1" applyFont="1" applyFill="1" applyBorder="1"/>
    <xf numFmtId="0" fontId="6" fillId="3" borderId="0" xfId="0" applyFont="1" applyFill="1" applyBorder="1"/>
    <xf numFmtId="0" fontId="11" fillId="2" borderId="5" xfId="0" applyFont="1" applyFill="1" applyBorder="1" applyAlignment="1">
      <alignment horizontal="center"/>
    </xf>
    <xf numFmtId="0" fontId="6" fillId="2" borderId="5" xfId="0" applyFont="1" applyFill="1" applyBorder="1"/>
    <xf numFmtId="9" fontId="6" fillId="3" borderId="0" xfId="0" applyNumberFormat="1" applyFont="1" applyFill="1" applyBorder="1"/>
    <xf numFmtId="10" fontId="6" fillId="3" borderId="0" xfId="0" applyNumberFormat="1" applyFont="1" applyFill="1" applyBorder="1"/>
    <xf numFmtId="10" fontId="11" fillId="2" borderId="5" xfId="3" applyNumberFormat="1" applyFont="1" applyFill="1" applyBorder="1"/>
    <xf numFmtId="0" fontId="11" fillId="2" borderId="4" xfId="0" applyFont="1" applyFill="1" applyBorder="1"/>
    <xf numFmtId="0" fontId="6" fillId="3" borderId="0" xfId="0" applyFont="1" applyFill="1" applyBorder="1" applyAlignment="1">
      <alignment horizontal="right"/>
    </xf>
    <xf numFmtId="0" fontId="11" fillId="2" borderId="0" xfId="0" applyFont="1" applyFill="1"/>
    <xf numFmtId="0" fontId="11" fillId="2" borderId="7" xfId="0" applyFont="1" applyFill="1" applyBorder="1"/>
    <xf numFmtId="0" fontId="11" fillId="2" borderId="8" xfId="0" applyFont="1" applyFill="1" applyBorder="1"/>
    <xf numFmtId="0" fontId="11" fillId="2" borderId="8" xfId="0" applyFont="1" applyFill="1" applyBorder="1" applyAlignment="1">
      <alignment horizontal="center"/>
    </xf>
    <xf numFmtId="0" fontId="11" fillId="2" borderId="8" xfId="0" applyFont="1" applyFill="1" applyBorder="1" applyAlignment="1">
      <alignment horizontal="right"/>
    </xf>
    <xf numFmtId="0" fontId="11" fillId="2" borderId="9" xfId="0" applyFont="1" applyFill="1" applyBorder="1"/>
    <xf numFmtId="0" fontId="10" fillId="2" borderId="0" xfId="0" applyFont="1" applyFill="1" applyBorder="1"/>
    <xf numFmtId="166" fontId="6" fillId="2" borderId="6" xfId="1" applyNumberFormat="1" applyFont="1" applyFill="1" applyBorder="1"/>
    <xf numFmtId="166" fontId="0" fillId="2" borderId="6" xfId="0" applyNumberFormat="1" applyFill="1" applyBorder="1"/>
    <xf numFmtId="44" fontId="0" fillId="2" borderId="0" xfId="2" applyFont="1" applyFill="1" applyBorder="1" applyAlignment="1">
      <alignment horizontal="right"/>
    </xf>
    <xf numFmtId="44" fontId="0" fillId="3" borderId="0" xfId="2" applyFont="1" applyFill="1" applyBorder="1" applyAlignment="1">
      <alignment horizontal="right"/>
    </xf>
    <xf numFmtId="0" fontId="6" fillId="2" borderId="8" xfId="0" applyFont="1" applyFill="1" applyBorder="1" applyAlignment="1">
      <alignment horizontal="center"/>
    </xf>
    <xf numFmtId="166" fontId="0" fillId="2" borderId="8" xfId="0" applyNumberFormat="1" applyFill="1" applyBorder="1"/>
    <xf numFmtId="0" fontId="6" fillId="2" borderId="0" xfId="0" applyFont="1" applyFill="1" applyAlignment="1">
      <alignment horizontal="center"/>
    </xf>
    <xf numFmtId="9" fontId="0" fillId="3" borderId="0" xfId="0" applyNumberFormat="1" applyFill="1"/>
    <xf numFmtId="166" fontId="0" fillId="2" borderId="0" xfId="0" applyNumberFormat="1" applyFill="1"/>
    <xf numFmtId="43" fontId="0" fillId="2" borderId="0" xfId="1" applyFont="1" applyFill="1" applyBorder="1" applyAlignment="1">
      <alignment horizontal="right"/>
    </xf>
    <xf numFmtId="0" fontId="0" fillId="3" borderId="0" xfId="0" applyFill="1"/>
    <xf numFmtId="43" fontId="0" fillId="3" borderId="0" xfId="1" applyFont="1" applyFill="1" applyBorder="1" applyAlignment="1">
      <alignment horizontal="right"/>
    </xf>
    <xf numFmtId="0" fontId="11" fillId="2" borderId="6" xfId="0" applyFont="1" applyFill="1" applyBorder="1"/>
    <xf numFmtId="0" fontId="10" fillId="2" borderId="2" xfId="0" applyFont="1" applyFill="1" applyBorder="1" applyAlignment="1">
      <alignment horizontal="center"/>
    </xf>
    <xf numFmtId="166" fontId="0" fillId="3" borderId="0" xfId="1" applyNumberFormat="1" applyFont="1" applyFill="1" applyBorder="1" applyAlignment="1">
      <alignment horizontal="right"/>
    </xf>
    <xf numFmtId="0" fontId="6" fillId="2" borderId="4" xfId="0" applyFont="1" applyFill="1" applyBorder="1"/>
    <xf numFmtId="10" fontId="0" fillId="3" borderId="0" xfId="0" applyNumberFormat="1" applyFill="1" applyBorder="1"/>
    <xf numFmtId="169" fontId="6" fillId="2" borderId="0" xfId="0" applyNumberFormat="1" applyFont="1" applyFill="1" applyBorder="1"/>
    <xf numFmtId="166" fontId="0" fillId="3" borderId="0" xfId="0" applyNumberFormat="1" applyFill="1" applyBorder="1"/>
    <xf numFmtId="170" fontId="6" fillId="2" borderId="0" xfId="2" applyNumberFormat="1" applyFont="1" applyFill="1" applyBorder="1"/>
    <xf numFmtId="43" fontId="0" fillId="2" borderId="0" xfId="0" applyNumberFormat="1" applyFill="1" applyBorder="1"/>
    <xf numFmtId="0" fontId="6" fillId="2" borderId="7" xfId="0" applyFont="1" applyFill="1" applyBorder="1"/>
    <xf numFmtId="0" fontId="0" fillId="2" borderId="10" xfId="0" applyFill="1" applyBorder="1"/>
    <xf numFmtId="0" fontId="0" fillId="2" borderId="11" xfId="0" applyFill="1" applyBorder="1"/>
    <xf numFmtId="0" fontId="0" fillId="2" borderId="12" xfId="0" applyFill="1" applyBorder="1"/>
    <xf numFmtId="0" fontId="10" fillId="2" borderId="1" xfId="0" applyFont="1" applyFill="1" applyBorder="1" applyAlignment="1">
      <alignment wrapText="1"/>
    </xf>
    <xf numFmtId="0" fontId="6" fillId="2" borderId="1" xfId="0" applyFont="1" applyFill="1" applyBorder="1" applyAlignment="1">
      <alignment horizontal="center"/>
    </xf>
    <xf numFmtId="0" fontId="10" fillId="2" borderId="3" xfId="0" applyFont="1" applyFill="1" applyBorder="1" applyAlignment="1">
      <alignment horizontal="right" wrapText="1"/>
    </xf>
    <xf numFmtId="10" fontId="0" fillId="3" borderId="0" xfId="3" applyNumberFormat="1" applyFont="1" applyFill="1" applyBorder="1"/>
    <xf numFmtId="10" fontId="0" fillId="2" borderId="0" xfId="3" applyNumberFormat="1" applyFont="1" applyFill="1" applyBorder="1"/>
    <xf numFmtId="10" fontId="6" fillId="2" borderId="0" xfId="3" applyNumberFormat="1" applyFont="1" applyFill="1" applyBorder="1"/>
    <xf numFmtId="10" fontId="0" fillId="2" borderId="5" xfId="3" applyNumberFormat="1" applyFont="1" applyFill="1" applyBorder="1"/>
    <xf numFmtId="10" fontId="0" fillId="2" borderId="0" xfId="3" applyNumberFormat="1" applyFont="1" applyFill="1"/>
    <xf numFmtId="9" fontId="0" fillId="3" borderId="0" xfId="3" applyNumberFormat="1" applyFont="1" applyFill="1" applyBorder="1"/>
    <xf numFmtId="9" fontId="0" fillId="0" borderId="0" xfId="0" applyNumberFormat="1" applyFill="1" applyBorder="1"/>
    <xf numFmtId="9" fontId="0" fillId="2" borderId="5" xfId="0" applyNumberFormat="1" applyFill="1" applyBorder="1"/>
    <xf numFmtId="0" fontId="0" fillId="2" borderId="0" xfId="0" applyFill="1" applyBorder="1" applyAlignment="1">
      <alignment horizontal="left"/>
    </xf>
    <xf numFmtId="43" fontId="0" fillId="2" borderId="0" xfId="1" applyNumberFormat="1" applyFont="1" applyFill="1" applyBorder="1"/>
    <xf numFmtId="43" fontId="0" fillId="2" borderId="5" xfId="1" applyNumberFormat="1" applyFont="1" applyFill="1" applyBorder="1"/>
    <xf numFmtId="0" fontId="6" fillId="2" borderId="0" xfId="0" applyFont="1" applyFill="1" applyBorder="1" applyAlignment="1">
      <alignment horizontal="left"/>
    </xf>
    <xf numFmtId="9" fontId="0" fillId="3" borderId="0" xfId="1" applyNumberFormat="1" applyFont="1" applyFill="1" applyBorder="1"/>
    <xf numFmtId="10" fontId="0" fillId="2" borderId="0" xfId="0" applyNumberFormat="1" applyFill="1" applyBorder="1"/>
    <xf numFmtId="10" fontId="0" fillId="2" borderId="5" xfId="0" applyNumberFormat="1" applyFill="1" applyBorder="1"/>
    <xf numFmtId="0" fontId="10" fillId="2" borderId="2" xfId="0" applyFont="1" applyFill="1" applyBorder="1" applyAlignment="1">
      <alignment horizontal="center" wrapText="1"/>
    </xf>
    <xf numFmtId="0" fontId="10" fillId="2" borderId="4" xfId="0" applyFont="1" applyFill="1" applyBorder="1" applyAlignment="1">
      <alignment horizontal="center" wrapText="1"/>
    </xf>
    <xf numFmtId="0" fontId="10" fillId="2" borderId="5" xfId="0" applyFont="1" applyFill="1" applyBorder="1" applyAlignment="1">
      <alignment horizontal="center" wrapText="1"/>
    </xf>
    <xf numFmtId="166" fontId="6" fillId="2" borderId="0" xfId="1" applyNumberFormat="1" applyFont="1" applyFill="1" applyBorder="1" applyAlignment="1">
      <alignment horizontal="right"/>
    </xf>
    <xf numFmtId="166" fontId="6" fillId="2" borderId="5" xfId="1" applyNumberFormat="1" applyFont="1" applyFill="1" applyBorder="1" applyAlignment="1">
      <alignment horizontal="right"/>
    </xf>
    <xf numFmtId="0" fontId="11" fillId="2" borderId="5" xfId="0" applyFont="1" applyFill="1" applyBorder="1"/>
    <xf numFmtId="166" fontId="11" fillId="2" borderId="13" xfId="1" applyNumberFormat="1" applyFont="1" applyFill="1" applyBorder="1" applyAlignment="1">
      <alignment horizontal="right"/>
    </xf>
    <xf numFmtId="166" fontId="11" fillId="2" borderId="1" xfId="0" applyNumberFormat="1" applyFont="1" applyFill="1" applyBorder="1" applyAlignment="1">
      <alignment horizontal="right"/>
    </xf>
    <xf numFmtId="166" fontId="6" fillId="2" borderId="0" xfId="0" applyNumberFormat="1" applyFont="1" applyFill="1" applyBorder="1" applyAlignment="1">
      <alignment horizontal="right"/>
    </xf>
    <xf numFmtId="166" fontId="11" fillId="2" borderId="13" xfId="0" applyNumberFormat="1" applyFont="1" applyFill="1" applyBorder="1" applyAlignment="1">
      <alignment horizontal="right"/>
    </xf>
    <xf numFmtId="0" fontId="0" fillId="3" borderId="0" xfId="0" applyFill="1" applyBorder="1" applyAlignment="1">
      <alignment horizontal="center"/>
    </xf>
    <xf numFmtId="169" fontId="0" fillId="2" borderId="4" xfId="1" applyNumberFormat="1" applyFont="1" applyFill="1" applyBorder="1"/>
    <xf numFmtId="169" fontId="0" fillId="2" borderId="5" xfId="1" applyNumberFormat="1" applyFont="1" applyFill="1" applyBorder="1"/>
    <xf numFmtId="9" fontId="0" fillId="3" borderId="0" xfId="0" applyNumberFormat="1" applyFill="1" applyBorder="1" applyAlignment="1">
      <alignment horizontal="center"/>
    </xf>
    <xf numFmtId="169" fontId="0" fillId="2" borderId="0" xfId="1" applyNumberFormat="1" applyFont="1" applyFill="1" applyBorder="1" applyAlignment="1">
      <alignment horizontal="right"/>
    </xf>
    <xf numFmtId="169" fontId="11" fillId="2" borderId="14" xfId="0" applyNumberFormat="1" applyFont="1" applyFill="1" applyBorder="1"/>
    <xf numFmtId="169" fontId="11" fillId="2" borderId="6" xfId="0" applyNumberFormat="1" applyFont="1" applyFill="1" applyBorder="1"/>
    <xf numFmtId="0" fontId="8" fillId="2" borderId="2" xfId="0" quotePrefix="1" applyFont="1" applyFill="1" applyBorder="1" applyAlignment="1">
      <alignment horizontal="right"/>
    </xf>
    <xf numFmtId="0" fontId="15" fillId="5" borderId="0" xfId="4" applyFont="1" applyFill="1"/>
    <xf numFmtId="0" fontId="14" fillId="0" borderId="0" xfId="4"/>
    <xf numFmtId="17" fontId="14" fillId="0" borderId="0" xfId="4" quotePrefix="1" applyNumberFormat="1"/>
    <xf numFmtId="0" fontId="0" fillId="5" borderId="0" xfId="0" applyFill="1"/>
    <xf numFmtId="0" fontId="19" fillId="0" borderId="0" xfId="0" applyFont="1"/>
    <xf numFmtId="0" fontId="0" fillId="0" borderId="0" xfId="0" applyFill="1"/>
    <xf numFmtId="0" fontId="22" fillId="0" borderId="0" xfId="0" applyFont="1"/>
    <xf numFmtId="0" fontId="20" fillId="8" borderId="0" xfId="0" applyFont="1" applyFill="1"/>
    <xf numFmtId="9" fontId="0" fillId="0" borderId="0" xfId="0" applyNumberFormat="1"/>
    <xf numFmtId="0" fontId="0" fillId="0" borderId="17" xfId="0" applyBorder="1"/>
    <xf numFmtId="0" fontId="0" fillId="2" borderId="0" xfId="0" applyFont="1" applyFill="1" applyBorder="1"/>
    <xf numFmtId="0" fontId="6" fillId="0" borderId="0" xfId="8" applyFill="1"/>
    <xf numFmtId="0" fontId="11" fillId="0" borderId="0" xfId="0" applyFont="1"/>
    <xf numFmtId="0" fontId="21" fillId="5" borderId="0" xfId="0" applyFont="1" applyFill="1"/>
    <xf numFmtId="0" fontId="29" fillId="0" borderId="0" xfId="0" applyFont="1"/>
    <xf numFmtId="0" fontId="21" fillId="0" borderId="0" xfId="0" applyFont="1" applyFill="1"/>
    <xf numFmtId="0" fontId="0" fillId="9" borderId="0" xfId="0" applyFill="1"/>
    <xf numFmtId="0" fontId="30" fillId="9" borderId="0" xfId="0" applyFont="1" applyFill="1"/>
    <xf numFmtId="0" fontId="0" fillId="0" borderId="0" xfId="0" applyBorder="1"/>
    <xf numFmtId="2" fontId="0" fillId="0" borderId="0" xfId="0" applyNumberFormat="1"/>
    <xf numFmtId="0" fontId="6" fillId="2" borderId="8" xfId="0" applyFont="1" applyFill="1" applyBorder="1"/>
    <xf numFmtId="0" fontId="8" fillId="2" borderId="4" xfId="0" quotePrefix="1" applyFont="1" applyFill="1" applyBorder="1" applyAlignment="1">
      <alignment horizontal="right"/>
    </xf>
    <xf numFmtId="0" fontId="30" fillId="8" borderId="0" xfId="0" applyFont="1" applyFill="1"/>
    <xf numFmtId="0" fontId="30" fillId="11" borderId="0" xfId="0" applyFont="1" applyFill="1"/>
    <xf numFmtId="0" fontId="21" fillId="0" borderId="0" xfId="0" applyFont="1"/>
    <xf numFmtId="0" fontId="30" fillId="0" borderId="0" xfId="0" applyFont="1" applyFill="1"/>
    <xf numFmtId="174" fontId="0" fillId="0" borderId="0" xfId="0" applyNumberFormat="1" applyFill="1"/>
    <xf numFmtId="0" fontId="27" fillId="0" borderId="0" xfId="0" applyFont="1"/>
    <xf numFmtId="0" fontId="0" fillId="0" borderId="20" xfId="0" applyFont="1" applyFill="1" applyBorder="1"/>
    <xf numFmtId="0" fontId="6" fillId="0" borderId="20" xfId="0" applyFont="1" applyFill="1" applyBorder="1"/>
    <xf numFmtId="0" fontId="11" fillId="0" borderId="21" xfId="0" applyFont="1" applyFill="1" applyBorder="1"/>
    <xf numFmtId="0" fontId="8" fillId="2" borderId="0" xfId="0" quotePrefix="1" applyFont="1" applyFill="1" applyBorder="1" applyAlignment="1">
      <alignment horizontal="right"/>
    </xf>
    <xf numFmtId="0" fontId="19" fillId="2" borderId="4" xfId="0" applyFont="1" applyFill="1" applyBorder="1"/>
    <xf numFmtId="0" fontId="19" fillId="2" borderId="0" xfId="0" applyFont="1" applyFill="1"/>
    <xf numFmtId="166" fontId="11" fillId="2" borderId="0" xfId="1" applyNumberFormat="1" applyFont="1" applyFill="1" applyBorder="1" applyAlignment="1">
      <alignment horizontal="right"/>
    </xf>
    <xf numFmtId="166" fontId="11" fillId="2" borderId="5" xfId="1" applyNumberFormat="1" applyFont="1" applyFill="1" applyBorder="1" applyAlignment="1">
      <alignment horizontal="right"/>
    </xf>
    <xf numFmtId="166" fontId="11" fillId="2" borderId="0" xfId="0" applyNumberFormat="1" applyFont="1" applyFill="1" applyBorder="1" applyAlignment="1">
      <alignment horizontal="right"/>
    </xf>
    <xf numFmtId="175" fontId="11" fillId="13" borderId="19" xfId="0" applyNumberFormat="1" applyFont="1" applyFill="1" applyBorder="1"/>
    <xf numFmtId="175" fontId="0" fillId="13" borderId="22" xfId="0" applyNumberFormat="1" applyFill="1" applyBorder="1"/>
    <xf numFmtId="175" fontId="0" fillId="13" borderId="23" xfId="0" applyNumberFormat="1" applyFill="1" applyBorder="1"/>
    <xf numFmtId="175" fontId="0" fillId="13" borderId="24" xfId="0" applyNumberFormat="1" applyFill="1" applyBorder="1"/>
    <xf numFmtId="175" fontId="0" fillId="13" borderId="25" xfId="0" applyNumberFormat="1" applyFill="1" applyBorder="1"/>
    <xf numFmtId="9" fontId="20" fillId="5" borderId="0" xfId="0" applyNumberFormat="1" applyFont="1" applyFill="1"/>
    <xf numFmtId="180" fontId="0" fillId="2" borderId="4" xfId="0" applyNumberFormat="1" applyFill="1" applyBorder="1"/>
    <xf numFmtId="172" fontId="0" fillId="13" borderId="26" xfId="0" applyNumberFormat="1" applyFill="1" applyBorder="1"/>
    <xf numFmtId="172" fontId="0" fillId="13" borderId="27" xfId="0" applyNumberFormat="1" applyFill="1" applyBorder="1"/>
    <xf numFmtId="175" fontId="0" fillId="13" borderId="27" xfId="0" applyNumberFormat="1" applyFill="1" applyBorder="1"/>
    <xf numFmtId="175" fontId="0" fillId="13" borderId="28" xfId="0" applyNumberFormat="1" applyFill="1" applyBorder="1"/>
    <xf numFmtId="172" fontId="0" fillId="13" borderId="29" xfId="0" applyNumberFormat="1" applyFill="1" applyBorder="1"/>
    <xf numFmtId="175" fontId="0" fillId="13" borderId="29" xfId="0" applyNumberFormat="1" applyFill="1" applyBorder="1"/>
    <xf numFmtId="175" fontId="0" fillId="14" borderId="0" xfId="0" applyNumberFormat="1" applyFill="1"/>
    <xf numFmtId="175" fontId="11" fillId="14" borderId="19" xfId="0" applyNumberFormat="1" applyFont="1" applyFill="1" applyBorder="1"/>
    <xf numFmtId="175" fontId="0" fillId="14" borderId="23" xfId="0" applyNumberFormat="1" applyFill="1" applyBorder="1"/>
    <xf numFmtId="175" fontId="0" fillId="14" borderId="24" xfId="0" applyNumberFormat="1" applyFill="1" applyBorder="1"/>
    <xf numFmtId="0" fontId="0" fillId="0" borderId="20" xfId="0" applyBorder="1"/>
    <xf numFmtId="0" fontId="34" fillId="0" borderId="0" xfId="0" applyFont="1" applyFill="1" applyBorder="1"/>
    <xf numFmtId="175" fontId="11" fillId="0" borderId="0" xfId="0" applyNumberFormat="1" applyFont="1" applyFill="1" applyBorder="1"/>
    <xf numFmtId="175" fontId="0" fillId="14" borderId="30" xfId="0" applyNumberFormat="1" applyFill="1" applyBorder="1"/>
    <xf numFmtId="175" fontId="0" fillId="14" borderId="31" xfId="0" applyNumberFormat="1" applyFill="1" applyBorder="1"/>
    <xf numFmtId="175" fontId="11" fillId="14" borderId="21" xfId="0" applyNumberFormat="1" applyFont="1" applyFill="1" applyBorder="1"/>
    <xf numFmtId="175" fontId="0" fillId="14" borderId="20" xfId="0" applyNumberFormat="1" applyFill="1" applyBorder="1"/>
    <xf numFmtId="0" fontId="0" fillId="0" borderId="0" xfId="0" applyFill="1" applyAlignment="1"/>
    <xf numFmtId="0" fontId="34" fillId="0" borderId="0" xfId="0" applyFont="1"/>
    <xf numFmtId="9" fontId="0" fillId="2" borderId="0" xfId="1" applyNumberFormat="1" applyFont="1" applyFill="1"/>
    <xf numFmtId="9" fontId="0" fillId="2" borderId="0" xfId="3" applyFont="1" applyFill="1"/>
    <xf numFmtId="0" fontId="35" fillId="0" borderId="0" xfId="0" applyFont="1" applyFill="1"/>
    <xf numFmtId="0" fontId="6" fillId="0" borderId="0" xfId="8" applyFill="1" applyBorder="1"/>
    <xf numFmtId="0" fontId="28" fillId="0" borderId="0" xfId="8" applyFont="1" applyFill="1" applyBorder="1" applyAlignment="1">
      <alignment horizontal="right"/>
    </xf>
    <xf numFmtId="0" fontId="28" fillId="0" borderId="0" xfId="8" applyFont="1" applyFill="1" applyBorder="1"/>
    <xf numFmtId="0" fontId="27" fillId="0" borderId="0" xfId="8" applyFont="1" applyFill="1" applyBorder="1" applyAlignment="1">
      <alignment horizontal="center"/>
    </xf>
    <xf numFmtId="166" fontId="34" fillId="2" borderId="0" xfId="1" applyNumberFormat="1" applyFont="1" applyFill="1" applyBorder="1"/>
    <xf numFmtId="0" fontId="34" fillId="2" borderId="0" xfId="0" applyFont="1" applyFill="1" applyBorder="1"/>
    <xf numFmtId="0" fontId="21" fillId="9" borderId="0" xfId="0" applyFont="1" applyFill="1"/>
    <xf numFmtId="0" fontId="21" fillId="8" borderId="0" xfId="0" applyFont="1" applyFill="1"/>
    <xf numFmtId="0" fontId="26" fillId="2" borderId="0" xfId="0" applyFont="1" applyFill="1"/>
    <xf numFmtId="0" fontId="36" fillId="2" borderId="0" xfId="0" applyFont="1" applyFill="1"/>
    <xf numFmtId="0" fontId="37" fillId="0" borderId="19" xfId="0" applyFont="1" applyBorder="1"/>
    <xf numFmtId="172" fontId="37" fillId="0" borderId="19" xfId="0" applyNumberFormat="1" applyFont="1" applyBorder="1"/>
    <xf numFmtId="0" fontId="26" fillId="0" borderId="19" xfId="0" applyFont="1" applyBorder="1"/>
    <xf numFmtId="172" fontId="26" fillId="0" borderId="19" xfId="0" applyNumberFormat="1" applyFont="1" applyBorder="1"/>
    <xf numFmtId="0" fontId="22" fillId="0" borderId="17" xfId="0" applyFont="1" applyBorder="1"/>
    <xf numFmtId="172" fontId="22" fillId="0" borderId="17" xfId="0" applyNumberFormat="1" applyFont="1" applyBorder="1"/>
    <xf numFmtId="0" fontId="38" fillId="0" borderId="17" xfId="0" applyFont="1" applyBorder="1"/>
    <xf numFmtId="0" fontId="22" fillId="0" borderId="32" xfId="0" applyFont="1" applyBorder="1"/>
    <xf numFmtId="172" fontId="22" fillId="0" borderId="32" xfId="0" applyNumberFormat="1" applyFont="1" applyBorder="1"/>
    <xf numFmtId="0" fontId="38" fillId="0" borderId="33" xfId="0" applyFont="1" applyBorder="1"/>
    <xf numFmtId="2" fontId="38" fillId="0" borderId="33" xfId="0" applyNumberFormat="1" applyFont="1" applyBorder="1"/>
    <xf numFmtId="0" fontId="39" fillId="8" borderId="17" xfId="0" applyFont="1" applyFill="1" applyBorder="1"/>
    <xf numFmtId="0" fontId="39" fillId="9" borderId="17" xfId="0" applyFont="1" applyFill="1" applyBorder="1"/>
    <xf numFmtId="3" fontId="26" fillId="0" borderId="19" xfId="0" applyNumberFormat="1" applyFont="1" applyBorder="1"/>
    <xf numFmtId="10" fontId="22" fillId="0" borderId="17" xfId="0" applyNumberFormat="1" applyFont="1" applyBorder="1"/>
    <xf numFmtId="0" fontId="11" fillId="0" borderId="0" xfId="0" applyFont="1" applyFill="1" applyAlignment="1"/>
    <xf numFmtId="0" fontId="11" fillId="0" borderId="0" xfId="0" applyFont="1" applyFill="1"/>
    <xf numFmtId="1" fontId="0" fillId="0" borderId="0" xfId="2" applyNumberFormat="1" applyFont="1" applyFill="1" applyAlignment="1"/>
    <xf numFmtId="9" fontId="0" fillId="0" borderId="0" xfId="3" applyFont="1" applyFill="1"/>
    <xf numFmtId="1" fontId="0" fillId="0" borderId="0" xfId="2" applyNumberFormat="1" applyFont="1" applyFill="1"/>
    <xf numFmtId="0" fontId="0" fillId="0" borderId="32" xfId="0" applyBorder="1"/>
    <xf numFmtId="0" fontId="0" fillId="13" borderId="22" xfId="0" applyNumberFormat="1" applyFill="1" applyBorder="1"/>
    <xf numFmtId="0" fontId="34" fillId="0" borderId="34" xfId="0" applyFont="1" applyBorder="1" applyAlignment="1">
      <alignment horizontal="left"/>
    </xf>
    <xf numFmtId="0" fontId="0" fillId="14" borderId="22" xfId="0" applyNumberFormat="1" applyFill="1" applyBorder="1"/>
    <xf numFmtId="175" fontId="0" fillId="14" borderId="22" xfId="0" applyNumberFormat="1" applyFill="1" applyBorder="1"/>
    <xf numFmtId="0" fontId="11" fillId="0" borderId="0" xfId="0" applyFont="1" applyFill="1" applyBorder="1"/>
    <xf numFmtId="174" fontId="0" fillId="13" borderId="22" xfId="0" applyNumberFormat="1" applyFill="1" applyBorder="1"/>
    <xf numFmtId="174" fontId="0" fillId="14" borderId="22" xfId="0" applyNumberFormat="1" applyFill="1" applyBorder="1"/>
    <xf numFmtId="2" fontId="0" fillId="13" borderId="22" xfId="0" applyNumberFormat="1" applyFill="1" applyBorder="1"/>
    <xf numFmtId="2" fontId="0" fillId="14" borderId="22" xfId="0" applyNumberFormat="1" applyFill="1" applyBorder="1"/>
    <xf numFmtId="0" fontId="0" fillId="2" borderId="0" xfId="0" applyFill="1"/>
    <xf numFmtId="0" fontId="0" fillId="2" borderId="0" xfId="0" applyFill="1" applyAlignment="1">
      <alignment horizontal="right"/>
    </xf>
    <xf numFmtId="0" fontId="0" fillId="2" borderId="0" xfId="0" applyFill="1" applyAlignment="1">
      <alignment horizontal="center"/>
    </xf>
    <xf numFmtId="0" fontId="0" fillId="2" borderId="9" xfId="0" applyFill="1" applyBorder="1"/>
    <xf numFmtId="0" fontId="0" fillId="2" borderId="8" xfId="0" applyFill="1" applyBorder="1"/>
    <xf numFmtId="0" fontId="0" fillId="2" borderId="7" xfId="0" applyFill="1" applyBorder="1"/>
    <xf numFmtId="0" fontId="0" fillId="2" borderId="8" xfId="0" applyFill="1" applyBorder="1" applyAlignment="1">
      <alignment horizontal="right"/>
    </xf>
    <xf numFmtId="0" fontId="0" fillId="2" borderId="8" xfId="0" applyFill="1" applyBorder="1" applyAlignment="1">
      <alignment horizontal="center"/>
    </xf>
    <xf numFmtId="0" fontId="0" fillId="2" borderId="5" xfId="0" applyFill="1" applyBorder="1"/>
    <xf numFmtId="0" fontId="0" fillId="2" borderId="0" xfId="0" applyFill="1" applyBorder="1"/>
    <xf numFmtId="0" fontId="0" fillId="2" borderId="4" xfId="0" applyFill="1" applyBorder="1"/>
    <xf numFmtId="0" fontId="0" fillId="2" borderId="0" xfId="0" applyFill="1" applyBorder="1" applyAlignment="1">
      <alignment horizontal="right"/>
    </xf>
    <xf numFmtId="0" fontId="0" fillId="2" borderId="0" xfId="0" applyFill="1" applyBorder="1" applyAlignment="1">
      <alignment horizontal="center"/>
    </xf>
    <xf numFmtId="0" fontId="6" fillId="2" borderId="0" xfId="0" applyFont="1" applyFill="1" applyBorder="1"/>
    <xf numFmtId="9" fontId="0" fillId="2" borderId="0" xfId="0" applyNumberFormat="1" applyFill="1" applyBorder="1" applyAlignment="1">
      <alignment horizontal="center"/>
    </xf>
    <xf numFmtId="0" fontId="6" fillId="2" borderId="0" xfId="0" applyFont="1" applyFill="1"/>
    <xf numFmtId="0" fontId="6" fillId="2" borderId="4" xfId="0" applyFont="1" applyFill="1" applyBorder="1"/>
    <xf numFmtId="0" fontId="10" fillId="2" borderId="4" xfId="0" applyFont="1" applyFill="1" applyBorder="1" applyAlignment="1"/>
    <xf numFmtId="0" fontId="10" fillId="2" borderId="0" xfId="0" applyFont="1" applyFill="1" applyBorder="1" applyAlignment="1">
      <alignment horizontal="right"/>
    </xf>
    <xf numFmtId="0" fontId="10" fillId="2" borderId="0" xfId="0" applyFont="1" applyFill="1" applyBorder="1" applyAlignment="1"/>
    <xf numFmtId="0" fontId="10" fillId="2" borderId="0" xfId="0" applyFont="1" applyFill="1" applyBorder="1" applyAlignment="1">
      <alignment horizontal="center"/>
    </xf>
    <xf numFmtId="0" fontId="0" fillId="2" borderId="1" xfId="0" applyFill="1" applyBorder="1"/>
    <xf numFmtId="0" fontId="0" fillId="2" borderId="2" xfId="0" applyFill="1" applyBorder="1"/>
    <xf numFmtId="0" fontId="0" fillId="2" borderId="1" xfId="0" applyFill="1" applyBorder="1" applyAlignment="1">
      <alignment horizontal="right"/>
    </xf>
    <xf numFmtId="0" fontId="0" fillId="2" borderId="1" xfId="0" applyFill="1" applyBorder="1" applyAlignment="1">
      <alignment horizontal="center"/>
    </xf>
    <xf numFmtId="0" fontId="13" fillId="2" borderId="1" xfId="0" applyFont="1" applyFill="1" applyBorder="1"/>
    <xf numFmtId="0" fontId="8" fillId="2" borderId="2" xfId="0" quotePrefix="1" applyFont="1" applyFill="1" applyBorder="1" applyAlignment="1">
      <alignment horizontal="right"/>
    </xf>
    <xf numFmtId="0" fontId="0" fillId="2" borderId="5" xfId="0" applyFill="1" applyBorder="1" applyAlignment="1">
      <alignment horizontal="right"/>
    </xf>
    <xf numFmtId="0" fontId="11" fillId="2" borderId="0" xfId="0" applyFont="1" applyFill="1" applyBorder="1"/>
    <xf numFmtId="166" fontId="0" fillId="2" borderId="0" xfId="0" applyNumberFormat="1" applyFill="1" applyBorder="1"/>
    <xf numFmtId="166" fontId="6" fillId="2" borderId="0" xfId="0" applyNumberFormat="1" applyFont="1" applyFill="1" applyBorder="1"/>
    <xf numFmtId="0" fontId="10" fillId="2" borderId="5" xfId="0" applyFont="1" applyFill="1" applyBorder="1" applyAlignment="1">
      <alignment horizontal="right"/>
    </xf>
    <xf numFmtId="0" fontId="0" fillId="2" borderId="3" xfId="0" applyFill="1" applyBorder="1" applyAlignment="1">
      <alignment horizontal="right"/>
    </xf>
    <xf numFmtId="0" fontId="6" fillId="2" borderId="5" xfId="0" applyFont="1" applyFill="1" applyBorder="1" applyAlignment="1">
      <alignment horizontal="right"/>
    </xf>
    <xf numFmtId="43" fontId="6" fillId="2" borderId="0" xfId="0" applyNumberFormat="1" applyFont="1" applyFill="1" applyBorder="1"/>
    <xf numFmtId="0" fontId="6" fillId="2" borderId="0" xfId="0" applyFont="1" applyFill="1" applyBorder="1" applyAlignment="1">
      <alignment horizontal="center"/>
    </xf>
    <xf numFmtId="3" fontId="6" fillId="2" borderId="0" xfId="0" applyNumberFormat="1" applyFont="1" applyFill="1" applyBorder="1"/>
    <xf numFmtId="0" fontId="6" fillId="2" borderId="4" xfId="0" applyFont="1" applyFill="1" applyBorder="1" applyAlignment="1">
      <alignment horizontal="right"/>
    </xf>
    <xf numFmtId="9" fontId="0" fillId="2" borderId="0" xfId="0" applyNumberFormat="1" applyFill="1" applyBorder="1"/>
    <xf numFmtId="0" fontId="6" fillId="2" borderId="0" xfId="0" applyFont="1" applyFill="1" applyBorder="1" applyAlignment="1">
      <alignment horizontal="right"/>
    </xf>
    <xf numFmtId="169" fontId="0" fillId="2" borderId="5" xfId="1" applyNumberFormat="1" applyFont="1" applyFill="1" applyBorder="1"/>
    <xf numFmtId="0" fontId="0" fillId="2" borderId="4" xfId="0" applyFill="1" applyBorder="1" applyAlignment="1">
      <alignment horizontal="right"/>
    </xf>
    <xf numFmtId="0" fontId="11" fillId="2" borderId="8" xfId="0" applyFont="1" applyFill="1" applyBorder="1" applyAlignment="1">
      <alignment horizontal="right"/>
    </xf>
    <xf numFmtId="0" fontId="9" fillId="2" borderId="0" xfId="0" applyFont="1" applyFill="1"/>
    <xf numFmtId="169" fontId="11" fillId="2" borderId="14" xfId="0" applyNumberFormat="1" applyFont="1" applyFill="1" applyBorder="1"/>
    <xf numFmtId="169" fontId="11" fillId="2" borderId="6" xfId="0" applyNumberFormat="1" applyFont="1" applyFill="1" applyBorder="1"/>
    <xf numFmtId="169" fontId="0" fillId="2" borderId="0" xfId="1" applyNumberFormat="1" applyFont="1" applyFill="1" applyBorder="1" applyAlignment="1">
      <alignment horizontal="right"/>
    </xf>
    <xf numFmtId="169" fontId="0" fillId="2" borderId="9" xfId="1" applyNumberFormat="1" applyFont="1" applyFill="1" applyBorder="1"/>
    <xf numFmtId="169" fontId="0" fillId="2" borderId="7" xfId="1" applyNumberFormat="1" applyFont="1" applyFill="1" applyBorder="1"/>
    <xf numFmtId="169" fontId="0" fillId="2" borderId="4" xfId="1" applyNumberFormat="1" applyFont="1" applyFill="1" applyBorder="1"/>
    <xf numFmtId="9" fontId="0" fillId="3" borderId="0" xfId="0" applyNumberFormat="1" applyFill="1" applyBorder="1" applyAlignment="1">
      <alignment horizontal="center"/>
    </xf>
    <xf numFmtId="0" fontId="0" fillId="3" borderId="0" xfId="0" applyFill="1" applyBorder="1" applyAlignment="1">
      <alignment horizontal="center"/>
    </xf>
    <xf numFmtId="0" fontId="6" fillId="2" borderId="0" xfId="0" applyFont="1" applyFill="1" applyBorder="1" applyAlignment="1"/>
    <xf numFmtId="165" fontId="0" fillId="3" borderId="0" xfId="3" applyNumberFormat="1" applyFont="1" applyFill="1" applyBorder="1" applyAlignment="1">
      <alignment horizontal="center"/>
    </xf>
    <xf numFmtId="0" fontId="10" fillId="2" borderId="3" xfId="0" applyFont="1" applyFill="1" applyBorder="1" applyAlignment="1">
      <alignment horizontal="center" wrapText="1"/>
    </xf>
    <xf numFmtId="0" fontId="10" fillId="2" borderId="1" xfId="0" applyFont="1" applyFill="1" applyBorder="1" applyAlignment="1">
      <alignment horizontal="center" wrapText="1"/>
    </xf>
    <xf numFmtId="0" fontId="10" fillId="2" borderId="2" xfId="0" applyFont="1" applyFill="1" applyBorder="1" applyAlignment="1">
      <alignment horizontal="center" wrapText="1"/>
    </xf>
    <xf numFmtId="0" fontId="10" fillId="2" borderId="1" xfId="0" applyFont="1" applyFill="1" applyBorder="1" applyAlignment="1">
      <alignment horizontal="center"/>
    </xf>
    <xf numFmtId="0" fontId="10" fillId="2" borderId="1" xfId="0" applyFont="1" applyFill="1" applyBorder="1"/>
    <xf numFmtId="0" fontId="10" fillId="2" borderId="2" xfId="0" quotePrefix="1" applyFont="1" applyFill="1" applyBorder="1" applyAlignment="1">
      <alignment horizontal="right"/>
    </xf>
    <xf numFmtId="166" fontId="11" fillId="2" borderId="6" xfId="0" applyNumberFormat="1" applyFont="1" applyFill="1" applyBorder="1" applyAlignment="1">
      <alignment horizontal="right"/>
    </xf>
    <xf numFmtId="166" fontId="11" fillId="2" borderId="13" xfId="0" applyNumberFormat="1" applyFont="1" applyFill="1" applyBorder="1" applyAlignment="1">
      <alignment horizontal="right"/>
    </xf>
    <xf numFmtId="0" fontId="11" fillId="2" borderId="5" xfId="0" applyFont="1" applyFill="1" applyBorder="1"/>
    <xf numFmtId="0" fontId="11" fillId="2" borderId="4" xfId="0" applyFont="1" applyFill="1" applyBorder="1"/>
    <xf numFmtId="0" fontId="11" fillId="2" borderId="0" xfId="0" applyFont="1" applyFill="1" applyBorder="1" applyAlignment="1">
      <alignment horizontal="right"/>
    </xf>
    <xf numFmtId="166" fontId="6" fillId="2" borderId="5" xfId="1" applyNumberFormat="1" applyFont="1" applyFill="1" applyBorder="1" applyAlignment="1">
      <alignment horizontal="right"/>
    </xf>
    <xf numFmtId="166" fontId="6" fillId="2" borderId="0" xfId="1" applyNumberFormat="1" applyFont="1" applyFill="1" applyBorder="1" applyAlignment="1">
      <alignment horizontal="right"/>
    </xf>
    <xf numFmtId="166" fontId="11" fillId="2" borderId="1" xfId="0" applyNumberFormat="1" applyFont="1" applyFill="1" applyBorder="1" applyAlignment="1">
      <alignment horizontal="right"/>
    </xf>
    <xf numFmtId="166" fontId="0" fillId="2" borderId="0" xfId="1" applyNumberFormat="1" applyFont="1" applyFill="1" applyBorder="1" applyAlignment="1">
      <alignment horizontal="right"/>
    </xf>
    <xf numFmtId="0" fontId="10" fillId="2" borderId="0" xfId="0" applyFont="1" applyFill="1" applyBorder="1" applyAlignment="1">
      <alignment horizontal="center" wrapText="1"/>
    </xf>
    <xf numFmtId="0" fontId="10" fillId="2" borderId="5" xfId="0" applyFont="1" applyFill="1" applyBorder="1" applyAlignment="1">
      <alignment horizontal="center" wrapText="1"/>
    </xf>
    <xf numFmtId="0" fontId="10" fillId="2" borderId="4" xfId="0" applyFont="1" applyFill="1" applyBorder="1" applyAlignment="1">
      <alignment horizontal="center" wrapText="1"/>
    </xf>
    <xf numFmtId="0" fontId="10" fillId="2" borderId="4" xfId="0" quotePrefix="1" applyFont="1" applyFill="1" applyBorder="1" applyAlignment="1">
      <alignment horizontal="right"/>
    </xf>
    <xf numFmtId="9" fontId="0" fillId="3" borderId="0" xfId="0" applyNumberFormat="1" applyFill="1" applyBorder="1"/>
    <xf numFmtId="10" fontId="0" fillId="2" borderId="0" xfId="0" applyNumberFormat="1" applyFill="1" applyBorder="1"/>
    <xf numFmtId="10" fontId="0" fillId="3" borderId="0" xfId="0" applyNumberFormat="1" applyFill="1" applyBorder="1"/>
    <xf numFmtId="0" fontId="6" fillId="2" borderId="0" xfId="0" applyFont="1" applyFill="1" applyBorder="1" applyAlignment="1">
      <alignment horizontal="left"/>
    </xf>
    <xf numFmtId="43" fontId="0" fillId="2" borderId="0" xfId="1" applyNumberFormat="1" applyFont="1" applyFill="1" applyBorder="1"/>
    <xf numFmtId="43" fontId="0" fillId="2" borderId="5" xfId="1" applyNumberFormat="1" applyFont="1" applyFill="1" applyBorder="1"/>
    <xf numFmtId="9" fontId="0" fillId="3" borderId="0" xfId="1" applyNumberFormat="1" applyFont="1" applyFill="1" applyBorder="1"/>
    <xf numFmtId="0" fontId="0" fillId="2" borderId="0" xfId="0" applyFill="1" applyBorder="1" applyAlignment="1">
      <alignment horizontal="left"/>
    </xf>
    <xf numFmtId="9" fontId="0" fillId="0" borderId="0" xfId="0" applyNumberFormat="1" applyFill="1" applyBorder="1"/>
    <xf numFmtId="0" fontId="0" fillId="0" borderId="0" xfId="0" applyFill="1" applyBorder="1"/>
    <xf numFmtId="0" fontId="0" fillId="3" borderId="0" xfId="0" applyFill="1" applyBorder="1"/>
    <xf numFmtId="9" fontId="0" fillId="3" borderId="0" xfId="3" applyNumberFormat="1" applyFont="1" applyFill="1" applyBorder="1"/>
    <xf numFmtId="10" fontId="0" fillId="2" borderId="0" xfId="3" applyNumberFormat="1" applyFont="1" applyFill="1"/>
    <xf numFmtId="10" fontId="0" fillId="2" borderId="0" xfId="3" applyNumberFormat="1" applyFont="1" applyFill="1" applyBorder="1"/>
    <xf numFmtId="10" fontId="0" fillId="3" borderId="0" xfId="3" applyNumberFormat="1" applyFont="1" applyFill="1" applyBorder="1"/>
    <xf numFmtId="0" fontId="10" fillId="2" borderId="1" xfId="0" applyFont="1" applyFill="1" applyBorder="1" applyAlignment="1">
      <alignment horizontal="right" wrapText="1"/>
    </xf>
    <xf numFmtId="0" fontId="6" fillId="2" borderId="1" xfId="0" applyFont="1" applyFill="1" applyBorder="1" applyAlignment="1">
      <alignment horizontal="center"/>
    </xf>
    <xf numFmtId="0" fontId="10" fillId="2" borderId="1" xfId="0" applyFont="1" applyFill="1" applyBorder="1" applyAlignment="1">
      <alignment wrapText="1"/>
    </xf>
    <xf numFmtId="0" fontId="0" fillId="2" borderId="12" xfId="0" applyFill="1" applyBorder="1"/>
    <xf numFmtId="0" fontId="0" fillId="2" borderId="11" xfId="0" applyFill="1" applyBorder="1"/>
    <xf numFmtId="0" fontId="0" fillId="2" borderId="10" xfId="0" applyFill="1" applyBorder="1"/>
    <xf numFmtId="0" fontId="6" fillId="2" borderId="8" xfId="0" applyFont="1" applyFill="1" applyBorder="1"/>
    <xf numFmtId="166" fontId="11" fillId="2" borderId="0" xfId="1" applyNumberFormat="1" applyFont="1" applyFill="1" applyBorder="1"/>
    <xf numFmtId="166" fontId="0" fillId="2" borderId="0" xfId="1" applyNumberFormat="1" applyFont="1" applyFill="1" applyBorder="1"/>
    <xf numFmtId="43" fontId="0" fillId="2" borderId="0" xfId="0" applyNumberFormat="1" applyFill="1" applyBorder="1"/>
    <xf numFmtId="0" fontId="0" fillId="3" borderId="0" xfId="0" applyFill="1" applyBorder="1" applyAlignment="1">
      <alignment horizontal="right"/>
    </xf>
    <xf numFmtId="167" fontId="0" fillId="2" borderId="0" xfId="0" applyNumberFormat="1" applyFill="1" applyBorder="1"/>
    <xf numFmtId="166" fontId="0" fillId="3" borderId="0" xfId="0" applyNumberFormat="1" applyFill="1" applyBorder="1"/>
    <xf numFmtId="0" fontId="6" fillId="3" borderId="0" xfId="0" applyFont="1" applyFill="1" applyBorder="1" applyAlignment="1">
      <alignment horizontal="right"/>
    </xf>
    <xf numFmtId="0" fontId="10" fillId="2" borderId="1" xfId="0" applyFont="1" applyFill="1" applyBorder="1" applyAlignment="1"/>
    <xf numFmtId="166" fontId="11" fillId="2" borderId="6" xfId="1" applyNumberFormat="1" applyFont="1" applyFill="1" applyBorder="1"/>
    <xf numFmtId="166" fontId="0" fillId="3" borderId="0" xfId="1" applyNumberFormat="1" applyFont="1" applyFill="1" applyBorder="1" applyAlignment="1">
      <alignment horizontal="right"/>
    </xf>
    <xf numFmtId="166" fontId="0" fillId="3" borderId="0" xfId="1" applyNumberFormat="1" applyFont="1" applyFill="1" applyBorder="1"/>
    <xf numFmtId="166" fontId="11" fillId="2" borderId="0" xfId="0" applyNumberFormat="1" applyFont="1" applyFill="1" applyBorder="1"/>
    <xf numFmtId="0" fontId="11" fillId="2" borderId="0" xfId="0" applyFont="1" applyFill="1" applyBorder="1" applyAlignment="1">
      <alignment horizontal="center"/>
    </xf>
    <xf numFmtId="166" fontId="6" fillId="2" borderId="0" xfId="1" applyNumberFormat="1" applyFont="1" applyFill="1" applyBorder="1"/>
    <xf numFmtId="0" fontId="11" fillId="2" borderId="8" xfId="0" applyFont="1" applyFill="1" applyBorder="1"/>
    <xf numFmtId="0" fontId="11" fillId="2" borderId="8" xfId="0" applyFont="1" applyFill="1" applyBorder="1" applyAlignment="1">
      <alignment horizontal="center"/>
    </xf>
    <xf numFmtId="166" fontId="11" fillId="2" borderId="6" xfId="0" applyNumberFormat="1" applyFont="1" applyFill="1" applyBorder="1"/>
    <xf numFmtId="166" fontId="0" fillId="2" borderId="6" xfId="0" applyNumberFormat="1" applyFill="1" applyBorder="1"/>
    <xf numFmtId="0" fontId="6" fillId="2" borderId="8" xfId="0" applyFont="1" applyFill="1" applyBorder="1" applyAlignment="1">
      <alignment horizontal="center"/>
    </xf>
    <xf numFmtId="43" fontId="0" fillId="2" borderId="0" xfId="1" applyFont="1" applyFill="1" applyBorder="1"/>
    <xf numFmtId="44" fontId="0" fillId="3" borderId="0" xfId="2" applyFont="1" applyFill="1" applyBorder="1" applyAlignment="1">
      <alignment horizontal="right"/>
    </xf>
    <xf numFmtId="44" fontId="0" fillId="2" borderId="0" xfId="2" applyFont="1" applyFill="1" applyBorder="1" applyAlignment="1">
      <alignment horizontal="right"/>
    </xf>
    <xf numFmtId="166" fontId="6" fillId="2" borderId="6" xfId="1" applyNumberFormat="1" applyFont="1" applyFill="1" applyBorder="1"/>
    <xf numFmtId="0" fontId="11" fillId="2" borderId="0" xfId="0" applyFont="1" applyFill="1" applyBorder="1" applyAlignment="1"/>
    <xf numFmtId="0" fontId="10" fillId="2" borderId="0" xfId="0" applyFont="1" applyFill="1" applyBorder="1" applyAlignment="1">
      <alignment horizontal="right" wrapText="1"/>
    </xf>
    <xf numFmtId="0" fontId="10" fillId="2" borderId="0" xfId="0" applyFont="1" applyFill="1" applyBorder="1"/>
    <xf numFmtId="0" fontId="11" fillId="2" borderId="0" xfId="0" applyFont="1" applyFill="1"/>
    <xf numFmtId="0" fontId="11" fillId="2" borderId="7" xfId="0" applyFont="1" applyFill="1" applyBorder="1"/>
    <xf numFmtId="0" fontId="6" fillId="3" borderId="0" xfId="0" applyFont="1" applyFill="1" applyBorder="1"/>
    <xf numFmtId="9" fontId="11" fillId="2" borderId="0" xfId="0" applyNumberFormat="1" applyFont="1" applyFill="1" applyBorder="1"/>
    <xf numFmtId="43" fontId="6" fillId="3" borderId="0" xfId="0" applyNumberFormat="1" applyFont="1" applyFill="1" applyBorder="1"/>
    <xf numFmtId="168" fontId="0" fillId="3" borderId="0" xfId="1" applyNumberFormat="1" applyFont="1" applyFill="1" applyBorder="1"/>
    <xf numFmtId="165" fontId="6" fillId="2" borderId="0" xfId="3" applyNumberFormat="1" applyFont="1" applyFill="1" applyBorder="1"/>
    <xf numFmtId="165" fontId="11" fillId="2" borderId="0" xfId="3" applyNumberFormat="1" applyFont="1" applyFill="1" applyBorder="1"/>
    <xf numFmtId="165" fontId="0" fillId="0" borderId="0" xfId="0" applyNumberFormat="1" applyFill="1" applyBorder="1"/>
    <xf numFmtId="3" fontId="0" fillId="2" borderId="0" xfId="0" applyNumberFormat="1" applyFill="1" applyBorder="1"/>
    <xf numFmtId="165" fontId="0" fillId="3" borderId="0" xfId="1" applyNumberFormat="1" applyFont="1" applyFill="1" applyBorder="1"/>
    <xf numFmtId="9" fontId="11" fillId="2" borderId="6" xfId="3" applyFont="1" applyFill="1" applyBorder="1" applyAlignment="1">
      <alignment horizontal="center"/>
    </xf>
    <xf numFmtId="165" fontId="0" fillId="3" borderId="0" xfId="3" applyNumberFormat="1" applyFont="1" applyFill="1" applyBorder="1"/>
    <xf numFmtId="0" fontId="8" fillId="2" borderId="1" xfId="0" quotePrefix="1" applyFont="1" applyFill="1" applyBorder="1" applyAlignment="1">
      <alignment horizontal="right"/>
    </xf>
    <xf numFmtId="0" fontId="7" fillId="2" borderId="0" xfId="0" applyFont="1" applyFill="1"/>
    <xf numFmtId="166" fontId="0" fillId="2" borderId="0" xfId="1" applyNumberFormat="1" applyFont="1" applyFill="1"/>
    <xf numFmtId="166" fontId="6" fillId="2" borderId="0" xfId="0" applyNumberFormat="1" applyFont="1" applyFill="1" applyBorder="1" applyAlignment="1">
      <alignment horizontal="center"/>
    </xf>
    <xf numFmtId="166" fontId="0" fillId="2" borderId="9" xfId="1" applyNumberFormat="1" applyFont="1" applyFill="1" applyBorder="1"/>
    <xf numFmtId="166" fontId="0" fillId="2" borderId="8" xfId="1" applyNumberFormat="1" applyFont="1" applyFill="1" applyBorder="1"/>
    <xf numFmtId="166" fontId="0" fillId="2" borderId="5" xfId="1" applyNumberFormat="1" applyFont="1" applyFill="1" applyBorder="1"/>
    <xf numFmtId="9" fontId="0" fillId="2" borderId="0" xfId="0" applyNumberFormat="1" applyFill="1"/>
    <xf numFmtId="166" fontId="0" fillId="2" borderId="3" xfId="1" applyNumberFormat="1" applyFont="1" applyFill="1" applyBorder="1"/>
    <xf numFmtId="166" fontId="0" fillId="2" borderId="1" xfId="1" applyNumberFormat="1" applyFont="1" applyFill="1" applyBorder="1"/>
    <xf numFmtId="166" fontId="0" fillId="2" borderId="0" xfId="1" applyNumberFormat="1" applyFont="1" applyFill="1" applyBorder="1" applyAlignment="1">
      <alignment horizontal="center"/>
    </xf>
    <xf numFmtId="166" fontId="0" fillId="2" borderId="7" xfId="1" applyNumberFormat="1" applyFont="1" applyFill="1" applyBorder="1"/>
    <xf numFmtId="166" fontId="0" fillId="2" borderId="4" xfId="1" applyNumberFormat="1" applyFont="1" applyFill="1" applyBorder="1"/>
    <xf numFmtId="166" fontId="10" fillId="2" borderId="2" xfId="1" applyNumberFormat="1" applyFont="1" applyFill="1" applyBorder="1" applyAlignment="1">
      <alignment horizontal="center"/>
    </xf>
    <xf numFmtId="166" fontId="11" fillId="2" borderId="14" xfId="1" applyNumberFormat="1" applyFont="1" applyFill="1" applyBorder="1"/>
    <xf numFmtId="166" fontId="0" fillId="2" borderId="5" xfId="1" applyNumberFormat="1" applyFont="1" applyFill="1" applyBorder="1" applyAlignment="1">
      <alignment horizontal="right"/>
    </xf>
    <xf numFmtId="166" fontId="10" fillId="2" borderId="3" xfId="1" applyNumberFormat="1" applyFont="1" applyFill="1" applyBorder="1" applyAlignment="1">
      <alignment horizontal="center" wrapText="1"/>
    </xf>
    <xf numFmtId="166" fontId="10" fillId="2" borderId="1" xfId="1" applyNumberFormat="1" applyFont="1" applyFill="1" applyBorder="1" applyAlignment="1">
      <alignment horizontal="center" wrapText="1"/>
    </xf>
    <xf numFmtId="166" fontId="11" fillId="2" borderId="5" xfId="1" applyNumberFormat="1" applyFont="1" applyFill="1" applyBorder="1"/>
    <xf numFmtId="166" fontId="10" fillId="2" borderId="5" xfId="1" applyNumberFormat="1" applyFont="1" applyFill="1" applyBorder="1" applyAlignment="1">
      <alignment horizontal="center" wrapText="1"/>
    </xf>
    <xf numFmtId="166" fontId="10" fillId="2" borderId="0" xfId="1" applyNumberFormat="1" applyFont="1" applyFill="1" applyBorder="1" applyAlignment="1">
      <alignment horizontal="center" wrapText="1"/>
    </xf>
    <xf numFmtId="165" fontId="0" fillId="2" borderId="5" xfId="3" applyNumberFormat="1" applyFont="1" applyFill="1" applyBorder="1"/>
    <xf numFmtId="165" fontId="0" fillId="2" borderId="0" xfId="3" applyNumberFormat="1" applyFont="1" applyFill="1" applyBorder="1"/>
    <xf numFmtId="43" fontId="0" fillId="2" borderId="5" xfId="1" applyFont="1" applyFill="1" applyBorder="1"/>
    <xf numFmtId="9" fontId="0" fillId="2" borderId="5" xfId="3" applyNumberFormat="1" applyFont="1" applyFill="1" applyBorder="1"/>
    <xf numFmtId="9" fontId="0" fillId="2" borderId="0" xfId="3" applyNumberFormat="1" applyFont="1" applyFill="1" applyBorder="1"/>
    <xf numFmtId="166" fontId="10" fillId="2" borderId="3" xfId="1" applyNumberFormat="1" applyFont="1" applyFill="1" applyBorder="1" applyAlignment="1">
      <alignment horizontal="right" wrapText="1"/>
    </xf>
    <xf numFmtId="166" fontId="10" fillId="2" borderId="1" xfId="1" applyNumberFormat="1" applyFont="1" applyFill="1" applyBorder="1" applyAlignment="1">
      <alignment horizontal="right" wrapText="1"/>
    </xf>
    <xf numFmtId="170" fontId="11" fillId="2" borderId="0" xfId="2" applyNumberFormat="1" applyFont="1" applyFill="1" applyBorder="1"/>
    <xf numFmtId="166" fontId="6" fillId="2" borderId="5" xfId="1" applyNumberFormat="1" applyFont="1" applyFill="1" applyBorder="1"/>
    <xf numFmtId="166" fontId="10" fillId="2" borderId="1" xfId="1" applyNumberFormat="1" applyFont="1" applyFill="1" applyBorder="1" applyAlignment="1">
      <alignment horizontal="center"/>
    </xf>
    <xf numFmtId="0" fontId="11" fillId="2" borderId="1" xfId="0" applyFont="1" applyFill="1" applyBorder="1"/>
    <xf numFmtId="179" fontId="6" fillId="2" borderId="0" xfId="0" applyNumberFormat="1" applyFont="1" applyFill="1" applyBorder="1"/>
    <xf numFmtId="0" fontId="11" fillId="2" borderId="6" xfId="0" applyFont="1" applyFill="1" applyBorder="1" applyAlignment="1">
      <alignment horizontal="center"/>
    </xf>
    <xf numFmtId="0" fontId="0" fillId="2" borderId="0" xfId="0" applyFill="1" applyBorder="1" applyAlignment="1"/>
    <xf numFmtId="166" fontId="6" fillId="2" borderId="0" xfId="1" applyNumberFormat="1" applyFont="1" applyFill="1"/>
    <xf numFmtId="166" fontId="0" fillId="2" borderId="0" xfId="0" applyNumberFormat="1" applyFill="1" applyBorder="1" applyAlignment="1"/>
    <xf numFmtId="0" fontId="10" fillId="2" borderId="7" xfId="0" quotePrefix="1" applyFont="1" applyFill="1" applyBorder="1" applyAlignment="1">
      <alignment horizontal="right"/>
    </xf>
    <xf numFmtId="166" fontId="0" fillId="2" borderId="0" xfId="0" applyNumberFormat="1" applyFill="1" applyBorder="1" applyAlignment="1">
      <alignment horizontal="right"/>
    </xf>
    <xf numFmtId="166" fontId="10" fillId="2" borderId="0" xfId="1" applyNumberFormat="1" applyFont="1" applyFill="1" applyBorder="1" applyAlignment="1">
      <alignment horizontal="center"/>
    </xf>
    <xf numFmtId="166" fontId="11" fillId="2" borderId="8" xfId="0" applyNumberFormat="1" applyFont="1" applyFill="1" applyBorder="1"/>
    <xf numFmtId="0" fontId="6" fillId="3" borderId="0" xfId="0" applyFont="1" applyFill="1" applyBorder="1" applyAlignment="1"/>
    <xf numFmtId="0" fontId="0" fillId="3" borderId="0" xfId="0" applyFill="1" applyBorder="1" applyAlignment="1"/>
    <xf numFmtId="169" fontId="0" fillId="3" borderId="0" xfId="1" applyNumberFormat="1" applyFont="1" applyFill="1" applyBorder="1"/>
    <xf numFmtId="169" fontId="6" fillId="3" borderId="0" xfId="1" applyNumberFormat="1" applyFont="1" applyFill="1" applyBorder="1"/>
    <xf numFmtId="166" fontId="11" fillId="2" borderId="0" xfId="1" applyNumberFormat="1" applyFont="1" applyFill="1"/>
    <xf numFmtId="166" fontId="11" fillId="2" borderId="9" xfId="1" applyNumberFormat="1" applyFont="1" applyFill="1" applyBorder="1"/>
    <xf numFmtId="166" fontId="11" fillId="2" borderId="8" xfId="1" applyNumberFormat="1" applyFont="1" applyFill="1" applyBorder="1"/>
    <xf numFmtId="166" fontId="11" fillId="2" borderId="8" xfId="1" applyNumberFormat="1" applyFont="1" applyFill="1" applyBorder="1" applyAlignment="1">
      <alignment horizontal="right"/>
    </xf>
    <xf numFmtId="43" fontId="6" fillId="3" borderId="0" xfId="1" applyFont="1" applyFill="1" applyBorder="1"/>
    <xf numFmtId="166" fontId="10" fillId="2" borderId="0" xfId="1" applyNumberFormat="1" applyFont="1" applyFill="1" applyBorder="1"/>
    <xf numFmtId="166" fontId="10" fillId="2" borderId="7" xfId="1" applyNumberFormat="1" applyFont="1" applyFill="1" applyBorder="1"/>
    <xf numFmtId="166" fontId="11" fillId="2" borderId="18" xfId="0" applyNumberFormat="1" applyFont="1" applyFill="1" applyBorder="1"/>
    <xf numFmtId="43" fontId="0" fillId="2" borderId="8" xfId="1" applyFont="1" applyFill="1" applyBorder="1"/>
    <xf numFmtId="9" fontId="0" fillId="3" borderId="0" xfId="0" applyNumberFormat="1" applyFill="1" applyBorder="1" applyAlignment="1">
      <alignment horizontal="right"/>
    </xf>
    <xf numFmtId="0" fontId="11" fillId="2" borderId="0" xfId="0" applyFont="1" applyFill="1" applyBorder="1" applyAlignment="1">
      <alignment horizontal="center" wrapText="1"/>
    </xf>
    <xf numFmtId="0" fontId="11" fillId="2" borderId="0" xfId="0" applyFont="1" applyFill="1" applyBorder="1" applyAlignment="1">
      <alignment horizontal="right" wrapText="1"/>
    </xf>
    <xf numFmtId="166" fontId="6" fillId="3" borderId="0" xfId="1" applyNumberFormat="1" applyFont="1" applyFill="1" applyBorder="1"/>
    <xf numFmtId="9" fontId="6" fillId="2" borderId="0" xfId="3" applyFont="1" applyFill="1" applyBorder="1" applyAlignment="1">
      <alignment horizontal="center"/>
    </xf>
    <xf numFmtId="9" fontId="11" fillId="2" borderId="0" xfId="3" applyFont="1" applyFill="1" applyBorder="1" applyAlignment="1">
      <alignment horizontal="center"/>
    </xf>
    <xf numFmtId="177" fontId="0" fillId="2" borderId="0" xfId="0" applyNumberFormat="1" applyFill="1" applyBorder="1"/>
    <xf numFmtId="176" fontId="0" fillId="2" borderId="0" xfId="0" applyNumberFormat="1" applyFill="1" applyBorder="1"/>
    <xf numFmtId="9" fontId="0" fillId="3" borderId="0" xfId="3" applyFont="1" applyFill="1" applyBorder="1"/>
    <xf numFmtId="9" fontId="11" fillId="2" borderId="0" xfId="3" applyFont="1" applyFill="1" applyBorder="1"/>
    <xf numFmtId="166" fontId="11" fillId="2" borderId="0" xfId="1" applyNumberFormat="1" applyFont="1" applyFill="1" applyBorder="1" applyAlignment="1">
      <alignment horizontal="center" wrapText="1"/>
    </xf>
    <xf numFmtId="166" fontId="0" fillId="3" borderId="0" xfId="0" applyNumberFormat="1" applyFill="1" applyBorder="1" applyAlignment="1">
      <alignment horizontal="right"/>
    </xf>
    <xf numFmtId="9" fontId="0" fillId="0" borderId="0" xfId="0" applyNumberFormat="1" applyFill="1" applyBorder="1" applyAlignment="1">
      <alignment horizontal="right"/>
    </xf>
    <xf numFmtId="9" fontId="11" fillId="2" borderId="6" xfId="3" applyFont="1" applyFill="1" applyBorder="1"/>
    <xf numFmtId="43" fontId="0" fillId="2" borderId="0" xfId="0" applyNumberFormat="1" applyFill="1" applyBorder="1" applyAlignment="1">
      <alignment horizontal="right"/>
    </xf>
    <xf numFmtId="10" fontId="0" fillId="0" borderId="0" xfId="0" applyNumberFormat="1" applyFill="1" applyBorder="1"/>
    <xf numFmtId="166" fontId="10" fillId="2" borderId="1" xfId="1" applyNumberFormat="1" applyFont="1" applyFill="1" applyBorder="1"/>
    <xf numFmtId="169" fontId="6" fillId="2" borderId="0" xfId="1" applyNumberFormat="1" applyFont="1" applyFill="1" applyBorder="1" applyAlignment="1">
      <alignment horizontal="right"/>
    </xf>
    <xf numFmtId="9" fontId="11" fillId="2" borderId="1" xfId="3" applyFont="1" applyFill="1" applyBorder="1"/>
    <xf numFmtId="166" fontId="10" fillId="2" borderId="1" xfId="1" applyNumberFormat="1" applyFont="1" applyFill="1" applyBorder="1" applyAlignment="1"/>
    <xf numFmtId="165" fontId="0" fillId="2" borderId="0" xfId="3" applyNumberFormat="1" applyFont="1" applyFill="1"/>
    <xf numFmtId="166" fontId="40" fillId="2" borderId="0" xfId="1" applyNumberFormat="1" applyFont="1" applyFill="1"/>
    <xf numFmtId="166" fontId="40" fillId="2" borderId="0" xfId="1" applyNumberFormat="1" applyFont="1" applyFill="1" applyBorder="1"/>
    <xf numFmtId="0" fontId="0" fillId="2" borderId="0" xfId="0" applyFont="1" applyFill="1" applyBorder="1" applyAlignment="1">
      <alignment horizontal="center"/>
    </xf>
    <xf numFmtId="181" fontId="0" fillId="2" borderId="0" xfId="0" applyNumberFormat="1" applyFill="1" applyBorder="1" applyAlignment="1">
      <alignment horizontal="right"/>
    </xf>
    <xf numFmtId="0" fontId="0" fillId="2" borderId="0" xfId="0" quotePrefix="1" applyFont="1" applyFill="1" applyBorder="1" applyAlignment="1">
      <alignment horizontal="center"/>
    </xf>
    <xf numFmtId="9" fontId="6" fillId="3" borderId="0" xfId="3" applyFont="1" applyFill="1" applyBorder="1"/>
    <xf numFmtId="0" fontId="0" fillId="2" borderId="0" xfId="0" applyFont="1" applyFill="1" applyBorder="1" applyAlignment="1"/>
    <xf numFmtId="166" fontId="0" fillId="2" borderId="0" xfId="1" applyNumberFormat="1" applyFont="1" applyFill="1" applyAlignment="1">
      <alignment wrapText="1"/>
    </xf>
    <xf numFmtId="166" fontId="0" fillId="2" borderId="5" xfId="1" applyNumberFormat="1" applyFont="1" applyFill="1" applyBorder="1" applyAlignment="1">
      <alignment horizontal="center" wrapText="1"/>
    </xf>
    <xf numFmtId="166" fontId="0" fillId="3" borderId="5" xfId="1" applyNumberFormat="1" applyFont="1" applyFill="1" applyBorder="1"/>
    <xf numFmtId="175" fontId="0" fillId="16" borderId="23" xfId="0" applyNumberFormat="1" applyFill="1" applyBorder="1"/>
    <xf numFmtId="175" fontId="0" fillId="16" borderId="30" xfId="0" applyNumberFormat="1" applyFill="1" applyBorder="1"/>
    <xf numFmtId="175" fontId="0" fillId="16" borderId="24" xfId="0" applyNumberFormat="1" applyFill="1" applyBorder="1"/>
    <xf numFmtId="175" fontId="0" fillId="16" borderId="31" xfId="0" applyNumberFormat="1" applyFill="1" applyBorder="1"/>
    <xf numFmtId="175" fontId="11" fillId="16" borderId="19" xfId="0" applyNumberFormat="1" applyFont="1" applyFill="1" applyBorder="1"/>
    <xf numFmtId="175" fontId="11" fillId="16" borderId="21" xfId="0" applyNumberFormat="1" applyFont="1" applyFill="1" applyBorder="1"/>
    <xf numFmtId="175" fontId="0" fillId="16" borderId="0" xfId="0" applyNumberFormat="1" applyFill="1"/>
    <xf numFmtId="175" fontId="0" fillId="16" borderId="20" xfId="0" applyNumberFormat="1" applyFill="1" applyBorder="1"/>
    <xf numFmtId="175" fontId="0" fillId="16" borderId="22" xfId="0" applyNumberFormat="1" applyFill="1" applyBorder="1"/>
    <xf numFmtId="174" fontId="0" fillId="16" borderId="22" xfId="0" applyNumberFormat="1" applyFill="1" applyBorder="1"/>
    <xf numFmtId="175" fontId="0" fillId="13" borderId="35" xfId="0" applyNumberFormat="1" applyFill="1" applyBorder="1"/>
    <xf numFmtId="175" fontId="0" fillId="13" borderId="36" xfId="0" applyNumberFormat="1" applyFill="1" applyBorder="1"/>
    <xf numFmtId="175" fontId="0" fillId="13" borderId="37" xfId="0" applyNumberFormat="1" applyFill="1" applyBorder="1"/>
    <xf numFmtId="175" fontId="11" fillId="13" borderId="38" xfId="0" applyNumberFormat="1" applyFont="1" applyFill="1" applyBorder="1"/>
    <xf numFmtId="175" fontId="0" fillId="13" borderId="39" xfId="0" applyNumberFormat="1" applyFill="1" applyBorder="1"/>
    <xf numFmtId="175" fontId="0" fillId="13" borderId="40" xfId="0" applyNumberFormat="1" applyFill="1" applyBorder="1"/>
    <xf numFmtId="175" fontId="0" fillId="17" borderId="23" xfId="0" applyNumberFormat="1" applyFill="1" applyBorder="1"/>
    <xf numFmtId="175" fontId="0" fillId="17" borderId="35" xfId="0" applyNumberFormat="1" applyFill="1" applyBorder="1"/>
    <xf numFmtId="175" fontId="0" fillId="17" borderId="24" xfId="0" applyNumberFormat="1" applyFill="1" applyBorder="1"/>
    <xf numFmtId="175" fontId="0" fillId="17" borderId="36" xfId="0" applyNumberFormat="1" applyFill="1" applyBorder="1"/>
    <xf numFmtId="175" fontId="0" fillId="17" borderId="25" xfId="0" applyNumberFormat="1" applyFill="1" applyBorder="1"/>
    <xf numFmtId="175" fontId="0" fillId="17" borderId="37" xfId="0" applyNumberFormat="1" applyFill="1" applyBorder="1"/>
    <xf numFmtId="175" fontId="11" fillId="17" borderId="19" xfId="0" applyNumberFormat="1" applyFont="1" applyFill="1" applyBorder="1"/>
    <xf numFmtId="175" fontId="11" fillId="17" borderId="38" xfId="0" applyNumberFormat="1" applyFont="1" applyFill="1" applyBorder="1"/>
    <xf numFmtId="175" fontId="0" fillId="17" borderId="27" xfId="0" applyNumberFormat="1" applyFill="1" applyBorder="1"/>
    <xf numFmtId="175" fontId="0" fillId="17" borderId="39" xfId="0" applyNumberFormat="1" applyFill="1" applyBorder="1"/>
    <xf numFmtId="175" fontId="0" fillId="17" borderId="29" xfId="0" applyNumberFormat="1" applyFill="1" applyBorder="1"/>
    <xf numFmtId="175" fontId="0" fillId="17" borderId="40" xfId="0" applyNumberFormat="1" applyFill="1" applyBorder="1"/>
    <xf numFmtId="175" fontId="0" fillId="17" borderId="22" xfId="0" applyNumberFormat="1" applyFill="1" applyBorder="1"/>
    <xf numFmtId="174" fontId="0" fillId="17" borderId="22" xfId="0" applyNumberFormat="1" applyFill="1" applyBorder="1"/>
    <xf numFmtId="2" fontId="0" fillId="17" borderId="22" xfId="0" applyNumberFormat="1" applyFill="1" applyBorder="1"/>
    <xf numFmtId="0" fontId="0" fillId="17" borderId="22" xfId="0" applyNumberFormat="1" applyFill="1" applyBorder="1"/>
    <xf numFmtId="2" fontId="0" fillId="16" borderId="22" xfId="0" applyNumberFormat="1" applyFill="1" applyBorder="1"/>
    <xf numFmtId="0" fontId="0" fillId="16" borderId="22" xfId="0" applyNumberFormat="1" applyFill="1" applyBorder="1"/>
    <xf numFmtId="0" fontId="21" fillId="11" borderId="0" xfId="0" applyFont="1" applyFill="1"/>
    <xf numFmtId="0" fontId="39" fillId="11" borderId="17" xfId="0" applyFont="1" applyFill="1" applyBorder="1"/>
    <xf numFmtId="175" fontId="11" fillId="13" borderId="0" xfId="0" applyNumberFormat="1" applyFont="1" applyFill="1" applyBorder="1"/>
    <xf numFmtId="0" fontId="0" fillId="0" borderId="0" xfId="0" applyFont="1" applyFill="1" applyBorder="1"/>
    <xf numFmtId="175" fontId="0" fillId="13" borderId="41" xfId="0" applyNumberFormat="1" applyFill="1" applyBorder="1"/>
    <xf numFmtId="175" fontId="11" fillId="13" borderId="42" xfId="0" applyNumberFormat="1" applyFont="1" applyFill="1" applyBorder="1"/>
    <xf numFmtId="175" fontId="11" fillId="13" borderId="43" xfId="0" applyNumberFormat="1" applyFont="1" applyFill="1" applyBorder="1"/>
    <xf numFmtId="175" fontId="11" fillId="14" borderId="0" xfId="0" applyNumberFormat="1" applyFont="1" applyFill="1" applyBorder="1"/>
    <xf numFmtId="175" fontId="11" fillId="16" borderId="0" xfId="0" applyNumberFormat="1" applyFont="1" applyFill="1" applyBorder="1"/>
    <xf numFmtId="175" fontId="0" fillId="16" borderId="29" xfId="0" applyNumberFormat="1" applyFill="1" applyBorder="1"/>
    <xf numFmtId="175" fontId="0" fillId="16" borderId="39" xfId="0" applyNumberFormat="1" applyFill="1" applyBorder="1"/>
    <xf numFmtId="175" fontId="11" fillId="16" borderId="38" xfId="0" applyNumberFormat="1" applyFont="1" applyFill="1" applyBorder="1"/>
    <xf numFmtId="0" fontId="0" fillId="0" borderId="0" xfId="0" applyFill="1" applyBorder="1" applyAlignment="1">
      <alignment wrapText="1"/>
    </xf>
    <xf numFmtId="0" fontId="0" fillId="0" borderId="20" xfId="0" applyFont="1" applyFill="1" applyBorder="1" applyAlignment="1">
      <alignment wrapText="1"/>
    </xf>
    <xf numFmtId="0" fontId="0" fillId="18" borderId="22" xfId="0" applyNumberFormat="1" applyFill="1" applyBorder="1"/>
    <xf numFmtId="0" fontId="0" fillId="18" borderId="0" xfId="0" applyFill="1"/>
    <xf numFmtId="2" fontId="0" fillId="18" borderId="22" xfId="0" applyNumberFormat="1" applyFill="1" applyBorder="1"/>
    <xf numFmtId="2" fontId="0" fillId="18" borderId="0" xfId="0" applyNumberFormat="1" applyFill="1"/>
    <xf numFmtId="175" fontId="0" fillId="18" borderId="23" xfId="0" applyNumberFormat="1" applyFill="1" applyBorder="1"/>
    <xf numFmtId="175" fontId="0" fillId="18" borderId="30" xfId="0" applyNumberFormat="1" applyFill="1" applyBorder="1"/>
    <xf numFmtId="175" fontId="0" fillId="18" borderId="24" xfId="0" applyNumberFormat="1" applyFill="1" applyBorder="1"/>
    <xf numFmtId="175" fontId="0" fillId="18" borderId="31" xfId="0" applyNumberFormat="1" applyFill="1" applyBorder="1"/>
    <xf numFmtId="175" fontId="11" fillId="18" borderId="19" xfId="0" applyNumberFormat="1" applyFont="1" applyFill="1" applyBorder="1"/>
    <xf numFmtId="175" fontId="11" fillId="18" borderId="21" xfId="0" applyNumberFormat="1" applyFont="1" applyFill="1" applyBorder="1"/>
    <xf numFmtId="175" fontId="0" fillId="18" borderId="0" xfId="0" applyNumberFormat="1" applyFill="1"/>
    <xf numFmtId="175" fontId="0" fillId="18" borderId="20" xfId="0" applyNumberFormat="1" applyFill="1" applyBorder="1"/>
    <xf numFmtId="175" fontId="0" fillId="18" borderId="29" xfId="0" applyNumberFormat="1" applyFill="1" applyBorder="1"/>
    <xf numFmtId="175" fontId="0" fillId="18" borderId="39" xfId="0" applyNumberFormat="1" applyFill="1" applyBorder="1"/>
    <xf numFmtId="175" fontId="11" fillId="18" borderId="38" xfId="0" applyNumberFormat="1" applyFont="1" applyFill="1" applyBorder="1"/>
    <xf numFmtId="175" fontId="0" fillId="18" borderId="22" xfId="0" applyNumberFormat="1" applyFill="1" applyBorder="1"/>
    <xf numFmtId="175" fontId="11" fillId="18" borderId="0" xfId="0" applyNumberFormat="1" applyFont="1" applyFill="1" applyBorder="1"/>
    <xf numFmtId="174" fontId="0" fillId="18" borderId="22" xfId="0" applyNumberFormat="1" applyFill="1" applyBorder="1"/>
    <xf numFmtId="0" fontId="0" fillId="14" borderId="0" xfId="0" applyFill="1"/>
    <xf numFmtId="2" fontId="0" fillId="14" borderId="0" xfId="0" applyNumberFormat="1" applyFill="1"/>
    <xf numFmtId="175" fontId="0" fillId="14" borderId="29" xfId="0" applyNumberFormat="1" applyFill="1" applyBorder="1"/>
    <xf numFmtId="175" fontId="0" fillId="14" borderId="39" xfId="0" applyNumberFormat="1" applyFill="1" applyBorder="1"/>
    <xf numFmtId="175" fontId="11" fillId="14" borderId="38" xfId="0" applyNumberFormat="1" applyFont="1" applyFill="1" applyBorder="1"/>
    <xf numFmtId="0" fontId="34" fillId="0" borderId="34" xfId="0" applyFont="1" applyBorder="1" applyAlignment="1">
      <alignment horizontal="right"/>
    </xf>
    <xf numFmtId="0" fontId="21" fillId="9" borderId="0" xfId="0" applyFont="1" applyFill="1" applyAlignment="1">
      <alignment vertical="center"/>
    </xf>
    <xf numFmtId="0" fontId="20" fillId="9" borderId="0" xfId="0" applyFont="1" applyFill="1"/>
    <xf numFmtId="0" fontId="21" fillId="8" borderId="0" xfId="0" applyFont="1" applyFill="1" applyAlignment="1">
      <alignment vertical="center"/>
    </xf>
    <xf numFmtId="0" fontId="21" fillId="11" borderId="0" xfId="0" applyFont="1" applyFill="1" applyAlignment="1">
      <alignment vertical="center"/>
    </xf>
    <xf numFmtId="0" fontId="20" fillId="11" borderId="0" xfId="0" applyFont="1" applyFill="1"/>
    <xf numFmtId="0" fontId="21" fillId="19" borderId="0" xfId="0" applyFont="1" applyFill="1" applyAlignment="1">
      <alignment vertical="center"/>
    </xf>
    <xf numFmtId="0" fontId="21" fillId="19" borderId="0" xfId="0" applyFont="1" applyFill="1"/>
    <xf numFmtId="0" fontId="20" fillId="19" borderId="0" xfId="0" applyFont="1" applyFill="1"/>
    <xf numFmtId="0" fontId="21" fillId="20" borderId="0" xfId="0" applyFont="1" applyFill="1" applyAlignment="1">
      <alignment vertical="center"/>
    </xf>
    <xf numFmtId="0" fontId="21" fillId="20" borderId="0" xfId="0" applyFont="1" applyFill="1"/>
    <xf numFmtId="0" fontId="20" fillId="20" borderId="0" xfId="0" applyFont="1" applyFill="1"/>
    <xf numFmtId="0" fontId="42" fillId="0" borderId="0" xfId="0" applyFont="1"/>
    <xf numFmtId="9" fontId="34" fillId="0" borderId="0" xfId="0" applyNumberFormat="1" applyFont="1"/>
    <xf numFmtId="0" fontId="0" fillId="3" borderId="20" xfId="0" applyFont="1" applyFill="1" applyBorder="1"/>
    <xf numFmtId="0" fontId="41" fillId="0" borderId="0" xfId="0" applyFont="1"/>
    <xf numFmtId="175" fontId="11" fillId="17" borderId="44" xfId="0" applyNumberFormat="1" applyFont="1" applyFill="1" applyBorder="1"/>
    <xf numFmtId="175" fontId="11" fillId="17" borderId="42" xfId="0" applyNumberFormat="1" applyFont="1" applyFill="1" applyBorder="1"/>
    <xf numFmtId="166" fontId="0" fillId="2" borderId="0" xfId="0" applyNumberFormat="1" applyFont="1" applyFill="1" applyBorder="1" applyAlignment="1">
      <alignment horizontal="center" wrapText="1"/>
    </xf>
    <xf numFmtId="182" fontId="0" fillId="2" borderId="0" xfId="0" applyNumberFormat="1" applyFont="1" applyFill="1" applyBorder="1" applyAlignment="1">
      <alignment horizontal="center" wrapText="1"/>
    </xf>
    <xf numFmtId="183" fontId="0" fillId="2" borderId="0" xfId="0" applyNumberFormat="1" applyFont="1" applyFill="1" applyBorder="1" applyAlignment="1">
      <alignment horizontal="center" wrapText="1"/>
    </xf>
    <xf numFmtId="164" fontId="0" fillId="3" borderId="0" xfId="0" applyNumberFormat="1" applyFont="1" applyFill="1" applyBorder="1" applyAlignment="1">
      <alignment horizontal="right" wrapText="1"/>
    </xf>
    <xf numFmtId="0" fontId="0" fillId="2" borderId="0" xfId="0" applyFont="1" applyFill="1"/>
    <xf numFmtId="0" fontId="34" fillId="0" borderId="0" xfId="0" applyFont="1" applyFill="1"/>
    <xf numFmtId="0" fontId="21" fillId="21" borderId="0" xfId="0" applyFont="1" applyFill="1" applyAlignment="1">
      <alignment vertical="center"/>
    </xf>
    <xf numFmtId="0" fontId="21" fillId="21" borderId="0" xfId="0" applyFont="1" applyFill="1"/>
    <xf numFmtId="0" fontId="20" fillId="21" borderId="0" xfId="0" applyFont="1" applyFill="1"/>
    <xf numFmtId="175" fontId="0" fillId="22" borderId="30" xfId="0" applyNumberFormat="1" applyFill="1" applyBorder="1"/>
    <xf numFmtId="175" fontId="0" fillId="22" borderId="23" xfId="0" applyNumberFormat="1" applyFill="1" applyBorder="1"/>
    <xf numFmtId="175" fontId="0" fillId="22" borderId="24" xfId="0" applyNumberFormat="1" applyFill="1" applyBorder="1"/>
    <xf numFmtId="175" fontId="0" fillId="22" borderId="31" xfId="0" applyNumberFormat="1" applyFill="1" applyBorder="1"/>
    <xf numFmtId="175" fontId="11" fillId="22" borderId="19" xfId="0" applyNumberFormat="1" applyFont="1" applyFill="1" applyBorder="1"/>
    <xf numFmtId="175" fontId="11" fillId="22" borderId="21" xfId="0" applyNumberFormat="1" applyFont="1" applyFill="1" applyBorder="1"/>
    <xf numFmtId="175" fontId="0" fillId="22" borderId="0" xfId="0" applyNumberFormat="1" applyFill="1"/>
    <xf numFmtId="175" fontId="0" fillId="22" borderId="20" xfId="0" applyNumberFormat="1" applyFill="1" applyBorder="1"/>
    <xf numFmtId="175" fontId="0" fillId="22" borderId="29" xfId="0" applyNumberFormat="1" applyFill="1" applyBorder="1"/>
    <xf numFmtId="175" fontId="0" fillId="22" borderId="39" xfId="0" applyNumberFormat="1" applyFill="1" applyBorder="1"/>
    <xf numFmtId="175" fontId="11" fillId="22" borderId="38" xfId="0" applyNumberFormat="1" applyFont="1" applyFill="1" applyBorder="1"/>
    <xf numFmtId="0" fontId="0" fillId="22" borderId="22" xfId="0" applyNumberFormat="1" applyFill="1" applyBorder="1"/>
    <xf numFmtId="0" fontId="0" fillId="22" borderId="0" xfId="0" applyFill="1"/>
    <xf numFmtId="2" fontId="0" fillId="22" borderId="22" xfId="0" applyNumberFormat="1" applyFill="1" applyBorder="1"/>
    <xf numFmtId="2" fontId="0" fillId="22" borderId="0" xfId="0" applyNumberFormat="1" applyFill="1"/>
    <xf numFmtId="175" fontId="0" fillId="22" borderId="22" xfId="0" applyNumberFormat="1" applyFill="1" applyBorder="1"/>
    <xf numFmtId="175" fontId="11" fillId="22" borderId="0" xfId="0" applyNumberFormat="1" applyFont="1" applyFill="1" applyBorder="1"/>
    <xf numFmtId="174" fontId="0" fillId="22" borderId="22" xfId="0" applyNumberFormat="1" applyFill="1" applyBorder="1"/>
    <xf numFmtId="0" fontId="21" fillId="23" borderId="0" xfId="0" applyFont="1" applyFill="1" applyAlignment="1">
      <alignment vertical="center"/>
    </xf>
    <xf numFmtId="0" fontId="21" fillId="23" borderId="0" xfId="0" applyFont="1" applyFill="1"/>
    <xf numFmtId="0" fontId="20" fillId="23" borderId="0" xfId="0" applyFont="1" applyFill="1"/>
    <xf numFmtId="0" fontId="0" fillId="24" borderId="22" xfId="0" applyNumberFormat="1" applyFill="1" applyBorder="1"/>
    <xf numFmtId="2" fontId="0" fillId="24" borderId="22" xfId="0" applyNumberFormat="1" applyFill="1" applyBorder="1"/>
    <xf numFmtId="175" fontId="0" fillId="24" borderId="23" xfId="0" applyNumberFormat="1" applyFill="1" applyBorder="1"/>
    <xf numFmtId="175" fontId="0" fillId="24" borderId="30" xfId="0" applyNumberFormat="1" applyFill="1" applyBorder="1"/>
    <xf numFmtId="175" fontId="0" fillId="24" borderId="24" xfId="0" applyNumberFormat="1" applyFill="1" applyBorder="1"/>
    <xf numFmtId="175" fontId="0" fillId="24" borderId="31" xfId="0" applyNumberFormat="1" applyFill="1" applyBorder="1"/>
    <xf numFmtId="175" fontId="11" fillId="24" borderId="19" xfId="0" applyNumberFormat="1" applyFont="1" applyFill="1" applyBorder="1"/>
    <xf numFmtId="175" fontId="11" fillId="24" borderId="21" xfId="0" applyNumberFormat="1" applyFont="1" applyFill="1" applyBorder="1"/>
    <xf numFmtId="175" fontId="0" fillId="24" borderId="0" xfId="0" applyNumberFormat="1" applyFill="1"/>
    <xf numFmtId="175" fontId="0" fillId="24" borderId="20" xfId="0" applyNumberFormat="1" applyFill="1" applyBorder="1"/>
    <xf numFmtId="175" fontId="0" fillId="24" borderId="29" xfId="0" applyNumberFormat="1" applyFill="1" applyBorder="1"/>
    <xf numFmtId="175" fontId="0" fillId="24" borderId="39" xfId="0" applyNumberFormat="1" applyFill="1" applyBorder="1"/>
    <xf numFmtId="175" fontId="11" fillId="24" borderId="38" xfId="0" applyNumberFormat="1" applyFont="1" applyFill="1" applyBorder="1"/>
    <xf numFmtId="175" fontId="0" fillId="24" borderId="22" xfId="0" applyNumberFormat="1" applyFill="1" applyBorder="1"/>
    <xf numFmtId="175" fontId="11" fillId="24" borderId="0" xfId="0" applyNumberFormat="1" applyFont="1" applyFill="1" applyBorder="1"/>
    <xf numFmtId="174" fontId="0" fillId="24" borderId="22" xfId="0" applyNumberFormat="1" applyFill="1" applyBorder="1"/>
    <xf numFmtId="0" fontId="0" fillId="0" borderId="0" xfId="0" applyNumberFormat="1" applyFill="1"/>
    <xf numFmtId="9" fontId="0" fillId="0" borderId="0" xfId="3" applyFont="1"/>
    <xf numFmtId="0" fontId="0" fillId="0" borderId="0" xfId="0"/>
    <xf numFmtId="0" fontId="7" fillId="2" borderId="0" xfId="0" applyFont="1" applyFill="1"/>
    <xf numFmtId="0" fontId="0" fillId="2" borderId="0" xfId="0" applyFill="1"/>
    <xf numFmtId="0" fontId="0" fillId="2" borderId="0" xfId="0" applyFill="1" applyAlignment="1">
      <alignment horizontal="right"/>
    </xf>
    <xf numFmtId="0" fontId="0" fillId="2" borderId="0" xfId="0" applyFill="1" applyBorder="1"/>
    <xf numFmtId="0" fontId="10" fillId="2" borderId="1" xfId="0" applyFont="1" applyFill="1" applyBorder="1" applyAlignment="1">
      <alignment horizontal="center" wrapText="1"/>
    </xf>
    <xf numFmtId="0" fontId="0" fillId="2" borderId="4" xfId="0" applyFill="1" applyBorder="1"/>
    <xf numFmtId="0" fontId="6" fillId="2" borderId="0" xfId="0" applyFont="1" applyFill="1" applyBorder="1"/>
    <xf numFmtId="166" fontId="0" fillId="2" borderId="0" xfId="1" applyNumberFormat="1" applyFont="1" applyFill="1" applyBorder="1" applyAlignment="1">
      <alignment horizontal="right"/>
    </xf>
    <xf numFmtId="166" fontId="0" fillId="2" borderId="0" xfId="1" applyNumberFormat="1" applyFont="1" applyFill="1" applyBorder="1"/>
    <xf numFmtId="0" fontId="0" fillId="2" borderId="5" xfId="0" applyFill="1" applyBorder="1"/>
    <xf numFmtId="0" fontId="11" fillId="2" borderId="0" xfId="0" applyFont="1" applyFill="1" applyBorder="1" applyAlignment="1">
      <alignment horizontal="right"/>
    </xf>
    <xf numFmtId="0" fontId="11" fillId="2" borderId="0" xfId="0" applyFont="1" applyFill="1" applyBorder="1"/>
    <xf numFmtId="166" fontId="11" fillId="2" borderId="6" xfId="0" applyNumberFormat="1" applyFont="1" applyFill="1" applyBorder="1"/>
    <xf numFmtId="0" fontId="0" fillId="2" borderId="0" xfId="0" applyFill="1" applyBorder="1" applyAlignment="1">
      <alignment horizontal="center"/>
    </xf>
    <xf numFmtId="0" fontId="0" fillId="2" borderId="0" xfId="0" applyFill="1" applyBorder="1" applyAlignment="1">
      <alignment horizontal="right"/>
    </xf>
    <xf numFmtId="166" fontId="0" fillId="3" borderId="0" xfId="1" applyNumberFormat="1" applyFont="1" applyFill="1" applyBorder="1"/>
    <xf numFmtId="0" fontId="0" fillId="3" borderId="0" xfId="0" applyFill="1" applyBorder="1" applyAlignment="1">
      <alignment horizontal="right"/>
    </xf>
    <xf numFmtId="0" fontId="0" fillId="3" borderId="0" xfId="0" applyFill="1" applyBorder="1"/>
    <xf numFmtId="166" fontId="0" fillId="2" borderId="0" xfId="0" applyNumberFormat="1" applyFill="1" applyBorder="1"/>
    <xf numFmtId="0" fontId="6" fillId="2" borderId="0" xfId="0" applyFont="1" applyFill="1" applyBorder="1" applyAlignment="1"/>
    <xf numFmtId="0" fontId="6" fillId="2" borderId="0" xfId="0" applyFont="1" applyFill="1" applyBorder="1" applyAlignment="1">
      <alignment horizontal="right"/>
    </xf>
    <xf numFmtId="166" fontId="11" fillId="2" borderId="0" xfId="1" applyNumberFormat="1" applyFont="1" applyFill="1" applyBorder="1"/>
    <xf numFmtId="0" fontId="10" fillId="2" borderId="3" xfId="0" applyFont="1" applyFill="1" applyBorder="1" applyAlignment="1">
      <alignment horizontal="center" wrapText="1"/>
    </xf>
    <xf numFmtId="0" fontId="6" fillId="3" borderId="0" xfId="0" applyFont="1" applyFill="1" applyBorder="1"/>
    <xf numFmtId="0" fontId="11" fillId="2" borderId="4" xfId="0" applyFont="1" applyFill="1" applyBorder="1"/>
    <xf numFmtId="0" fontId="6" fillId="3" borderId="0" xfId="0" applyFont="1" applyFill="1" applyBorder="1" applyAlignment="1">
      <alignment horizontal="right"/>
    </xf>
    <xf numFmtId="166" fontId="0" fillId="2" borderId="6" xfId="0" applyNumberFormat="1" applyFill="1" applyBorder="1"/>
    <xf numFmtId="166" fontId="6" fillId="2" borderId="0" xfId="1" applyNumberFormat="1" applyFont="1" applyFill="1" applyBorder="1" applyAlignment="1">
      <alignment horizontal="right"/>
    </xf>
    <xf numFmtId="166" fontId="6" fillId="2" borderId="5" xfId="1" applyNumberFormat="1" applyFont="1" applyFill="1" applyBorder="1" applyAlignment="1">
      <alignment horizontal="right"/>
    </xf>
    <xf numFmtId="0" fontId="11" fillId="2" borderId="5" xfId="0" applyFont="1" applyFill="1" applyBorder="1"/>
    <xf numFmtId="166" fontId="11" fillId="2" borderId="13" xfId="1" applyNumberFormat="1" applyFont="1" applyFill="1" applyBorder="1" applyAlignment="1">
      <alignment horizontal="right"/>
    </xf>
    <xf numFmtId="166" fontId="11" fillId="2" borderId="6" xfId="1" applyNumberFormat="1" applyFont="1" applyFill="1" applyBorder="1" applyAlignment="1">
      <alignment horizontal="right"/>
    </xf>
    <xf numFmtId="166" fontId="11" fillId="2" borderId="14" xfId="1" applyNumberFormat="1" applyFont="1" applyFill="1" applyBorder="1" applyAlignment="1">
      <alignment horizontal="right"/>
    </xf>
    <xf numFmtId="166" fontId="11" fillId="2" borderId="1" xfId="0" applyNumberFormat="1" applyFont="1" applyFill="1" applyBorder="1" applyAlignment="1">
      <alignment horizontal="right"/>
    </xf>
    <xf numFmtId="166" fontId="11" fillId="2" borderId="13" xfId="0" applyNumberFormat="1" applyFont="1" applyFill="1" applyBorder="1" applyAlignment="1">
      <alignment horizontal="right"/>
    </xf>
    <xf numFmtId="169" fontId="0" fillId="2" borderId="4" xfId="1" applyNumberFormat="1" applyFont="1" applyFill="1" applyBorder="1"/>
    <xf numFmtId="169" fontId="0" fillId="2" borderId="5" xfId="1" applyNumberFormat="1" applyFont="1" applyFill="1" applyBorder="1"/>
    <xf numFmtId="169" fontId="0" fillId="2" borderId="0" xfId="1" applyNumberFormat="1" applyFont="1" applyFill="1" applyBorder="1" applyAlignment="1">
      <alignment horizontal="right"/>
    </xf>
    <xf numFmtId="169" fontId="11" fillId="2" borderId="6" xfId="0" applyNumberFormat="1" applyFont="1" applyFill="1" applyBorder="1"/>
    <xf numFmtId="0" fontId="0" fillId="0" borderId="0" xfId="0" applyFill="1"/>
    <xf numFmtId="0" fontId="0" fillId="2" borderId="0" xfId="0" applyFont="1" applyFill="1" applyBorder="1"/>
    <xf numFmtId="169" fontId="0" fillId="2" borderId="7" xfId="1" applyNumberFormat="1" applyFont="1" applyFill="1" applyBorder="1"/>
    <xf numFmtId="169" fontId="0" fillId="2" borderId="9" xfId="1" applyNumberFormat="1" applyFont="1" applyFill="1" applyBorder="1"/>
    <xf numFmtId="169" fontId="11" fillId="2" borderId="4" xfId="0" applyNumberFormat="1" applyFont="1" applyFill="1" applyBorder="1"/>
    <xf numFmtId="169" fontId="11" fillId="2" borderId="5" xfId="0" applyNumberFormat="1" applyFont="1" applyFill="1" applyBorder="1"/>
    <xf numFmtId="166" fontId="0" fillId="2" borderId="0" xfId="1" applyNumberFormat="1" applyFont="1" applyFill="1"/>
    <xf numFmtId="166" fontId="10" fillId="2" borderId="3" xfId="1" applyNumberFormat="1" applyFont="1" applyFill="1" applyBorder="1" applyAlignment="1">
      <alignment horizontal="center" wrapText="1"/>
    </xf>
    <xf numFmtId="166" fontId="0" fillId="2" borderId="5" xfId="1" applyNumberFormat="1" applyFont="1" applyFill="1" applyBorder="1"/>
    <xf numFmtId="166" fontId="11" fillId="2" borderId="5" xfId="1" applyNumberFormat="1" applyFont="1" applyFill="1" applyBorder="1"/>
    <xf numFmtId="166" fontId="10" fillId="2" borderId="1" xfId="1" applyNumberFormat="1" applyFont="1" applyFill="1" applyBorder="1" applyAlignment="1">
      <alignment horizontal="center" wrapText="1"/>
    </xf>
    <xf numFmtId="166" fontId="11" fillId="2" borderId="0" xfId="1" applyNumberFormat="1" applyFont="1" applyFill="1" applyBorder="1" applyAlignment="1">
      <alignment horizontal="right"/>
    </xf>
    <xf numFmtId="0" fontId="34" fillId="0" borderId="0" xfId="0" applyFont="1"/>
    <xf numFmtId="0" fontId="28" fillId="0" borderId="0" xfId="8" applyFont="1" applyFill="1" applyBorder="1" applyAlignment="1">
      <alignment horizontal="right"/>
    </xf>
    <xf numFmtId="0" fontId="28" fillId="0" borderId="0" xfId="8" applyFont="1" applyFill="1" applyBorder="1"/>
    <xf numFmtId="0" fontId="27" fillId="0" borderId="0" xfId="8" applyFont="1" applyFill="1" applyBorder="1" applyAlignment="1">
      <alignment horizontal="center"/>
    </xf>
    <xf numFmtId="0" fontId="26" fillId="2" borderId="0" xfId="0" applyFont="1" applyFill="1"/>
    <xf numFmtId="0" fontId="36" fillId="2" borderId="0" xfId="0" applyFont="1" applyFill="1"/>
    <xf numFmtId="0" fontId="26" fillId="0" borderId="19" xfId="0" applyFont="1" applyBorder="1"/>
    <xf numFmtId="0" fontId="22" fillId="0" borderId="17" xfId="0" applyFont="1" applyBorder="1"/>
    <xf numFmtId="0" fontId="38" fillId="0" borderId="17" xfId="0" applyFont="1" applyBorder="1"/>
    <xf numFmtId="0" fontId="38" fillId="0" borderId="33" xfId="0" applyFont="1" applyBorder="1"/>
    <xf numFmtId="2" fontId="38" fillId="0" borderId="33" xfId="0" applyNumberFormat="1" applyFont="1" applyBorder="1"/>
    <xf numFmtId="3" fontId="22" fillId="0" borderId="17" xfId="0" applyNumberFormat="1" applyFont="1" applyBorder="1"/>
    <xf numFmtId="3" fontId="26" fillId="0" borderId="19" xfId="0" applyNumberFormat="1" applyFont="1" applyBorder="1"/>
    <xf numFmtId="10" fontId="22" fillId="0" borderId="17" xfId="0" applyNumberFormat="1" applyFont="1" applyBorder="1"/>
    <xf numFmtId="0" fontId="0" fillId="2" borderId="0" xfId="0" applyFont="1" applyFill="1" applyBorder="1" applyAlignment="1">
      <alignment horizontal="center"/>
    </xf>
    <xf numFmtId="0" fontId="39" fillId="0" borderId="17" xfId="0" applyFont="1" applyFill="1" applyBorder="1"/>
    <xf numFmtId="0" fontId="29" fillId="2" borderId="0" xfId="0" applyFont="1" applyFill="1"/>
    <xf numFmtId="0" fontId="44" fillId="5" borderId="0" xfId="0" applyFont="1" applyFill="1"/>
    <xf numFmtId="0" fontId="44" fillId="5" borderId="0" xfId="0" applyFont="1" applyFill="1" applyAlignment="1">
      <alignment wrapText="1"/>
    </xf>
    <xf numFmtId="0" fontId="0" fillId="3" borderId="0" xfId="0" applyFill="1" applyAlignment="1">
      <alignment wrapText="1"/>
    </xf>
    <xf numFmtId="0" fontId="11" fillId="3" borderId="0" xfId="12" applyFont="1" applyFill="1" applyAlignment="1">
      <alignment vertical="top"/>
    </xf>
    <xf numFmtId="0" fontId="6" fillId="3" borderId="0" xfId="12" applyFill="1" applyAlignment="1">
      <alignment vertical="top" wrapText="1"/>
    </xf>
    <xf numFmtId="0" fontId="0" fillId="3" borderId="0" xfId="12" applyFont="1" applyFill="1" applyAlignment="1">
      <alignment vertical="top" wrapText="1"/>
    </xf>
    <xf numFmtId="0" fontId="27" fillId="0" borderId="0" xfId="8" applyFont="1"/>
    <xf numFmtId="0" fontId="6" fillId="0" borderId="0" xfId="8"/>
    <xf numFmtId="0" fontId="11" fillId="0" borderId="0" xfId="8" applyFont="1"/>
    <xf numFmtId="0" fontId="21" fillId="5" borderId="0" xfId="8" applyFont="1" applyFill="1" applyAlignment="1">
      <alignment vertical="top"/>
    </xf>
    <xf numFmtId="0" fontId="21" fillId="5" borderId="0" xfId="8" applyFont="1" applyFill="1" applyAlignment="1">
      <alignment vertical="top" wrapText="1"/>
    </xf>
    <xf numFmtId="0" fontId="6" fillId="0" borderId="0" xfId="8" applyAlignment="1">
      <alignment vertical="top"/>
    </xf>
    <xf numFmtId="0" fontId="11" fillId="2" borderId="34" xfId="8" applyFont="1" applyFill="1" applyBorder="1" applyAlignment="1">
      <alignment vertical="center"/>
    </xf>
    <xf numFmtId="0" fontId="43" fillId="2" borderId="34" xfId="8" applyFont="1" applyFill="1" applyBorder="1" applyAlignment="1">
      <alignment vertical="center"/>
    </xf>
    <xf numFmtId="0" fontId="11" fillId="2" borderId="34" xfId="8" applyFont="1" applyFill="1" applyBorder="1" applyAlignment="1">
      <alignment wrapText="1"/>
    </xf>
    <xf numFmtId="0" fontId="6" fillId="0" borderId="17" xfId="8" applyBorder="1"/>
    <xf numFmtId="0" fontId="6" fillId="0" borderId="17" xfId="8" applyNumberFormat="1" applyBorder="1" applyAlignment="1"/>
    <xf numFmtId="0" fontId="6" fillId="0" borderId="17" xfId="8" applyBorder="1" applyAlignment="1">
      <alignment horizontal="left"/>
    </xf>
    <xf numFmtId="0" fontId="6" fillId="0" borderId="17" xfId="8" applyBorder="1" applyAlignment="1">
      <alignment wrapText="1"/>
    </xf>
    <xf numFmtId="0" fontId="6" fillId="0" borderId="17" xfId="8" applyNumberFormat="1" applyBorder="1" applyAlignment="1">
      <alignment vertical="center"/>
    </xf>
    <xf numFmtId="0" fontId="11" fillId="2" borderId="34" xfId="8" applyFont="1" applyFill="1" applyBorder="1" applyAlignment="1">
      <alignment horizontal="left" vertical="center"/>
    </xf>
    <xf numFmtId="1" fontId="6" fillId="0" borderId="17" xfId="8" applyNumberFormat="1" applyBorder="1"/>
    <xf numFmtId="0" fontId="6" fillId="0" borderId="17" xfId="8" applyFill="1" applyBorder="1"/>
    <xf numFmtId="165" fontId="6" fillId="0" borderId="17" xfId="8" applyNumberFormat="1" applyBorder="1"/>
    <xf numFmtId="9" fontId="6" fillId="0" borderId="17" xfId="8" applyNumberFormat="1" applyBorder="1"/>
    <xf numFmtId="0" fontId="6" fillId="0" borderId="0" xfId="8" applyBorder="1"/>
    <xf numFmtId="0" fontId="6" fillId="0" borderId="0" xfId="8" applyBorder="1" applyAlignment="1">
      <alignment horizontal="left"/>
    </xf>
    <xf numFmtId="0" fontId="6" fillId="0" borderId="17" xfId="8" applyBorder="1" applyAlignment="1">
      <alignment vertical="center"/>
    </xf>
    <xf numFmtId="0" fontId="34" fillId="0" borderId="17" xfId="8" applyFont="1" applyBorder="1" applyAlignment="1">
      <alignment wrapText="1"/>
    </xf>
    <xf numFmtId="164" fontId="6" fillId="0" borderId="17" xfId="8" applyNumberFormat="1" applyBorder="1" applyAlignment="1">
      <alignment vertical="center"/>
    </xf>
    <xf numFmtId="0" fontId="6" fillId="0" borderId="17" xfId="8" applyBorder="1" applyAlignment="1">
      <alignment vertical="top" wrapText="1"/>
    </xf>
    <xf numFmtId="0" fontId="34" fillId="0" borderId="17" xfId="8" applyFont="1" applyBorder="1" applyAlignment="1">
      <alignment vertical="center"/>
    </xf>
    <xf numFmtId="0" fontId="6" fillId="0" borderId="0" xfId="8" applyBorder="1" applyAlignment="1">
      <alignment vertical="center"/>
    </xf>
    <xf numFmtId="0" fontId="34" fillId="0" borderId="0" xfId="8" applyFont="1" applyBorder="1" applyAlignment="1">
      <alignment vertical="center"/>
    </xf>
    <xf numFmtId="0" fontId="6" fillId="0" borderId="0" xfId="8" applyBorder="1" applyAlignment="1">
      <alignment wrapText="1"/>
    </xf>
    <xf numFmtId="0" fontId="6" fillId="2" borderId="17" xfId="8" applyFill="1" applyBorder="1"/>
    <xf numFmtId="0" fontId="34" fillId="0" borderId="17" xfId="8" applyFont="1" applyFill="1" applyBorder="1" applyAlignment="1">
      <alignment vertical="center"/>
    </xf>
    <xf numFmtId="172" fontId="6" fillId="0" borderId="17" xfId="8" applyNumberFormat="1" applyBorder="1" applyAlignment="1">
      <alignment vertical="center"/>
    </xf>
    <xf numFmtId="185" fontId="6" fillId="0" borderId="17" xfId="8" applyNumberFormat="1" applyBorder="1" applyAlignment="1">
      <alignment vertical="center"/>
    </xf>
    <xf numFmtId="0" fontId="6" fillId="0" borderId="17" xfId="8" applyFill="1" applyBorder="1" applyAlignment="1">
      <alignment vertical="center"/>
    </xf>
    <xf numFmtId="0" fontId="46" fillId="0" borderId="0" xfId="8" applyFont="1"/>
    <xf numFmtId="0" fontId="14" fillId="0" borderId="0" xfId="4" applyAlignment="1">
      <alignment horizontal="left" indent="1"/>
    </xf>
    <xf numFmtId="0" fontId="15" fillId="5" borderId="0" xfId="4" applyFont="1" applyFill="1" applyAlignment="1">
      <alignment horizontal="left" indent="1"/>
    </xf>
    <xf numFmtId="175" fontId="0" fillId="14" borderId="0" xfId="0" applyNumberFormat="1" applyFill="1" applyBorder="1"/>
    <xf numFmtId="175" fontId="0" fillId="14" borderId="35" xfId="0" applyNumberFormat="1" applyFill="1" applyBorder="1"/>
    <xf numFmtId="175" fontId="0" fillId="14" borderId="36" xfId="0" applyNumberFormat="1" applyFill="1" applyBorder="1"/>
    <xf numFmtId="175" fontId="0" fillId="14" borderId="46" xfId="0" applyNumberFormat="1" applyFill="1" applyBorder="1"/>
    <xf numFmtId="0" fontId="35" fillId="0" borderId="0" xfId="0" applyFont="1"/>
    <xf numFmtId="165" fontId="0" fillId="3" borderId="0" xfId="3" applyNumberFormat="1" applyFont="1" applyFill="1" applyBorder="1" applyAlignment="1" applyProtection="1">
      <alignment horizontal="center"/>
      <protection locked="0"/>
    </xf>
    <xf numFmtId="0" fontId="0" fillId="0" borderId="17" xfId="8" applyFont="1" applyBorder="1"/>
    <xf numFmtId="0" fontId="0" fillId="0" borderId="0" xfId="0" applyFill="1" applyBorder="1" applyAlignment="1">
      <alignment horizontal="right"/>
    </xf>
    <xf numFmtId="0" fontId="0" fillId="0" borderId="0" xfId="0" applyFont="1"/>
    <xf numFmtId="175" fontId="0" fillId="2" borderId="0" xfId="0" applyNumberFormat="1" applyFont="1" applyFill="1"/>
    <xf numFmtId="0" fontId="0" fillId="0" borderId="17" xfId="0" applyFont="1" applyBorder="1"/>
    <xf numFmtId="0" fontId="0" fillId="2" borderId="17" xfId="0" applyFont="1" applyFill="1" applyBorder="1"/>
    <xf numFmtId="174" fontId="0" fillId="0" borderId="17" xfId="0" applyNumberFormat="1" applyFont="1" applyFill="1" applyBorder="1"/>
    <xf numFmtId="0" fontId="0" fillId="0" borderId="0" xfId="0" applyNumberFormat="1" applyFill="1" applyBorder="1" applyAlignment="1">
      <alignment horizontal="center"/>
    </xf>
    <xf numFmtId="0" fontId="21" fillId="5" borderId="17" xfId="0" applyFont="1" applyFill="1" applyBorder="1"/>
    <xf numFmtId="174" fontId="21" fillId="5" borderId="17" xfId="0" applyNumberFormat="1" applyFont="1" applyFill="1" applyBorder="1" applyAlignment="1">
      <alignment wrapText="1"/>
    </xf>
    <xf numFmtId="0" fontId="0" fillId="0" borderId="17" xfId="0" applyFont="1" applyFill="1" applyBorder="1"/>
    <xf numFmtId="0" fontId="0" fillId="0" borderId="0" xfId="0" applyFont="1" applyFill="1"/>
    <xf numFmtId="174" fontId="30" fillId="9" borderId="0" xfId="0" applyNumberFormat="1" applyFont="1" applyFill="1"/>
    <xf numFmtId="174" fontId="21" fillId="5" borderId="17" xfId="0" applyNumberFormat="1" applyFont="1" applyFill="1" applyBorder="1" applyAlignment="1">
      <alignment horizontal="right" wrapText="1"/>
    </xf>
    <xf numFmtId="175" fontId="11" fillId="2" borderId="0" xfId="0" applyNumberFormat="1" applyFont="1" applyFill="1"/>
    <xf numFmtId="175" fontId="0" fillId="0" borderId="17" xfId="0" applyNumberFormat="1" applyFont="1" applyFill="1" applyBorder="1"/>
    <xf numFmtId="174" fontId="30" fillId="27" borderId="0" xfId="0" applyNumberFormat="1" applyFont="1" applyFill="1"/>
    <xf numFmtId="0" fontId="0" fillId="27" borderId="0" xfId="0" applyFill="1"/>
    <xf numFmtId="0" fontId="0" fillId="28" borderId="0" xfId="0" applyFill="1"/>
    <xf numFmtId="0" fontId="30" fillId="26" borderId="0" xfId="0" applyFont="1" applyFill="1"/>
    <xf numFmtId="0" fontId="0" fillId="26" borderId="0" xfId="0" applyFill="1"/>
    <xf numFmtId="174" fontId="30" fillId="28" borderId="0" xfId="0" applyNumberFormat="1" applyFont="1" applyFill="1"/>
    <xf numFmtId="174" fontId="30" fillId="29" borderId="0" xfId="0" applyNumberFormat="1" applyFont="1" applyFill="1"/>
    <xf numFmtId="0" fontId="0" fillId="29" borderId="0" xfId="0" applyFill="1"/>
    <xf numFmtId="174" fontId="30" fillId="30" borderId="0" xfId="0" applyNumberFormat="1" applyFont="1" applyFill="1"/>
    <xf numFmtId="0" fontId="0" fillId="30" borderId="0" xfId="0" applyFill="1"/>
    <xf numFmtId="0" fontId="11" fillId="31" borderId="0" xfId="0" applyFont="1" applyFill="1"/>
    <xf numFmtId="174" fontId="48" fillId="31" borderId="0" xfId="0" applyNumberFormat="1" applyFont="1" applyFill="1"/>
    <xf numFmtId="0" fontId="0" fillId="3" borderId="15" xfId="0" applyNumberFormat="1" applyFill="1" applyBorder="1" applyAlignment="1">
      <alignment horizontal="center"/>
    </xf>
    <xf numFmtId="0" fontId="0" fillId="0" borderId="17" xfId="8" applyFont="1" applyBorder="1" applyAlignment="1">
      <alignment wrapText="1"/>
    </xf>
    <xf numFmtId="0" fontId="0" fillId="0" borderId="17" xfId="8" applyFont="1" applyBorder="1" applyAlignment="1">
      <alignment vertical="center"/>
    </xf>
    <xf numFmtId="0" fontId="6" fillId="0" borderId="0" xfId="0" applyFont="1" applyFill="1"/>
    <xf numFmtId="0" fontId="0" fillId="5" borderId="0" xfId="0" applyFill="1"/>
    <xf numFmtId="0" fontId="0" fillId="0" borderId="0" xfId="0" applyFill="1"/>
    <xf numFmtId="0" fontId="20" fillId="0" borderId="0" xfId="0" applyFont="1"/>
    <xf numFmtId="0" fontId="11" fillId="12" borderId="15" xfId="0" applyFont="1" applyFill="1" applyBorder="1" applyAlignment="1" applyProtection="1">
      <alignment horizontal="center" vertical="center"/>
      <protection locked="0"/>
    </xf>
    <xf numFmtId="9" fontId="11" fillId="12" borderId="15" xfId="0" applyNumberFormat="1" applyFont="1" applyFill="1" applyBorder="1" applyAlignment="1" applyProtection="1">
      <alignment horizontal="center" vertical="center"/>
      <protection locked="0"/>
    </xf>
    <xf numFmtId="0" fontId="31" fillId="5" borderId="0" xfId="0" applyFont="1" applyFill="1" applyAlignment="1">
      <alignment horizontal="center"/>
    </xf>
    <xf numFmtId="0" fontId="0" fillId="3" borderId="0" xfId="0" applyFont="1" applyFill="1" applyBorder="1"/>
    <xf numFmtId="0" fontId="0" fillId="7" borderId="0" xfId="0" applyFill="1"/>
    <xf numFmtId="0" fontId="0" fillId="7" borderId="0" xfId="0" applyFont="1" applyFill="1"/>
    <xf numFmtId="0" fontId="0" fillId="3" borderId="0" xfId="0" applyFont="1" applyFill="1"/>
    <xf numFmtId="0" fontId="11" fillId="3" borderId="0" xfId="0" applyFont="1" applyFill="1"/>
    <xf numFmtId="14" fontId="52" fillId="3" borderId="47" xfId="0" applyNumberFormat="1" applyFont="1" applyFill="1" applyBorder="1" applyAlignment="1">
      <alignment horizontal="center" vertical="center"/>
    </xf>
    <xf numFmtId="0" fontId="26" fillId="7" borderId="0" xfId="0" applyFont="1" applyFill="1"/>
    <xf numFmtId="14" fontId="52" fillId="3" borderId="43" xfId="0" applyNumberFormat="1" applyFont="1" applyFill="1" applyBorder="1" applyAlignment="1">
      <alignment horizontal="center" vertical="center"/>
    </xf>
    <xf numFmtId="0" fontId="11" fillId="3" borderId="0" xfId="0" applyFont="1" applyFill="1" applyBorder="1" applyAlignment="1">
      <alignment horizontal="center" vertical="justify"/>
    </xf>
    <xf numFmtId="0" fontId="11" fillId="3" borderId="20" xfId="0" applyFont="1" applyFill="1" applyBorder="1" applyAlignment="1">
      <alignment horizontal="center" vertical="justify"/>
    </xf>
    <xf numFmtId="10" fontId="6" fillId="3" borderId="47" xfId="3" applyNumberFormat="1" applyFont="1" applyFill="1" applyBorder="1"/>
    <xf numFmtId="165" fontId="22" fillId="12" borderId="6" xfId="3" applyNumberFormat="1" applyFont="1" applyFill="1" applyBorder="1" applyAlignment="1" applyProtection="1">
      <alignment horizontal="center"/>
      <protection locked="0"/>
    </xf>
    <xf numFmtId="165" fontId="22" fillId="3" borderId="6" xfId="19" applyNumberFormat="1" applyFill="1" applyBorder="1" applyAlignment="1">
      <alignment horizontal="center" vertical="center"/>
      <protection locked="0"/>
    </xf>
    <xf numFmtId="165" fontId="22" fillId="12" borderId="47" xfId="3" applyNumberFormat="1" applyFont="1" applyFill="1" applyBorder="1" applyAlignment="1" applyProtection="1">
      <alignment horizontal="center"/>
      <protection locked="0"/>
    </xf>
    <xf numFmtId="165" fontId="0" fillId="3" borderId="47" xfId="3" applyNumberFormat="1" applyFont="1" applyFill="1" applyBorder="1" applyAlignment="1">
      <alignment horizontal="center"/>
    </xf>
    <xf numFmtId="165" fontId="0" fillId="3" borderId="6" xfId="3" applyNumberFormat="1" applyFont="1" applyFill="1" applyBorder="1" applyAlignment="1">
      <alignment horizontal="center" vertical="center"/>
    </xf>
    <xf numFmtId="165" fontId="0" fillId="3" borderId="48" xfId="3" applyNumberFormat="1" applyFont="1" applyFill="1" applyBorder="1" applyAlignment="1">
      <alignment horizontal="center" vertical="center"/>
    </xf>
    <xf numFmtId="2" fontId="0" fillId="3" borderId="0" xfId="0" applyNumberFormat="1" applyFont="1" applyFill="1"/>
    <xf numFmtId="10" fontId="6" fillId="3" borderId="43" xfId="3" applyNumberFormat="1" applyFont="1" applyFill="1" applyBorder="1"/>
    <xf numFmtId="165" fontId="22" fillId="12" borderId="0" xfId="3" applyNumberFormat="1" applyFont="1" applyFill="1" applyBorder="1" applyAlignment="1" applyProtection="1">
      <alignment horizontal="center"/>
      <protection locked="0"/>
    </xf>
    <xf numFmtId="165" fontId="22" fillId="3" borderId="0" xfId="19" applyNumberFormat="1" applyFill="1" applyBorder="1" applyAlignment="1">
      <alignment horizontal="center" vertical="center"/>
      <protection locked="0"/>
    </xf>
    <xf numFmtId="165" fontId="22" fillId="12" borderId="43" xfId="3" applyNumberFormat="1" applyFont="1" applyFill="1" applyBorder="1" applyAlignment="1" applyProtection="1">
      <alignment horizontal="center"/>
      <protection locked="0"/>
    </xf>
    <xf numFmtId="165" fontId="0" fillId="3" borderId="43" xfId="3" applyNumberFormat="1" applyFont="1" applyFill="1" applyBorder="1" applyAlignment="1">
      <alignment horizontal="center"/>
    </xf>
    <xf numFmtId="165" fontId="0" fillId="3" borderId="0" xfId="3" applyNumberFormat="1" applyFont="1" applyFill="1" applyBorder="1" applyAlignment="1">
      <alignment horizontal="center" vertical="center"/>
    </xf>
    <xf numFmtId="165" fontId="0" fillId="3" borderId="20" xfId="3" applyNumberFormat="1" applyFont="1" applyFill="1" applyBorder="1" applyAlignment="1">
      <alignment horizontal="center" vertical="center"/>
    </xf>
    <xf numFmtId="173" fontId="0" fillId="3" borderId="0" xfId="0" applyNumberFormat="1" applyFont="1" applyFill="1"/>
    <xf numFmtId="0" fontId="0" fillId="3" borderId="43" xfId="0" applyFont="1" applyFill="1" applyBorder="1"/>
    <xf numFmtId="165" fontId="0" fillId="3" borderId="0" xfId="0" applyNumberFormat="1" applyFont="1" applyFill="1" applyBorder="1"/>
    <xf numFmtId="165" fontId="0" fillId="3" borderId="20" xfId="0" applyNumberFormat="1" applyFont="1" applyFill="1" applyBorder="1"/>
    <xf numFmtId="165" fontId="0" fillId="3" borderId="0" xfId="0" applyNumberFormat="1" applyFont="1" applyFill="1" applyBorder="1" applyAlignment="1">
      <alignment horizontal="center"/>
    </xf>
    <xf numFmtId="165" fontId="0" fillId="3" borderId="20" xfId="0" applyNumberFormat="1" applyFont="1" applyFill="1" applyBorder="1" applyAlignment="1">
      <alignment horizontal="center"/>
    </xf>
    <xf numFmtId="165" fontId="22" fillId="12" borderId="20" xfId="3" applyNumberFormat="1" applyFont="1" applyFill="1" applyBorder="1" applyAlignment="1" applyProtection="1">
      <alignment horizontal="center"/>
      <protection locked="0"/>
    </xf>
    <xf numFmtId="9" fontId="22" fillId="3" borderId="0" xfId="19" applyNumberFormat="1" applyFill="1" applyBorder="1" applyAlignment="1">
      <alignment horizontal="center"/>
      <protection locked="0"/>
    </xf>
    <xf numFmtId="9" fontId="0" fillId="3" borderId="43" xfId="3" applyNumberFormat="1" applyFont="1" applyFill="1" applyBorder="1" applyAlignment="1">
      <alignment horizontal="center"/>
    </xf>
    <xf numFmtId="9" fontId="0" fillId="3" borderId="0" xfId="3" applyNumberFormat="1" applyFont="1" applyFill="1" applyBorder="1" applyAlignment="1">
      <alignment horizontal="center" vertical="center"/>
    </xf>
    <xf numFmtId="9" fontId="0" fillId="3" borderId="20" xfId="3" applyNumberFormat="1" applyFont="1" applyFill="1" applyBorder="1" applyAlignment="1">
      <alignment horizontal="center" vertical="center"/>
    </xf>
    <xf numFmtId="9" fontId="0" fillId="3" borderId="0" xfId="3" applyNumberFormat="1" applyFont="1" applyFill="1" applyBorder="1" applyAlignment="1">
      <alignment horizontal="center"/>
    </xf>
    <xf numFmtId="9" fontId="0" fillId="3" borderId="20" xfId="3" applyNumberFormat="1" applyFont="1" applyFill="1" applyBorder="1" applyAlignment="1">
      <alignment horizontal="center"/>
    </xf>
    <xf numFmtId="187" fontId="22" fillId="12" borderId="0" xfId="1" applyNumberFormat="1" applyFont="1" applyFill="1" applyBorder="1" applyAlignment="1" applyProtection="1">
      <alignment horizontal="center"/>
      <protection locked="0"/>
    </xf>
    <xf numFmtId="187" fontId="22" fillId="12" borderId="20" xfId="1" applyNumberFormat="1" applyFont="1" applyFill="1" applyBorder="1" applyAlignment="1" applyProtection="1">
      <alignment horizontal="center"/>
      <protection locked="0"/>
    </xf>
    <xf numFmtId="0" fontId="22" fillId="3" borderId="0" xfId="19" applyNumberFormat="1" applyFill="1" applyBorder="1" applyAlignment="1">
      <alignment horizontal="center"/>
      <protection locked="0"/>
    </xf>
    <xf numFmtId="0" fontId="0" fillId="3" borderId="43" xfId="3" applyNumberFormat="1" applyFont="1" applyFill="1" applyBorder="1" applyAlignment="1">
      <alignment horizontal="center"/>
    </xf>
    <xf numFmtId="0" fontId="0" fillId="3" borderId="0" xfId="3" applyNumberFormat="1" applyFont="1" applyFill="1" applyBorder="1" applyAlignment="1">
      <alignment horizontal="center" vertical="center"/>
    </xf>
    <xf numFmtId="10" fontId="6" fillId="3" borderId="58" xfId="3" applyNumberFormat="1" applyFont="1" applyFill="1" applyBorder="1"/>
    <xf numFmtId="187" fontId="22" fillId="12" borderId="45" xfId="1" applyNumberFormat="1" applyFont="1" applyFill="1" applyBorder="1" applyAlignment="1" applyProtection="1">
      <alignment horizontal="center"/>
      <protection locked="0"/>
    </xf>
    <xf numFmtId="187" fontId="22" fillId="12" borderId="59" xfId="1" applyNumberFormat="1" applyFont="1" applyFill="1" applyBorder="1" applyAlignment="1" applyProtection="1">
      <alignment horizontal="center"/>
      <protection locked="0"/>
    </xf>
    <xf numFmtId="188" fontId="22" fillId="3" borderId="45" xfId="19" applyNumberFormat="1" applyFill="1" applyBorder="1" applyAlignment="1">
      <alignment horizontal="center"/>
      <protection locked="0"/>
    </xf>
    <xf numFmtId="0" fontId="0" fillId="3" borderId="58" xfId="3" applyNumberFormat="1" applyFont="1" applyFill="1" applyBorder="1" applyAlignment="1">
      <alignment horizontal="center"/>
    </xf>
    <xf numFmtId="171" fontId="0" fillId="3" borderId="45" xfId="3" applyNumberFormat="1" applyFont="1" applyFill="1" applyBorder="1" applyAlignment="1">
      <alignment horizontal="center" vertical="center"/>
    </xf>
    <xf numFmtId="0" fontId="0" fillId="3" borderId="59" xfId="3" applyNumberFormat="1" applyFont="1" applyFill="1" applyBorder="1" applyAlignment="1">
      <alignment horizontal="center" vertical="center"/>
    </xf>
    <xf numFmtId="177" fontId="0" fillId="3" borderId="0" xfId="0" applyNumberFormat="1" applyFont="1" applyFill="1" applyBorder="1" applyAlignment="1">
      <alignment horizontal="center" vertical="center"/>
    </xf>
    <xf numFmtId="177" fontId="0" fillId="3" borderId="20" xfId="0" applyNumberFormat="1" applyFont="1" applyFill="1" applyBorder="1" applyAlignment="1">
      <alignment horizontal="center" vertical="center"/>
    </xf>
    <xf numFmtId="177" fontId="0" fillId="3" borderId="43" xfId="0" applyNumberFormat="1" applyFont="1" applyFill="1" applyBorder="1" applyAlignment="1">
      <alignment horizontal="center" vertical="center"/>
    </xf>
    <xf numFmtId="165" fontId="0" fillId="3" borderId="6" xfId="3" applyNumberFormat="1" applyFont="1" applyFill="1" applyBorder="1" applyAlignment="1">
      <alignment horizontal="center"/>
    </xf>
    <xf numFmtId="165" fontId="0" fillId="3" borderId="48" xfId="3" applyNumberFormat="1" applyFont="1" applyFill="1" applyBorder="1" applyAlignment="1">
      <alignment horizontal="center"/>
    </xf>
    <xf numFmtId="9" fontId="0" fillId="3" borderId="48" xfId="3" applyNumberFormat="1" applyFont="1" applyFill="1" applyBorder="1" applyAlignment="1">
      <alignment horizontal="center" vertical="center"/>
    </xf>
    <xf numFmtId="165" fontId="0" fillId="3" borderId="20" xfId="3" applyNumberFormat="1" applyFont="1" applyFill="1" applyBorder="1" applyAlignment="1">
      <alignment horizontal="center"/>
    </xf>
    <xf numFmtId="165" fontId="0" fillId="3" borderId="45" xfId="3" applyNumberFormat="1" applyFont="1" applyFill="1" applyBorder="1" applyAlignment="1">
      <alignment horizontal="center"/>
    </xf>
    <xf numFmtId="165" fontId="0" fillId="3" borderId="59" xfId="3" applyNumberFormat="1" applyFont="1" applyFill="1" applyBorder="1" applyAlignment="1">
      <alignment horizontal="center"/>
    </xf>
    <xf numFmtId="165" fontId="0" fillId="3" borderId="58" xfId="3" applyNumberFormat="1" applyFont="1" applyFill="1" applyBorder="1" applyAlignment="1">
      <alignment horizontal="center"/>
    </xf>
    <xf numFmtId="9" fontId="0" fillId="3" borderId="59" xfId="3" applyNumberFormat="1" applyFont="1" applyFill="1" applyBorder="1" applyAlignment="1">
      <alignment horizontal="center" vertical="center"/>
    </xf>
    <xf numFmtId="3" fontId="17" fillId="37" borderId="0" xfId="20"/>
    <xf numFmtId="165" fontId="22" fillId="3" borderId="0" xfId="3" applyNumberFormat="1" applyFont="1" applyFill="1" applyBorder="1" applyAlignment="1">
      <alignment horizontal="center"/>
    </xf>
    <xf numFmtId="165" fontId="53" fillId="37" borderId="0" xfId="3" applyNumberFormat="1" applyFont="1" applyFill="1" applyAlignment="1">
      <alignment horizontal="center" vertical="center"/>
    </xf>
    <xf numFmtId="0" fontId="6" fillId="3" borderId="58" xfId="0" applyFont="1" applyFill="1" applyBorder="1"/>
    <xf numFmtId="165" fontId="0" fillId="3" borderId="45" xfId="3" applyNumberFormat="1" applyFont="1" applyFill="1" applyBorder="1" applyAlignment="1">
      <alignment horizontal="center" vertical="center"/>
    </xf>
    <xf numFmtId="0" fontId="11" fillId="3" borderId="0" xfId="0" applyFont="1" applyFill="1" applyBorder="1"/>
    <xf numFmtId="10" fontId="0" fillId="3" borderId="0" xfId="3" applyNumberFormat="1" applyFont="1" applyFill="1" applyBorder="1" applyAlignment="1">
      <alignment horizontal="center"/>
    </xf>
    <xf numFmtId="10" fontId="0" fillId="3" borderId="0" xfId="3" applyNumberFormat="1" applyFont="1" applyFill="1" applyBorder="1" applyAlignment="1">
      <alignment horizontal="center" vertical="center"/>
    </xf>
    <xf numFmtId="0" fontId="48" fillId="3" borderId="47" xfId="0" applyFont="1" applyFill="1" applyBorder="1"/>
    <xf numFmtId="0" fontId="0" fillId="3" borderId="6" xfId="0" applyFont="1" applyFill="1" applyBorder="1"/>
    <xf numFmtId="0" fontId="0" fillId="3" borderId="48" xfId="0" applyFont="1" applyFill="1" applyBorder="1"/>
    <xf numFmtId="0" fontId="26" fillId="3" borderId="43" xfId="0" applyFont="1" applyFill="1" applyBorder="1" applyAlignment="1"/>
    <xf numFmtId="0" fontId="26" fillId="3" borderId="0" xfId="0" applyFont="1" applyFill="1" applyBorder="1" applyAlignment="1"/>
    <xf numFmtId="9" fontId="22" fillId="12" borderId="15" xfId="3" applyNumberFormat="1" applyFont="1" applyFill="1" applyBorder="1" applyAlignment="1" applyProtection="1">
      <alignment horizontal="right"/>
      <protection locked="0"/>
    </xf>
    <xf numFmtId="9" fontId="0" fillId="3" borderId="15" xfId="0" applyNumberFormat="1" applyFont="1" applyFill="1" applyBorder="1"/>
    <xf numFmtId="0" fontId="26" fillId="3" borderId="47" xfId="0" applyFont="1" applyFill="1" applyBorder="1"/>
    <xf numFmtId="9" fontId="26" fillId="3" borderId="6" xfId="0" applyNumberFormat="1" applyFont="1" applyFill="1" applyBorder="1"/>
    <xf numFmtId="165" fontId="0" fillId="3" borderId="0" xfId="0" applyNumberFormat="1" applyFont="1" applyFill="1" applyBorder="1" applyAlignment="1">
      <alignment horizontal="center" vertical="center"/>
    </xf>
    <xf numFmtId="9" fontId="0" fillId="3" borderId="0" xfId="0" applyNumberFormat="1" applyFont="1" applyFill="1" applyBorder="1" applyAlignment="1">
      <alignment horizontal="center" vertical="center"/>
    </xf>
    <xf numFmtId="0" fontId="0" fillId="3" borderId="0" xfId="0" applyNumberFormat="1" applyFont="1" applyFill="1" applyBorder="1" applyAlignment="1">
      <alignment horizontal="center" vertical="center"/>
    </xf>
    <xf numFmtId="0" fontId="0" fillId="3" borderId="45" xfId="0" applyNumberFormat="1" applyFont="1" applyFill="1" applyBorder="1" applyAlignment="1">
      <alignment horizontal="center" vertical="center"/>
    </xf>
    <xf numFmtId="0" fontId="0" fillId="3" borderId="45" xfId="0" applyFont="1" applyFill="1" applyBorder="1"/>
    <xf numFmtId="0" fontId="0" fillId="3" borderId="59" xfId="0" applyFont="1" applyFill="1" applyBorder="1"/>
    <xf numFmtId="165" fontId="22" fillId="3" borderId="6" xfId="3" applyNumberFormat="1" applyFont="1" applyFill="1" applyBorder="1" applyAlignment="1">
      <alignment horizontal="center"/>
    </xf>
    <xf numFmtId="165" fontId="22" fillId="3" borderId="45" xfId="3" applyNumberFormat="1" applyFont="1" applyFill="1" applyBorder="1" applyAlignment="1">
      <alignment horizontal="center"/>
    </xf>
    <xf numFmtId="3" fontId="17" fillId="37" borderId="43" xfId="20" applyBorder="1"/>
    <xf numFmtId="165" fontId="17" fillId="37" borderId="0" xfId="3" applyNumberFormat="1" applyFont="1" applyFill="1" applyBorder="1" applyAlignment="1">
      <alignment horizontal="center"/>
    </xf>
    <xf numFmtId="0" fontId="16" fillId="0" borderId="0" xfId="21" applyFont="1"/>
    <xf numFmtId="8" fontId="0" fillId="0" borderId="0" xfId="0" applyNumberFormat="1"/>
    <xf numFmtId="174" fontId="0" fillId="0" borderId="0" xfId="0" applyNumberFormat="1" applyFill="1" applyBorder="1" applyAlignment="1">
      <alignment horizontal="right"/>
    </xf>
    <xf numFmtId="0" fontId="11" fillId="7" borderId="0" xfId="0" applyFont="1" applyFill="1"/>
    <xf numFmtId="165" fontId="0" fillId="7" borderId="0" xfId="3" applyNumberFormat="1" applyFont="1" applyFill="1"/>
    <xf numFmtId="174" fontId="0" fillId="7" borderId="0" xfId="0" applyNumberFormat="1" applyFont="1" applyFill="1"/>
    <xf numFmtId="174" fontId="0" fillId="7" borderId="60" xfId="0" applyNumberFormat="1" applyFont="1" applyFill="1" applyBorder="1"/>
    <xf numFmtId="3" fontId="56" fillId="7" borderId="0" xfId="22" applyFill="1" applyAlignment="1"/>
    <xf numFmtId="174" fontId="0" fillId="7" borderId="0" xfId="0" applyNumberFormat="1" applyFill="1"/>
    <xf numFmtId="174" fontId="0" fillId="0" borderId="17" xfId="0" applyNumberFormat="1" applyFont="1" applyFill="1" applyBorder="1" applyAlignment="1">
      <alignment horizontal="right"/>
    </xf>
    <xf numFmtId="0" fontId="26" fillId="12" borderId="15" xfId="0" applyFont="1" applyFill="1" applyBorder="1" applyAlignment="1" applyProtection="1">
      <alignment horizontal="center" vertical="center"/>
      <protection locked="0"/>
    </xf>
    <xf numFmtId="10" fontId="11" fillId="12" borderId="15" xfId="0" applyNumberFormat="1" applyFont="1" applyFill="1" applyBorder="1" applyAlignment="1" applyProtection="1">
      <alignment horizontal="center" vertical="center"/>
      <protection locked="0"/>
    </xf>
    <xf numFmtId="9" fontId="26" fillId="12" borderId="15" xfId="3" applyFont="1" applyFill="1" applyBorder="1" applyAlignment="1" applyProtection="1">
      <alignment horizontal="center" vertical="center"/>
      <protection locked="0"/>
    </xf>
    <xf numFmtId="9" fontId="26" fillId="12" borderId="15" xfId="0" applyNumberFormat="1" applyFont="1" applyFill="1" applyBorder="1" applyAlignment="1" applyProtection="1">
      <alignment horizontal="center" vertical="center"/>
      <protection locked="0"/>
    </xf>
    <xf numFmtId="0" fontId="0" fillId="0" borderId="17" xfId="0" applyFill="1" applyBorder="1"/>
    <xf numFmtId="8" fontId="0" fillId="0" borderId="0" xfId="0" applyNumberFormat="1" applyFont="1"/>
    <xf numFmtId="0" fontId="0" fillId="0" borderId="0" xfId="0" applyFont="1" applyFill="1" applyBorder="1" applyAlignment="1">
      <alignment horizontal="right"/>
    </xf>
    <xf numFmtId="0" fontId="0" fillId="0" borderId="0" xfId="0" applyNumberFormat="1" applyFont="1" applyFill="1" applyBorder="1" applyAlignment="1">
      <alignment horizontal="center"/>
    </xf>
    <xf numFmtId="8" fontId="0" fillId="0" borderId="0" xfId="0" applyNumberFormat="1" applyFont="1" applyBorder="1"/>
    <xf numFmtId="174" fontId="0" fillId="0" borderId="0" xfId="0" applyNumberFormat="1" applyFont="1" applyFill="1" applyBorder="1" applyAlignment="1">
      <alignment horizontal="right"/>
    </xf>
    <xf numFmtId="173" fontId="0" fillId="0" borderId="0" xfId="0" applyNumberFormat="1" applyFont="1" applyFill="1" applyBorder="1" applyAlignment="1">
      <alignment horizontal="right"/>
    </xf>
    <xf numFmtId="8" fontId="0" fillId="0" borderId="0" xfId="0" applyNumberFormat="1" applyFont="1" applyFill="1"/>
    <xf numFmtId="0" fontId="11" fillId="0" borderId="17" xfId="0" applyFont="1" applyFill="1" applyBorder="1"/>
    <xf numFmtId="9" fontId="54" fillId="0" borderId="15" xfId="0" applyNumberFormat="1" applyFont="1" applyFill="1" applyBorder="1" applyAlignment="1">
      <alignment horizontal="center"/>
    </xf>
    <xf numFmtId="0" fontId="0" fillId="0" borderId="0" xfId="0" applyFill="1" applyAlignment="1">
      <alignment horizontal="right"/>
    </xf>
    <xf numFmtId="165" fontId="0" fillId="0" borderId="15" xfId="0" applyNumberFormat="1" applyFill="1" applyBorder="1" applyAlignment="1">
      <alignment horizontal="center"/>
    </xf>
    <xf numFmtId="0" fontId="0" fillId="0" borderId="15" xfId="0" applyNumberFormat="1" applyFill="1" applyBorder="1" applyAlignment="1">
      <alignment horizontal="center"/>
    </xf>
    <xf numFmtId="0" fontId="16" fillId="0" borderId="0" xfId="21" applyFont="1" applyFill="1"/>
    <xf numFmtId="168" fontId="54" fillId="0" borderId="0" xfId="1" applyNumberFormat="1" applyFont="1" applyFill="1"/>
    <xf numFmtId="168" fontId="0" fillId="0" borderId="60" xfId="1" applyNumberFormat="1" applyFont="1" applyFill="1" applyBorder="1"/>
    <xf numFmtId="168" fontId="0" fillId="0" borderId="0" xfId="1" applyNumberFormat="1" applyFont="1" applyFill="1"/>
    <xf numFmtId="174" fontId="0" fillId="0" borderId="61" xfId="0" applyNumberFormat="1" applyFont="1" applyFill="1" applyBorder="1"/>
    <xf numFmtId="174" fontId="0" fillId="0" borderId="0" xfId="0" applyNumberFormat="1" applyFont="1" applyFill="1"/>
    <xf numFmtId="0" fontId="55" fillId="0" borderId="0" xfId="0" applyFont="1" applyFill="1"/>
    <xf numFmtId="174" fontId="54" fillId="0" borderId="0" xfId="0" applyNumberFormat="1" applyFont="1" applyFill="1"/>
    <xf numFmtId="174" fontId="0" fillId="0" borderId="0" xfId="0" applyNumberFormat="1" applyFont="1" applyFill="1" applyBorder="1"/>
    <xf numFmtId="174" fontId="0" fillId="2" borderId="0" xfId="0" applyNumberFormat="1" applyFont="1" applyFill="1"/>
    <xf numFmtId="0" fontId="0" fillId="32" borderId="0" xfId="0" applyFont="1" applyFill="1" applyBorder="1" applyAlignment="1" applyProtection="1">
      <alignment horizontal="right" vertical="center"/>
    </xf>
    <xf numFmtId="165" fontId="22" fillId="0" borderId="15" xfId="0" applyNumberFormat="1" applyFont="1" applyFill="1" applyBorder="1" applyAlignment="1" applyProtection="1">
      <alignment horizontal="center" vertical="center"/>
    </xf>
    <xf numFmtId="9" fontId="22" fillId="3" borderId="15" xfId="3"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0" fillId="2" borderId="0" xfId="0" applyFont="1" applyFill="1" applyBorder="1" applyAlignment="1" applyProtection="1">
      <alignment horizontal="right" indent="1"/>
    </xf>
    <xf numFmtId="165" fontId="0" fillId="3" borderId="45" xfId="3" applyNumberFormat="1" applyFont="1" applyFill="1" applyBorder="1" applyAlignment="1" applyProtection="1">
      <alignment horizontal="center"/>
      <protection locked="0"/>
    </xf>
    <xf numFmtId="165" fontId="0" fillId="3" borderId="45" xfId="3" applyNumberFormat="1" applyFont="1" applyFill="1" applyBorder="1"/>
    <xf numFmtId="0" fontId="26" fillId="3" borderId="1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9" fontId="18" fillId="0" borderId="0" xfId="0" applyNumberFormat="1" applyFont="1" applyFill="1" applyBorder="1" applyAlignment="1" applyProtection="1">
      <alignment horizontal="center" vertical="center"/>
    </xf>
    <xf numFmtId="0" fontId="20" fillId="0" borderId="0" xfId="0" applyFont="1" applyFill="1" applyBorder="1" applyProtection="1"/>
    <xf numFmtId="0" fontId="0" fillId="44" borderId="0" xfId="0" applyFill="1"/>
    <xf numFmtId="0" fontId="62" fillId="44" borderId="0" xfId="0" applyFont="1" applyFill="1" applyAlignment="1">
      <alignment horizontal="center"/>
    </xf>
    <xf numFmtId="0" fontId="63" fillId="2" borderId="0" xfId="0" applyFont="1" applyFill="1" applyAlignment="1">
      <alignment horizontal="center"/>
    </xf>
    <xf numFmtId="0" fontId="63" fillId="45" borderId="0" xfId="0" applyFont="1" applyFill="1" applyAlignment="1">
      <alignment horizontal="center"/>
    </xf>
    <xf numFmtId="0" fontId="0" fillId="45" borderId="0" xfId="0" applyFill="1"/>
    <xf numFmtId="0" fontId="55" fillId="0" borderId="0" xfId="0" applyFont="1" applyAlignment="1">
      <alignment horizontal="left" indent="1"/>
    </xf>
    <xf numFmtId="165" fontId="11" fillId="3" borderId="15" xfId="0" applyNumberFormat="1" applyFont="1" applyFill="1" applyBorder="1" applyAlignment="1" applyProtection="1">
      <alignment horizontal="center" vertical="center"/>
    </xf>
    <xf numFmtId="0" fontId="11" fillId="3" borderId="15" xfId="0" applyNumberFormat="1" applyFont="1" applyFill="1" applyBorder="1" applyAlignment="1" applyProtection="1">
      <alignment horizontal="center" vertical="center"/>
    </xf>
    <xf numFmtId="175" fontId="26" fillId="3" borderId="15" xfId="0" applyNumberFormat="1" applyFont="1" applyFill="1" applyBorder="1" applyAlignment="1" applyProtection="1">
      <alignment horizontal="center" vertical="center"/>
    </xf>
    <xf numFmtId="9" fontId="26" fillId="3" borderId="15" xfId="0" applyNumberFormat="1" applyFont="1" applyFill="1" applyBorder="1" applyAlignment="1" applyProtection="1">
      <alignment horizontal="center" vertical="center"/>
    </xf>
    <xf numFmtId="0" fontId="22" fillId="0" borderId="15" xfId="0" applyFont="1" applyFill="1" applyBorder="1" applyAlignment="1" applyProtection="1">
      <alignment horizontal="center" vertical="center"/>
    </xf>
    <xf numFmtId="0" fontId="18" fillId="0" borderId="0" xfId="0" applyFont="1" applyFill="1" applyBorder="1" applyProtection="1"/>
    <xf numFmtId="0" fontId="21" fillId="0" borderId="0" xfId="0" applyFont="1" applyFill="1" applyBorder="1" applyAlignment="1" applyProtection="1">
      <alignment vertical="top" wrapText="1"/>
    </xf>
    <xf numFmtId="0" fontId="20" fillId="0" borderId="0" xfId="0" applyFont="1" applyFill="1" applyBorder="1" applyAlignment="1" applyProtection="1">
      <alignment vertical="top" wrapText="1"/>
    </xf>
    <xf numFmtId="0" fontId="20" fillId="0" borderId="0" xfId="0" applyFont="1" applyFill="1" applyProtection="1"/>
    <xf numFmtId="0" fontId="0" fillId="0" borderId="0" xfId="0" applyFill="1" applyProtection="1"/>
    <xf numFmtId="0" fontId="22" fillId="0" borderId="0" xfId="0" applyFont="1" applyFill="1" applyProtection="1"/>
    <xf numFmtId="0" fontId="22" fillId="0" borderId="0" xfId="0" applyFont="1" applyProtection="1"/>
    <xf numFmtId="0" fontId="23" fillId="0" borderId="0" xfId="0" applyFont="1" applyProtection="1"/>
    <xf numFmtId="0" fontId="0" fillId="0" borderId="0" xfId="0" applyProtection="1"/>
    <xf numFmtId="0" fontId="20" fillId="0" borderId="0" xfId="0" applyFont="1" applyProtection="1"/>
    <xf numFmtId="0" fontId="18" fillId="0" borderId="0" xfId="0" applyFont="1" applyFill="1" applyProtection="1"/>
    <xf numFmtId="0" fontId="18" fillId="0" borderId="0" xfId="0" applyFont="1" applyProtection="1"/>
    <xf numFmtId="0" fontId="18" fillId="0" borderId="0" xfId="0" applyFont="1" applyFill="1" applyBorder="1" applyAlignment="1" applyProtection="1">
      <alignment horizontal="center"/>
    </xf>
    <xf numFmtId="0" fontId="31" fillId="0" borderId="0" xfId="0" applyFont="1" applyFill="1" applyBorder="1" applyAlignment="1" applyProtection="1">
      <alignment horizontal="left" vertical="center"/>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right" indent="1"/>
    </xf>
    <xf numFmtId="0" fontId="20" fillId="0" borderId="0" xfId="0" applyFont="1" applyFill="1" applyBorder="1" applyAlignment="1" applyProtection="1">
      <alignment horizontal="right" indent="1"/>
    </xf>
    <xf numFmtId="173" fontId="18"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horizontal="left" vertical="center"/>
    </xf>
    <xf numFmtId="0" fontId="20" fillId="0" borderId="0" xfId="0" applyFont="1" applyFill="1" applyBorder="1" applyAlignment="1" applyProtection="1">
      <alignment horizontal="right" vertical="center" indent="1"/>
    </xf>
    <xf numFmtId="171" fontId="18" fillId="0" borderId="0" xfId="0" applyNumberFormat="1" applyFont="1" applyFill="1" applyBorder="1" applyAlignment="1" applyProtection="1">
      <alignment horizontal="center" vertical="center"/>
    </xf>
    <xf numFmtId="0" fontId="0" fillId="0" borderId="0" xfId="0" applyFont="1" applyProtection="1"/>
    <xf numFmtId="0" fontId="0" fillId="3" borderId="0" xfId="0" applyFont="1" applyFill="1" applyProtection="1"/>
    <xf numFmtId="0" fontId="0" fillId="0" borderId="0" xfId="0" applyFont="1" applyFill="1" applyProtection="1"/>
    <xf numFmtId="0" fontId="22" fillId="0" borderId="0" xfId="0" applyFont="1" applyFill="1" applyBorder="1" applyAlignment="1" applyProtection="1">
      <alignment horizontal="center"/>
    </xf>
    <xf numFmtId="0" fontId="0" fillId="3" borderId="0" xfId="0" applyFill="1" applyProtection="1"/>
    <xf numFmtId="0" fontId="11" fillId="3"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25" fillId="0" borderId="0" xfId="0" applyFont="1" applyProtection="1"/>
    <xf numFmtId="0" fontId="19" fillId="0" borderId="0" xfId="0" applyFont="1" applyProtection="1"/>
    <xf numFmtId="173" fontId="23" fillId="0" borderId="0" xfId="0" applyNumberFormat="1" applyFont="1" applyProtection="1"/>
    <xf numFmtId="0" fontId="17" fillId="0" borderId="0" xfId="0" applyFont="1" applyFill="1" applyProtection="1"/>
    <xf numFmtId="0" fontId="24" fillId="0" borderId="0" xfId="0" applyFont="1" applyProtection="1"/>
    <xf numFmtId="0" fontId="27" fillId="0" borderId="0" xfId="0" applyFont="1" applyFill="1" applyProtection="1"/>
    <xf numFmtId="0" fontId="0" fillId="5" borderId="0" xfId="0" applyFill="1" applyProtection="1"/>
    <xf numFmtId="0" fontId="22" fillId="0" borderId="0" xfId="0" applyFont="1" applyFill="1" applyBorder="1" applyAlignment="1" applyProtection="1"/>
    <xf numFmtId="0" fontId="27" fillId="6" borderId="0" xfId="0" applyFont="1" applyFill="1" applyBorder="1" applyAlignment="1" applyProtection="1">
      <alignment horizontal="left" vertical="center"/>
    </xf>
    <xf numFmtId="0" fontId="0" fillId="6" borderId="0" xfId="0" applyFill="1" applyProtection="1"/>
    <xf numFmtId="0" fontId="27" fillId="32" borderId="0" xfId="0" applyFont="1" applyFill="1" applyBorder="1" applyAlignment="1" applyProtection="1">
      <alignment horizontal="left" vertical="center"/>
    </xf>
    <xf numFmtId="0" fontId="0" fillId="32" borderId="0" xfId="0" applyFill="1" applyProtection="1"/>
    <xf numFmtId="0" fontId="0" fillId="32" borderId="0" xfId="0" applyFont="1" applyFill="1" applyBorder="1" applyAlignment="1" applyProtection="1">
      <alignment horizontal="right" vertical="center" indent="1"/>
    </xf>
    <xf numFmtId="0" fontId="11" fillId="32" borderId="0" xfId="0" applyFont="1" applyFill="1" applyBorder="1" applyAlignment="1" applyProtection="1">
      <alignment vertical="center"/>
    </xf>
    <xf numFmtId="0" fontId="0" fillId="32" borderId="0" xfId="0" applyFont="1" applyFill="1" applyBorder="1" applyAlignment="1" applyProtection="1">
      <alignment horizontal="right" indent="1"/>
    </xf>
    <xf numFmtId="0" fontId="0" fillId="32" borderId="0" xfId="0" applyFont="1" applyFill="1" applyProtection="1"/>
    <xf numFmtId="0" fontId="0" fillId="0" borderId="0" xfId="0" applyFont="1" applyFill="1" applyBorder="1" applyAlignment="1" applyProtection="1">
      <alignment horizontal="right" indent="1"/>
    </xf>
    <xf numFmtId="0" fontId="0" fillId="6" borderId="0" xfId="0" applyFont="1" applyFill="1" applyProtection="1"/>
    <xf numFmtId="0" fontId="0" fillId="33" borderId="0" xfId="0" applyFont="1" applyFill="1" applyBorder="1" applyAlignment="1" applyProtection="1">
      <alignment vertical="center"/>
    </xf>
    <xf numFmtId="175" fontId="0" fillId="33" borderId="0" xfId="0" applyNumberFormat="1" applyFont="1" applyFill="1" applyBorder="1" applyAlignment="1" applyProtection="1">
      <alignment horizontal="right" vertical="center" wrapText="1" indent="1"/>
    </xf>
    <xf numFmtId="0" fontId="0" fillId="33" borderId="0" xfId="0" applyFill="1" applyProtection="1"/>
    <xf numFmtId="175" fontId="0" fillId="33" borderId="0" xfId="0" applyNumberFormat="1" applyFont="1" applyFill="1" applyBorder="1" applyAlignment="1" applyProtection="1">
      <alignment horizontal="right" indent="1"/>
    </xf>
    <xf numFmtId="0" fontId="51" fillId="33" borderId="0" xfId="0" applyFont="1" applyFill="1" applyProtection="1"/>
    <xf numFmtId="0" fontId="0" fillId="33" borderId="0" xfId="0" applyFont="1" applyFill="1" applyProtection="1"/>
    <xf numFmtId="0" fontId="0" fillId="33" borderId="0" xfId="0" applyFont="1" applyFill="1" applyBorder="1" applyAlignment="1" applyProtection="1">
      <alignment horizontal="right" vertical="center" indent="1"/>
    </xf>
    <xf numFmtId="0" fontId="42" fillId="33" borderId="0" xfId="0" applyFont="1" applyFill="1" applyBorder="1" applyAlignment="1" applyProtection="1">
      <alignment vertical="center"/>
    </xf>
    <xf numFmtId="0" fontId="22" fillId="3" borderId="15" xfId="0" applyFont="1" applyFill="1" applyBorder="1" applyAlignment="1" applyProtection="1">
      <alignment horizontal="center" vertical="center"/>
    </xf>
    <xf numFmtId="175" fontId="26" fillId="33" borderId="0" xfId="0" applyNumberFormat="1" applyFont="1" applyFill="1" applyBorder="1" applyAlignment="1" applyProtection="1">
      <alignment horizontal="center"/>
    </xf>
    <xf numFmtId="175" fontId="49" fillId="0" borderId="0" xfId="0" applyNumberFormat="1" applyFont="1" applyFill="1" applyBorder="1" applyProtection="1"/>
    <xf numFmtId="0" fontId="0" fillId="0" borderId="0" xfId="0" applyFont="1" applyFill="1" applyBorder="1" applyProtection="1"/>
    <xf numFmtId="9" fontId="20" fillId="0" borderId="0" xfId="0" applyNumberFormat="1" applyFont="1" applyProtection="1"/>
    <xf numFmtId="0" fontId="0" fillId="6" borderId="0" xfId="0" applyFont="1" applyFill="1" applyBorder="1" applyProtection="1"/>
    <xf numFmtId="0" fontId="0" fillId="10" borderId="0" xfId="0" applyFont="1" applyFill="1" applyBorder="1" applyProtection="1"/>
    <xf numFmtId="0" fontId="0" fillId="10" borderId="0" xfId="0" applyFill="1" applyProtection="1"/>
    <xf numFmtId="0" fontId="0" fillId="10" borderId="0" xfId="0" applyFont="1" applyFill="1" applyProtection="1"/>
    <xf numFmtId="175" fontId="0" fillId="10" borderId="0" xfId="0" applyNumberFormat="1" applyFont="1" applyFill="1" applyBorder="1" applyAlignment="1" applyProtection="1">
      <alignment horizontal="right" vertical="center" wrapText="1" indent="1"/>
    </xf>
    <xf numFmtId="175" fontId="20" fillId="0" borderId="0" xfId="0" applyNumberFormat="1" applyFont="1" applyFill="1" applyProtection="1"/>
    <xf numFmtId="0" fontId="0" fillId="0" borderId="0" xfId="0" applyFill="1" applyBorder="1" applyProtection="1"/>
    <xf numFmtId="0" fontId="0" fillId="5" borderId="0" xfId="0" applyFill="1" applyBorder="1" applyProtection="1"/>
    <xf numFmtId="175" fontId="26" fillId="0" borderId="0" xfId="0" applyNumberFormat="1" applyFont="1" applyFill="1" applyProtection="1"/>
    <xf numFmtId="0" fontId="34" fillId="0" borderId="0" xfId="0" applyFont="1" applyProtection="1"/>
    <xf numFmtId="0" fontId="21" fillId="5" borderId="0" xfId="0" applyFont="1" applyFill="1" applyProtection="1"/>
    <xf numFmtId="0" fontId="21" fillId="5" borderId="0" xfId="0" applyFont="1" applyFill="1" applyAlignment="1" applyProtection="1">
      <alignment horizontal="center" vertical="top" wrapText="1"/>
    </xf>
    <xf numFmtId="0" fontId="0" fillId="0" borderId="68" xfId="0" applyFill="1" applyBorder="1" applyAlignment="1" applyProtection="1">
      <alignment horizontal="left" indent="1"/>
    </xf>
    <xf numFmtId="40" fontId="0" fillId="0" borderId="69" xfId="0" applyNumberFormat="1" applyBorder="1" applyProtection="1"/>
    <xf numFmtId="186" fontId="0" fillId="0" borderId="69" xfId="0" applyNumberFormat="1" applyBorder="1" applyProtection="1"/>
    <xf numFmtId="0" fontId="0" fillId="0" borderId="70" xfId="0" applyFill="1" applyBorder="1" applyAlignment="1" applyProtection="1">
      <alignment horizontal="left" indent="1"/>
    </xf>
    <xf numFmtId="40" fontId="0" fillId="0" borderId="71" xfId="0" applyNumberFormat="1" applyBorder="1" applyProtection="1"/>
    <xf numFmtId="186" fontId="0" fillId="0" borderId="71" xfId="0" applyNumberFormat="1" applyBorder="1" applyProtection="1"/>
    <xf numFmtId="0" fontId="0" fillId="0" borderId="72" xfId="0" applyFont="1" applyFill="1" applyBorder="1" applyAlignment="1" applyProtection="1">
      <alignment horizontal="left" indent="1"/>
    </xf>
    <xf numFmtId="40" fontId="0" fillId="0" borderId="73" xfId="0" applyNumberFormat="1" applyBorder="1" applyProtection="1"/>
    <xf numFmtId="186" fontId="0" fillId="0" borderId="73" xfId="0" applyNumberFormat="1" applyBorder="1" applyProtection="1"/>
    <xf numFmtId="0" fontId="11" fillId="0" borderId="21" xfId="0" applyFont="1" applyFill="1" applyBorder="1" applyProtection="1"/>
    <xf numFmtId="40" fontId="11" fillId="0" borderId="42" xfId="0" applyNumberFormat="1" applyFont="1" applyBorder="1" applyProtection="1"/>
    <xf numFmtId="186" fontId="11" fillId="0" borderId="19" xfId="0" applyNumberFormat="1" applyFont="1" applyBorder="1" applyProtection="1"/>
    <xf numFmtId="186" fontId="11" fillId="0" borderId="0" xfId="0" applyNumberFormat="1" applyFont="1" applyBorder="1" applyProtection="1"/>
    <xf numFmtId="0" fontId="0" fillId="0" borderId="20" xfId="0" applyFont="1" applyFill="1" applyBorder="1" applyAlignment="1" applyProtection="1">
      <alignment horizontal="left" indent="1"/>
    </xf>
    <xf numFmtId="40" fontId="0" fillId="0" borderId="0" xfId="0" applyNumberFormat="1" applyFont="1" applyBorder="1" applyProtection="1"/>
    <xf numFmtId="186" fontId="0" fillId="0" borderId="0" xfId="0" applyNumberFormat="1" applyProtection="1"/>
    <xf numFmtId="40" fontId="43" fillId="0" borderId="42" xfId="0" applyNumberFormat="1" applyFont="1" applyBorder="1" applyProtection="1"/>
    <xf numFmtId="186" fontId="43" fillId="0" borderId="19" xfId="0" applyNumberFormat="1" applyFont="1" applyBorder="1" applyProtection="1"/>
    <xf numFmtId="186" fontId="43" fillId="0" borderId="0" xfId="0" applyNumberFormat="1" applyFont="1" applyBorder="1" applyProtection="1"/>
    <xf numFmtId="40" fontId="20" fillId="0" borderId="0" xfId="0" applyNumberFormat="1" applyFont="1" applyProtection="1"/>
    <xf numFmtId="40" fontId="20" fillId="0" borderId="0" xfId="0" applyNumberFormat="1" applyFont="1" applyFill="1" applyProtection="1"/>
    <xf numFmtId="0" fontId="0" fillId="0" borderId="0" xfId="0" applyBorder="1" applyProtection="1"/>
    <xf numFmtId="0" fontId="0" fillId="5" borderId="0" xfId="0" applyFont="1" applyFill="1" applyProtection="1"/>
    <xf numFmtId="0" fontId="19" fillId="5" borderId="0" xfId="0" applyFont="1" applyFill="1" applyProtection="1"/>
    <xf numFmtId="40" fontId="19" fillId="5" borderId="0" xfId="0" applyNumberFormat="1" applyFont="1" applyFill="1" applyProtection="1"/>
    <xf numFmtId="40" fontId="0" fillId="5" borderId="0" xfId="0" applyNumberFormat="1" applyFont="1" applyFill="1" applyProtection="1"/>
    <xf numFmtId="0" fontId="61" fillId="0" borderId="0" xfId="0" applyFont="1" applyAlignment="1" applyProtection="1">
      <alignment horizontal="left" vertical="center" readingOrder="1"/>
    </xf>
    <xf numFmtId="175" fontId="0" fillId="0" borderId="0" xfId="0" applyNumberFormat="1" applyFill="1" applyProtection="1"/>
    <xf numFmtId="0" fontId="21" fillId="0" borderId="0" xfId="0" applyFont="1" applyFill="1" applyAlignment="1" applyProtection="1">
      <alignment wrapText="1"/>
    </xf>
    <xf numFmtId="0" fontId="21" fillId="0" borderId="0" xfId="0" applyFont="1" applyAlignment="1" applyProtection="1">
      <alignment horizontal="left" vertical="top" readingOrder="1"/>
    </xf>
    <xf numFmtId="0" fontId="21" fillId="0" borderId="0" xfId="0" applyFont="1" applyAlignment="1" applyProtection="1">
      <alignment horizontal="left" vertical="center" readingOrder="1"/>
    </xf>
    <xf numFmtId="0" fontId="6" fillId="0" borderId="0" xfId="0" applyFont="1" applyFill="1" applyProtection="1"/>
    <xf numFmtId="9" fontId="0" fillId="0" borderId="0" xfId="0" quotePrefix="1" applyNumberFormat="1" applyFont="1" applyFill="1" applyProtection="1"/>
    <xf numFmtId="173" fontId="0" fillId="0" borderId="0" xfId="0" applyNumberFormat="1" applyFill="1" applyProtection="1"/>
    <xf numFmtId="0" fontId="21" fillId="0" borderId="0" xfId="0" applyFont="1" applyFill="1" applyProtection="1"/>
    <xf numFmtId="0" fontId="11" fillId="0" borderId="0" xfId="0" applyFont="1" applyProtection="1"/>
    <xf numFmtId="0" fontId="0" fillId="5" borderId="47" xfId="0" applyFill="1" applyBorder="1" applyProtection="1"/>
    <xf numFmtId="0" fontId="21" fillId="5" borderId="6" xfId="0" applyFont="1" applyFill="1" applyBorder="1" applyProtection="1"/>
    <xf numFmtId="0" fontId="21" fillId="5" borderId="48" xfId="0" applyFont="1" applyFill="1" applyBorder="1" applyProtection="1"/>
    <xf numFmtId="0" fontId="6" fillId="0" borderId="0" xfId="0" applyFont="1" applyProtection="1"/>
    <xf numFmtId="0" fontId="21" fillId="5" borderId="43" xfId="0" applyFont="1" applyFill="1" applyBorder="1" applyProtection="1"/>
    <xf numFmtId="9" fontId="0" fillId="15" borderId="0" xfId="0" quotePrefix="1" applyNumberFormat="1" applyFont="1" applyFill="1" applyBorder="1" applyProtection="1"/>
    <xf numFmtId="0" fontId="0" fillId="15" borderId="0" xfId="0" applyFont="1" applyFill="1" applyBorder="1" applyProtection="1"/>
    <xf numFmtId="9" fontId="0" fillId="15" borderId="20" xfId="0" quotePrefix="1" applyNumberFormat="1" applyFont="1" applyFill="1" applyBorder="1" applyProtection="1"/>
    <xf numFmtId="0" fontId="0" fillId="0" borderId="49" xfId="0" applyBorder="1" applyProtection="1"/>
    <xf numFmtId="40" fontId="0" fillId="0" borderId="17" xfId="0" applyNumberFormat="1" applyFill="1" applyBorder="1" applyProtection="1"/>
    <xf numFmtId="173" fontId="0" fillId="0" borderId="17" xfId="0" applyNumberFormat="1" applyBorder="1" applyProtection="1"/>
    <xf numFmtId="40" fontId="0" fillId="0" borderId="17" xfId="0" applyNumberFormat="1" applyBorder="1" applyProtection="1"/>
    <xf numFmtId="40" fontId="0" fillId="0" borderId="50" xfId="0" applyNumberFormat="1" applyBorder="1" applyProtection="1"/>
    <xf numFmtId="173" fontId="0" fillId="0" borderId="0" xfId="0" applyNumberFormat="1" applyProtection="1"/>
    <xf numFmtId="0" fontId="0" fillId="10" borderId="49" xfId="0" applyFill="1" applyBorder="1" applyProtection="1"/>
    <xf numFmtId="40" fontId="0" fillId="10" borderId="17" xfId="0" applyNumberFormat="1" applyFill="1" applyBorder="1" applyProtection="1"/>
    <xf numFmtId="40" fontId="0" fillId="10" borderId="50" xfId="0" applyNumberFormat="1" applyFill="1" applyBorder="1" applyProtection="1"/>
    <xf numFmtId="0" fontId="0" fillId="10" borderId="58" xfId="0" applyFill="1" applyBorder="1" applyProtection="1"/>
    <xf numFmtId="40" fontId="0" fillId="10" borderId="52" xfId="0" applyNumberFormat="1" applyFill="1" applyBorder="1" applyProtection="1"/>
    <xf numFmtId="40" fontId="0" fillId="10" borderId="53" xfId="0" applyNumberFormat="1" applyFill="1" applyBorder="1" applyProtection="1"/>
    <xf numFmtId="40" fontId="0" fillId="0" borderId="0" xfId="0" applyNumberFormat="1" applyBorder="1" applyProtection="1"/>
    <xf numFmtId="0" fontId="11" fillId="0" borderId="0" xfId="0" applyFont="1" applyBorder="1" applyProtection="1"/>
    <xf numFmtId="0" fontId="21" fillId="5" borderId="16" xfId="0" applyFont="1" applyFill="1" applyBorder="1" applyProtection="1"/>
    <xf numFmtId="0" fontId="21" fillId="5" borderId="57" xfId="0" applyFont="1" applyFill="1" applyBorder="1" applyProtection="1"/>
    <xf numFmtId="40" fontId="0" fillId="5" borderId="57" xfId="0" applyNumberFormat="1" applyFill="1" applyBorder="1" applyProtection="1"/>
    <xf numFmtId="0" fontId="0" fillId="5" borderId="57" xfId="0" applyFill="1" applyBorder="1" applyProtection="1"/>
    <xf numFmtId="0" fontId="0" fillId="5" borderId="54" xfId="0" applyFill="1" applyBorder="1" applyProtection="1"/>
    <xf numFmtId="0" fontId="0" fillId="10" borderId="63" xfId="0" applyFill="1" applyBorder="1" applyProtection="1"/>
    <xf numFmtId="0" fontId="0" fillId="10" borderId="34" xfId="0" applyFill="1" applyBorder="1" applyProtection="1"/>
    <xf numFmtId="40" fontId="0" fillId="10" borderId="34" xfId="0" applyNumberFormat="1" applyFill="1" applyBorder="1" applyProtection="1"/>
    <xf numFmtId="0" fontId="0" fillId="10" borderId="64" xfId="0" applyFill="1" applyBorder="1" applyProtection="1"/>
    <xf numFmtId="0" fontId="0" fillId="10" borderId="43" xfId="0" applyFill="1" applyBorder="1" applyProtection="1"/>
    <xf numFmtId="0" fontId="0" fillId="10" borderId="17" xfId="0" applyFill="1" applyBorder="1" applyProtection="1"/>
    <xf numFmtId="0" fontId="0" fillId="10" borderId="50" xfId="0" applyFill="1" applyBorder="1" applyProtection="1"/>
    <xf numFmtId="0" fontId="0" fillId="0" borderId="49" xfId="0" applyFill="1" applyBorder="1" applyProtection="1"/>
    <xf numFmtId="0" fontId="0" fillId="0" borderId="17" xfId="0" applyFill="1" applyBorder="1" applyProtection="1"/>
    <xf numFmtId="38" fontId="0" fillId="0" borderId="17" xfId="0" applyNumberFormat="1" applyFill="1" applyBorder="1" applyProtection="1"/>
    <xf numFmtId="0" fontId="0" fillId="0" borderId="50" xfId="0" applyFill="1" applyBorder="1" applyProtection="1"/>
    <xf numFmtId="0" fontId="0" fillId="0" borderId="43" xfId="0" applyFill="1" applyBorder="1" applyProtection="1"/>
    <xf numFmtId="0" fontId="0" fillId="10" borderId="0" xfId="0" applyFill="1" applyBorder="1" applyProtection="1"/>
    <xf numFmtId="1" fontId="0" fillId="10" borderId="17" xfId="0" applyNumberFormat="1" applyFill="1" applyBorder="1" applyProtection="1"/>
    <xf numFmtId="1" fontId="0" fillId="10" borderId="50" xfId="0" applyNumberFormat="1" applyFill="1" applyBorder="1" applyProtection="1"/>
    <xf numFmtId="38" fontId="0" fillId="0" borderId="17" xfId="0" applyNumberFormat="1" applyBorder="1" applyProtection="1"/>
    <xf numFmtId="38" fontId="0" fillId="0" borderId="50" xfId="0" applyNumberFormat="1" applyBorder="1" applyProtection="1"/>
    <xf numFmtId="0" fontId="0" fillId="0" borderId="51" xfId="0" applyFill="1" applyBorder="1" applyProtection="1"/>
    <xf numFmtId="0" fontId="0" fillId="0" borderId="52" xfId="0" applyFill="1" applyBorder="1" applyProtection="1"/>
    <xf numFmtId="40" fontId="0" fillId="0" borderId="52" xfId="0" applyNumberFormat="1" applyFill="1" applyBorder="1" applyProtection="1"/>
    <xf numFmtId="0" fontId="0" fillId="0" borderId="53" xfId="0" applyFill="1" applyBorder="1" applyProtection="1"/>
    <xf numFmtId="40" fontId="0" fillId="0" borderId="0" xfId="0" applyNumberFormat="1" applyProtection="1"/>
    <xf numFmtId="2" fontId="0" fillId="0" borderId="0" xfId="0" applyNumberFormat="1" applyProtection="1"/>
    <xf numFmtId="2" fontId="34" fillId="0" borderId="0" xfId="0" applyNumberFormat="1" applyFont="1" applyProtection="1"/>
    <xf numFmtId="0" fontId="0" fillId="0" borderId="17" xfId="0" applyBorder="1" applyProtection="1"/>
    <xf numFmtId="0" fontId="47" fillId="0" borderId="0" xfId="0" applyFont="1" applyProtection="1"/>
    <xf numFmtId="38" fontId="0" fillId="0" borderId="0" xfId="0" applyNumberFormat="1" applyProtection="1"/>
    <xf numFmtId="0" fontId="16" fillId="0" borderId="0" xfId="0" applyFont="1" applyProtection="1"/>
    <xf numFmtId="0" fontId="55" fillId="0" borderId="0" xfId="0" applyFont="1" applyProtection="1"/>
    <xf numFmtId="0" fontId="22" fillId="6" borderId="0" xfId="0" applyFont="1" applyFill="1" applyBorder="1" applyAlignment="1" applyProtection="1">
      <alignment horizontal="center"/>
    </xf>
    <xf numFmtId="0" fontId="26" fillId="6" borderId="0" xfId="0" applyFont="1" applyFill="1" applyBorder="1" applyAlignment="1" applyProtection="1">
      <alignment horizontal="left" vertical="center"/>
    </xf>
    <xf numFmtId="0" fontId="22" fillId="32" borderId="0" xfId="0" applyFont="1" applyFill="1" applyBorder="1" applyAlignment="1" applyProtection="1">
      <alignment horizontal="center"/>
    </xf>
    <xf numFmtId="0" fontId="0" fillId="0" borderId="0" xfId="0" applyFont="1" applyFill="1" applyBorder="1" applyAlignment="1" applyProtection="1">
      <alignment horizontal="center"/>
    </xf>
    <xf numFmtId="0" fontId="0" fillId="32" borderId="0" xfId="0" applyFont="1" applyFill="1" applyBorder="1" applyAlignment="1" applyProtection="1">
      <alignment horizontal="center"/>
    </xf>
    <xf numFmtId="0" fontId="11" fillId="32" borderId="0" xfId="0" applyFont="1" applyFill="1" applyBorder="1" applyAlignment="1" applyProtection="1">
      <alignment horizontal="left" vertical="center"/>
    </xf>
    <xf numFmtId="0" fontId="34" fillId="32" borderId="0" xfId="0" applyFont="1" applyFill="1" applyBorder="1" applyAlignment="1" applyProtection="1">
      <alignment vertical="top" wrapText="1"/>
    </xf>
    <xf numFmtId="0" fontId="22" fillId="33" borderId="0" xfId="0" applyFont="1" applyFill="1" applyBorder="1" applyAlignment="1" applyProtection="1">
      <alignment horizontal="left" vertical="center"/>
    </xf>
    <xf numFmtId="0" fontId="22" fillId="33" borderId="0" xfId="0" applyFont="1" applyFill="1" applyBorder="1" applyAlignment="1" applyProtection="1">
      <alignment horizontal="center"/>
    </xf>
    <xf numFmtId="0" fontId="0" fillId="33" borderId="0" xfId="0" applyFont="1" applyFill="1" applyBorder="1" applyAlignment="1" applyProtection="1">
      <alignment horizontal="center"/>
    </xf>
    <xf numFmtId="0" fontId="0" fillId="33" borderId="0" xfId="0" applyFont="1" applyFill="1" applyAlignment="1" applyProtection="1">
      <alignment horizontal="right" vertical="center" indent="1"/>
    </xf>
    <xf numFmtId="0" fontId="0" fillId="33" borderId="0" xfId="0" applyFont="1" applyFill="1" applyBorder="1" applyAlignment="1" applyProtection="1">
      <alignment horizontal="center" vertical="center"/>
    </xf>
    <xf numFmtId="0" fontId="22" fillId="0" borderId="15" xfId="0" applyFont="1" applyBorder="1" applyAlignment="1" applyProtection="1">
      <alignment vertical="center"/>
    </xf>
    <xf numFmtId="0" fontId="50" fillId="33" borderId="0" xfId="0" applyFont="1" applyFill="1" applyBorder="1" applyAlignment="1" applyProtection="1">
      <alignment horizontal="left" vertical="center"/>
    </xf>
    <xf numFmtId="0" fontId="0" fillId="33" borderId="0" xfId="0" applyFont="1" applyFill="1" applyBorder="1" applyAlignment="1" applyProtection="1">
      <alignment horizontal="right" vertical="center"/>
    </xf>
    <xf numFmtId="0" fontId="22" fillId="0" borderId="15" xfId="0" applyNumberFormat="1" applyFont="1" applyFill="1" applyBorder="1" applyAlignment="1" applyProtection="1">
      <alignment horizontal="center" vertical="center"/>
    </xf>
    <xf numFmtId="0" fontId="0" fillId="33" borderId="0" xfId="0" applyFont="1" applyFill="1" applyBorder="1" applyAlignment="1" applyProtection="1">
      <alignment vertical="center" wrapText="1"/>
    </xf>
    <xf numFmtId="0" fontId="0" fillId="6" borderId="0" xfId="0" applyFill="1" applyBorder="1" applyProtection="1"/>
    <xf numFmtId="0" fontId="11" fillId="2" borderId="0" xfId="0" applyFont="1" applyFill="1" applyBorder="1" applyAlignment="1" applyProtection="1">
      <alignment horizontal="left" vertical="center"/>
    </xf>
    <xf numFmtId="0" fontId="0" fillId="2" borderId="0" xfId="0" applyFont="1" applyFill="1" applyBorder="1" applyAlignment="1" applyProtection="1">
      <alignment horizontal="center"/>
    </xf>
    <xf numFmtId="0" fontId="0" fillId="2" borderId="0" xfId="0" applyFont="1" applyFill="1" applyBorder="1" applyAlignment="1" applyProtection="1">
      <alignment vertical="top"/>
    </xf>
    <xf numFmtId="0" fontId="22" fillId="2" borderId="0" xfId="0" applyFont="1" applyFill="1" applyBorder="1" applyAlignment="1" applyProtection="1">
      <alignment horizontal="center"/>
    </xf>
    <xf numFmtId="0" fontId="0" fillId="2" borderId="0" xfId="0" applyFont="1" applyFill="1" applyBorder="1" applyAlignment="1" applyProtection="1">
      <alignment horizontal="right" vertical="center" indent="1"/>
    </xf>
    <xf numFmtId="0" fontId="0" fillId="2" borderId="0" xfId="0" applyFont="1" applyFill="1" applyBorder="1" applyAlignment="1" applyProtection="1">
      <alignment horizontal="center" vertical="center"/>
    </xf>
    <xf numFmtId="0" fontId="0" fillId="2" borderId="0" xfId="0" applyFill="1" applyAlignment="1" applyProtection="1">
      <alignment horizontal="right" vertical="center" indent="1"/>
    </xf>
    <xf numFmtId="0" fontId="0" fillId="2" borderId="0" xfId="0" applyFill="1" applyAlignment="1" applyProtection="1">
      <alignment vertical="center"/>
    </xf>
    <xf numFmtId="0" fontId="0" fillId="2" borderId="0" xfId="0" applyFill="1" applyProtection="1"/>
    <xf numFmtId="0" fontId="0" fillId="3" borderId="15" xfId="0" applyNumberFormat="1" applyFill="1" applyBorder="1" applyAlignment="1" applyProtection="1">
      <alignment horizontal="center" vertical="center"/>
    </xf>
    <xf numFmtId="0" fontId="0" fillId="33" borderId="0" xfId="0" applyFont="1" applyFill="1" applyBorder="1" applyAlignment="1" applyProtection="1">
      <alignment horizontal="right" indent="1"/>
    </xf>
    <xf numFmtId="0" fontId="50" fillId="33" borderId="0" xfId="0" applyFont="1" applyFill="1" applyBorder="1" applyAlignment="1" applyProtection="1">
      <alignment horizontal="left"/>
    </xf>
    <xf numFmtId="0" fontId="11" fillId="2" borderId="0" xfId="0" applyFont="1" applyFill="1" applyAlignment="1" applyProtection="1">
      <alignment vertical="top" wrapText="1"/>
    </xf>
    <xf numFmtId="0" fontId="0" fillId="2" borderId="43" xfId="0" applyFont="1" applyFill="1" applyBorder="1" applyAlignment="1" applyProtection="1">
      <alignment wrapText="1"/>
    </xf>
    <xf numFmtId="0" fontId="0" fillId="2" borderId="0" xfId="0" applyFont="1" applyFill="1" applyBorder="1" applyAlignment="1" applyProtection="1">
      <alignment wrapText="1"/>
    </xf>
    <xf numFmtId="0" fontId="0" fillId="2" borderId="0" xfId="0" applyFont="1" applyFill="1" applyBorder="1" applyAlignment="1" applyProtection="1">
      <alignment horizontal="left" vertical="center"/>
    </xf>
    <xf numFmtId="0" fontId="0" fillId="2" borderId="0" xfId="0" applyFont="1" applyFill="1" applyBorder="1" applyAlignment="1" applyProtection="1">
      <alignment horizontal="left" indent="1"/>
    </xf>
    <xf numFmtId="0" fontId="11" fillId="2" borderId="0" xfId="0" applyFont="1" applyFill="1" applyBorder="1" applyAlignment="1" applyProtection="1">
      <alignment horizontal="right" vertical="center" indent="1"/>
    </xf>
    <xf numFmtId="0" fontId="0" fillId="2" borderId="0" xfId="0" applyFont="1" applyFill="1" applyBorder="1" applyAlignment="1" applyProtection="1">
      <alignment horizontal="left" vertical="center" indent="1"/>
    </xf>
    <xf numFmtId="0" fontId="0" fillId="2" borderId="0" xfId="0" applyFont="1" applyFill="1" applyProtection="1"/>
    <xf numFmtId="0" fontId="22" fillId="2" borderId="0" xfId="0" applyFont="1" applyFill="1" applyBorder="1" applyAlignment="1" applyProtection="1">
      <alignment horizontal="right" vertical="center" indent="1"/>
    </xf>
    <xf numFmtId="0" fontId="22" fillId="2" borderId="0" xfId="0" applyFont="1" applyFill="1" applyBorder="1" applyAlignment="1" applyProtection="1">
      <alignment horizontal="center" vertical="center"/>
    </xf>
    <xf numFmtId="0" fontId="0" fillId="16" borderId="0" xfId="0" applyFill="1" applyProtection="1"/>
    <xf numFmtId="0" fontId="0" fillId="16" borderId="0" xfId="0" applyFont="1" applyFill="1" applyBorder="1" applyAlignment="1" applyProtection="1">
      <alignment horizontal="right" vertical="center" indent="1"/>
    </xf>
    <xf numFmtId="0" fontId="11" fillId="0" borderId="15" xfId="0" applyFont="1" applyFill="1" applyBorder="1" applyAlignment="1" applyProtection="1">
      <alignment horizontal="center" vertical="center"/>
    </xf>
    <xf numFmtId="0" fontId="0" fillId="16" borderId="0" xfId="0" applyFill="1" applyAlignment="1" applyProtection="1">
      <alignment vertical="center"/>
    </xf>
    <xf numFmtId="0" fontId="0" fillId="16" borderId="0" xfId="0" applyFill="1" applyAlignment="1" applyProtection="1">
      <alignment horizontal="right" vertical="center" indent="1"/>
    </xf>
    <xf numFmtId="0" fontId="34" fillId="16" borderId="0" xfId="0" applyFont="1" applyFill="1" applyBorder="1" applyAlignment="1" applyProtection="1">
      <alignment horizontal="right" vertical="center" indent="1"/>
    </xf>
    <xf numFmtId="0" fontId="43" fillId="0" borderId="15" xfId="0" applyFont="1" applyFill="1" applyBorder="1" applyAlignment="1" applyProtection="1">
      <alignment horizontal="center" vertical="center"/>
    </xf>
    <xf numFmtId="0" fontId="0" fillId="0" borderId="15" xfId="0" applyFill="1" applyBorder="1" applyAlignment="1" applyProtection="1">
      <alignment horizontal="center" vertical="center"/>
    </xf>
    <xf numFmtId="0" fontId="31" fillId="0" borderId="0" xfId="0" applyFont="1" applyProtection="1"/>
    <xf numFmtId="0" fontId="27" fillId="0" borderId="0" xfId="0" applyFont="1" applyProtection="1"/>
    <xf numFmtId="0" fontId="27" fillId="0" borderId="0" xfId="8" applyFont="1" applyFill="1" applyBorder="1" applyAlignment="1" applyProtection="1">
      <alignment horizontal="right"/>
    </xf>
    <xf numFmtId="0" fontId="27" fillId="0" borderId="0" xfId="8" applyFont="1" applyFill="1" applyBorder="1" applyProtection="1"/>
    <xf numFmtId="0" fontId="26" fillId="0" borderId="0" xfId="0" applyFont="1" applyProtection="1"/>
    <xf numFmtId="0" fontId="21" fillId="5" borderId="0" xfId="0" applyFont="1" applyFill="1" applyAlignment="1" applyProtection="1">
      <alignment vertical="top" wrapText="1"/>
    </xf>
    <xf numFmtId="0" fontId="35" fillId="0" borderId="0" xfId="0" applyFont="1" applyProtection="1"/>
    <xf numFmtId="0" fontId="0" fillId="0" borderId="20" xfId="0" applyFill="1" applyBorder="1" applyProtection="1"/>
    <xf numFmtId="40" fontId="0" fillId="0" borderId="0" xfId="0" applyNumberFormat="1" applyFill="1" applyProtection="1"/>
    <xf numFmtId="0" fontId="0" fillId="0" borderId="20" xfId="0" applyFont="1" applyFill="1" applyBorder="1" applyProtection="1"/>
    <xf numFmtId="40" fontId="11" fillId="0" borderId="19" xfId="0" applyNumberFormat="1" applyFont="1" applyBorder="1" applyProtection="1"/>
    <xf numFmtId="40" fontId="43" fillId="0" borderId="19" xfId="0" applyNumberFormat="1" applyFont="1" applyBorder="1" applyProtection="1"/>
    <xf numFmtId="0" fontId="34" fillId="0" borderId="0" xfId="0" applyFont="1" applyFill="1" applyProtection="1"/>
    <xf numFmtId="9" fontId="34" fillId="4" borderId="0" xfId="3" applyFont="1" applyFill="1" applyProtection="1"/>
    <xf numFmtId="9" fontId="34" fillId="0" borderId="0" xfId="3" applyFont="1" applyFill="1" applyProtection="1"/>
    <xf numFmtId="2" fontId="0" fillId="2" borderId="0" xfId="0" applyNumberFormat="1" applyFont="1" applyFill="1" applyProtection="1"/>
    <xf numFmtId="2" fontId="6" fillId="0" borderId="0" xfId="3" applyNumberFormat="1" applyFont="1" applyFill="1" applyProtection="1"/>
    <xf numFmtId="0" fontId="43" fillId="0" borderId="0" xfId="0" applyFont="1" applyFill="1" applyProtection="1"/>
    <xf numFmtId="0" fontId="34" fillId="0" borderId="0" xfId="0" applyFont="1" applyFill="1" applyBorder="1" applyProtection="1"/>
    <xf numFmtId="2" fontId="34" fillId="0" borderId="0" xfId="3" applyNumberFormat="1" applyFont="1" applyFill="1" applyProtection="1"/>
    <xf numFmtId="0" fontId="34" fillId="0" borderId="0" xfId="3" applyNumberFormat="1" applyFont="1" applyFill="1" applyProtection="1"/>
    <xf numFmtId="0" fontId="0" fillId="0" borderId="0" xfId="0" applyNumberFormat="1" applyFill="1" applyProtection="1"/>
    <xf numFmtId="186" fontId="11" fillId="0" borderId="42" xfId="0" applyNumberFormat="1" applyFont="1" applyBorder="1" applyProtection="1"/>
    <xf numFmtId="186" fontId="43" fillId="0" borderId="42" xfId="0" applyNumberFormat="1" applyFont="1" applyBorder="1" applyProtection="1"/>
    <xf numFmtId="9" fontId="20" fillId="0" borderId="0" xfId="3" applyFont="1" applyProtection="1"/>
    <xf numFmtId="0" fontId="0" fillId="0" borderId="45" xfId="0" applyFill="1" applyBorder="1" applyProtection="1"/>
    <xf numFmtId="175" fontId="0" fillId="0" borderId="45" xfId="0" applyNumberFormat="1" applyBorder="1" applyProtection="1"/>
    <xf numFmtId="0" fontId="21" fillId="5" borderId="17" xfId="0" applyFont="1" applyFill="1" applyBorder="1" applyProtection="1"/>
    <xf numFmtId="0" fontId="21" fillId="5" borderId="17" xfId="0" applyFont="1" applyFill="1" applyBorder="1" applyAlignment="1" applyProtection="1">
      <alignment vertical="top" wrapText="1"/>
    </xf>
    <xf numFmtId="0" fontId="0" fillId="0" borderId="17" xfId="0" applyFont="1" applyFill="1" applyBorder="1" applyProtection="1"/>
    <xf numFmtId="9" fontId="0" fillId="0" borderId="17" xfId="3" applyFont="1" applyFill="1" applyBorder="1" applyProtection="1"/>
    <xf numFmtId="9" fontId="0" fillId="0" borderId="17" xfId="0" applyNumberFormat="1" applyFill="1" applyBorder="1" applyProtection="1"/>
    <xf numFmtId="2" fontId="0" fillId="0" borderId="17" xfId="0" applyNumberFormat="1" applyBorder="1" applyProtection="1"/>
    <xf numFmtId="0" fontId="0" fillId="0" borderId="17" xfId="0" applyFont="1" applyFill="1" applyBorder="1" applyAlignment="1" applyProtection="1">
      <alignment vertical="top"/>
    </xf>
    <xf numFmtId="0" fontId="0" fillId="0" borderId="17" xfId="0" applyBorder="1" applyAlignment="1" applyProtection="1">
      <alignment vertical="top" wrapText="1"/>
    </xf>
    <xf numFmtId="0" fontId="0" fillId="0" borderId="17" xfId="0" applyBorder="1" applyAlignment="1" applyProtection="1">
      <alignment vertical="top"/>
    </xf>
    <xf numFmtId="2" fontId="20" fillId="0" borderId="0" xfId="0" applyNumberFormat="1" applyFont="1" applyProtection="1"/>
    <xf numFmtId="172" fontId="0" fillId="0" borderId="17" xfId="0" applyNumberFormat="1" applyBorder="1" applyProtection="1"/>
    <xf numFmtId="175" fontId="0" fillId="0" borderId="17" xfId="0" applyNumberFormat="1" applyBorder="1" applyProtection="1"/>
    <xf numFmtId="0" fontId="0" fillId="0" borderId="32" xfId="0" applyBorder="1" applyProtection="1"/>
    <xf numFmtId="172" fontId="0" fillId="0" borderId="32" xfId="0" applyNumberFormat="1" applyBorder="1" applyProtection="1"/>
    <xf numFmtId="175" fontId="0" fillId="0" borderId="32" xfId="0" applyNumberFormat="1" applyBorder="1" applyProtection="1"/>
    <xf numFmtId="0" fontId="11" fillId="0" borderId="19" xfId="0" applyFont="1" applyFill="1" applyBorder="1" applyAlignment="1" applyProtection="1">
      <alignment horizontal="left" indent="1"/>
    </xf>
    <xf numFmtId="172" fontId="11" fillId="0" borderId="19" xfId="0" applyNumberFormat="1" applyFont="1" applyBorder="1" applyProtection="1"/>
    <xf numFmtId="175" fontId="11" fillId="0" borderId="19" xfId="0" applyNumberFormat="1" applyFont="1" applyBorder="1" applyProtection="1"/>
    <xf numFmtId="173" fontId="21" fillId="0" borderId="0" xfId="0" applyNumberFormat="1" applyFont="1" applyProtection="1"/>
    <xf numFmtId="10" fontId="20" fillId="0" borderId="0" xfId="0" applyNumberFormat="1" applyFont="1" applyProtection="1"/>
    <xf numFmtId="172" fontId="11" fillId="0" borderId="0" xfId="0" applyNumberFormat="1" applyFont="1" applyBorder="1" applyProtection="1"/>
    <xf numFmtId="2" fontId="11" fillId="0" borderId="0" xfId="0" applyNumberFormat="1" applyFont="1" applyBorder="1" applyProtection="1"/>
    <xf numFmtId="175" fontId="0" fillId="0" borderId="17" xfId="2" applyNumberFormat="1" applyFont="1" applyBorder="1" applyProtection="1"/>
    <xf numFmtId="9" fontId="20" fillId="0" borderId="0" xfId="3" applyFont="1" applyFill="1" applyProtection="1"/>
    <xf numFmtId="173" fontId="21" fillId="0" borderId="0" xfId="0" applyNumberFormat="1" applyFont="1" applyFill="1" applyProtection="1"/>
    <xf numFmtId="10" fontId="20" fillId="0" borderId="0" xfId="0" applyNumberFormat="1" applyFont="1" applyFill="1" applyProtection="1"/>
    <xf numFmtId="2" fontId="21" fillId="0" borderId="0" xfId="0" applyNumberFormat="1" applyFont="1" applyFill="1" applyProtection="1"/>
    <xf numFmtId="2" fontId="21" fillId="0" borderId="0" xfId="0" applyNumberFormat="1" applyFont="1" applyProtection="1"/>
    <xf numFmtId="175" fontId="0" fillId="0" borderId="17" xfId="0" applyNumberFormat="1" applyFill="1" applyBorder="1" applyProtection="1"/>
    <xf numFmtId="0" fontId="11" fillId="0" borderId="0" xfId="0" applyFont="1" applyFill="1" applyBorder="1" applyAlignment="1" applyProtection="1">
      <alignment horizontal="left" indent="1"/>
    </xf>
    <xf numFmtId="184" fontId="21" fillId="0" borderId="0" xfId="0" applyNumberFormat="1" applyFont="1" applyProtection="1"/>
    <xf numFmtId="166" fontId="0" fillId="2" borderId="1" xfId="1" applyNumberFormat="1" applyFont="1" applyFill="1" applyBorder="1" applyProtection="1"/>
    <xf numFmtId="0" fontId="7" fillId="2" borderId="0" xfId="0" applyFont="1" applyFill="1" applyProtection="1"/>
    <xf numFmtId="0" fontId="0" fillId="2" borderId="0" xfId="0" applyFill="1" applyAlignment="1" applyProtection="1">
      <alignment horizontal="center"/>
    </xf>
    <xf numFmtId="0" fontId="0" fillId="2" borderId="0" xfId="0" applyFill="1" applyAlignment="1" applyProtection="1">
      <alignment horizontal="right"/>
    </xf>
    <xf numFmtId="166" fontId="0" fillId="2" borderId="0" xfId="1" applyNumberFormat="1" applyFont="1" applyFill="1" applyProtection="1"/>
    <xf numFmtId="0" fontId="0" fillId="2" borderId="0" xfId="0" applyFill="1" applyBorder="1" applyProtection="1"/>
    <xf numFmtId="0" fontId="8" fillId="2" borderId="1" xfId="0" quotePrefix="1" applyFont="1" applyFill="1" applyBorder="1" applyAlignment="1" applyProtection="1">
      <alignment horizontal="right"/>
    </xf>
    <xf numFmtId="0" fontId="9" fillId="2" borderId="0" xfId="0" applyFont="1" applyFill="1" applyProtection="1"/>
    <xf numFmtId="0" fontId="0" fillId="2" borderId="2" xfId="0" applyFill="1" applyBorder="1" applyProtection="1"/>
    <xf numFmtId="0" fontId="10" fillId="2" borderId="2" xfId="0" quotePrefix="1" applyFont="1" applyFill="1" applyBorder="1" applyAlignment="1" applyProtection="1">
      <alignment horizontal="right"/>
    </xf>
    <xf numFmtId="0" fontId="10" fillId="2" borderId="1" xfId="0" applyFont="1" applyFill="1" applyBorder="1" applyAlignment="1" applyProtection="1"/>
    <xf numFmtId="0" fontId="10" fillId="2" borderId="1" xfId="0" applyFont="1" applyFill="1" applyBorder="1" applyAlignment="1" applyProtection="1">
      <alignment horizontal="center" wrapText="1"/>
    </xf>
    <xf numFmtId="0" fontId="10" fillId="2" borderId="1" xfId="0" applyFont="1" applyFill="1" applyBorder="1" applyAlignment="1" applyProtection="1">
      <alignment horizontal="right" wrapText="1"/>
    </xf>
    <xf numFmtId="166" fontId="10" fillId="2" borderId="3" xfId="1" applyNumberFormat="1" applyFont="1" applyFill="1" applyBorder="1" applyAlignment="1" applyProtection="1">
      <alignment horizontal="center" wrapText="1"/>
    </xf>
    <xf numFmtId="166" fontId="10" fillId="2" borderId="1" xfId="1" applyNumberFormat="1" applyFont="1" applyFill="1" applyBorder="1" applyAlignment="1" applyProtection="1"/>
    <xf numFmtId="166" fontId="0" fillId="2" borderId="3" xfId="1" applyNumberFormat="1" applyFont="1" applyFill="1" applyBorder="1" applyProtection="1"/>
    <xf numFmtId="0" fontId="0" fillId="2" borderId="4" xfId="0" applyFill="1" applyBorder="1" applyProtection="1"/>
    <xf numFmtId="0" fontId="6" fillId="2" borderId="0" xfId="0" applyFont="1" applyFill="1" applyBorder="1" applyProtection="1"/>
    <xf numFmtId="165" fontId="0" fillId="3" borderId="0" xfId="3" applyNumberFormat="1" applyFont="1" applyFill="1" applyBorder="1" applyAlignment="1" applyProtection="1">
      <alignment horizontal="center"/>
    </xf>
    <xf numFmtId="165" fontId="0" fillId="3" borderId="0" xfId="3" applyNumberFormat="1" applyFont="1" applyFill="1" applyBorder="1" applyProtection="1"/>
    <xf numFmtId="165" fontId="0" fillId="2" borderId="0" xfId="3" applyNumberFormat="1" applyFont="1" applyFill="1" applyBorder="1" applyAlignment="1" applyProtection="1">
      <alignment horizontal="right"/>
    </xf>
    <xf numFmtId="166" fontId="0" fillId="2" borderId="0" xfId="1" applyNumberFormat="1" applyFont="1" applyFill="1" applyBorder="1" applyAlignment="1" applyProtection="1">
      <alignment horizontal="right"/>
    </xf>
    <xf numFmtId="166" fontId="0" fillId="2" borderId="5" xfId="1" applyNumberFormat="1" applyFont="1" applyFill="1" applyBorder="1" applyProtection="1"/>
    <xf numFmtId="166" fontId="6" fillId="2" borderId="0" xfId="1" applyNumberFormat="1" applyFont="1" applyFill="1" applyBorder="1" applyProtection="1"/>
    <xf numFmtId="166" fontId="0" fillId="2" borderId="0" xfId="1" applyNumberFormat="1" applyFont="1" applyFill="1" applyBorder="1" applyProtection="1"/>
    <xf numFmtId="0" fontId="11" fillId="2" borderId="0" xfId="0" applyFont="1" applyFill="1" applyBorder="1" applyAlignment="1" applyProtection="1">
      <alignment horizontal="right"/>
    </xf>
    <xf numFmtId="9" fontId="11" fillId="2" borderId="6" xfId="3" applyFont="1" applyFill="1" applyBorder="1" applyAlignment="1" applyProtection="1">
      <alignment horizontal="center"/>
    </xf>
    <xf numFmtId="165" fontId="11" fillId="2" borderId="0" xfId="3" applyNumberFormat="1" applyFont="1" applyFill="1" applyBorder="1" applyProtection="1"/>
    <xf numFmtId="9" fontId="11" fillId="2" borderId="1" xfId="3" applyFont="1" applyFill="1" applyBorder="1" applyProtection="1"/>
    <xf numFmtId="0" fontId="0" fillId="2" borderId="0" xfId="0" applyFill="1" applyBorder="1" applyAlignment="1" applyProtection="1">
      <alignment horizontal="right"/>
    </xf>
    <xf numFmtId="166" fontId="11" fillId="2" borderId="6" xfId="0" applyNumberFormat="1" applyFont="1" applyFill="1" applyBorder="1" applyAlignment="1" applyProtection="1">
      <alignment horizontal="right"/>
    </xf>
    <xf numFmtId="166" fontId="11" fillId="2" borderId="14" xfId="1" applyNumberFormat="1" applyFont="1" applyFill="1" applyBorder="1" applyProtection="1"/>
    <xf numFmtId="9" fontId="11" fillId="2" borderId="0" xfId="3" applyFont="1" applyFill="1" applyBorder="1" applyAlignment="1" applyProtection="1">
      <alignment horizontal="center"/>
    </xf>
    <xf numFmtId="0" fontId="11" fillId="2" borderId="0" xfId="0" applyFont="1" applyFill="1" applyBorder="1" applyProtection="1"/>
    <xf numFmtId="0" fontId="6" fillId="2" borderId="0" xfId="0" applyFont="1" applyFill="1" applyBorder="1" applyAlignment="1" applyProtection="1">
      <alignment horizontal="right"/>
    </xf>
    <xf numFmtId="169" fontId="6" fillId="2" borderId="0" xfId="1" applyNumberFormat="1" applyFont="1" applyFill="1" applyBorder="1" applyAlignment="1" applyProtection="1">
      <alignment horizontal="right"/>
    </xf>
    <xf numFmtId="166" fontId="11" fillId="2" borderId="5" xfId="1" applyNumberFormat="1" applyFont="1" applyFill="1" applyBorder="1" applyProtection="1"/>
    <xf numFmtId="0" fontId="0" fillId="2" borderId="7" xfId="0" applyFill="1" applyBorder="1" applyProtection="1"/>
    <xf numFmtId="0" fontId="0" fillId="2" borderId="8" xfId="0" applyFill="1" applyBorder="1" applyProtection="1"/>
    <xf numFmtId="0" fontId="0" fillId="2" borderId="8" xfId="0" applyFill="1" applyBorder="1" applyAlignment="1" applyProtection="1">
      <alignment horizontal="center"/>
    </xf>
    <xf numFmtId="0" fontId="0" fillId="2" borderId="8" xfId="0" applyFill="1" applyBorder="1" applyAlignment="1" applyProtection="1">
      <alignment horizontal="right"/>
    </xf>
    <xf numFmtId="166" fontId="0" fillId="2" borderId="9" xfId="1" applyNumberFormat="1" applyFont="1" applyFill="1" applyBorder="1" applyProtection="1"/>
    <xf numFmtId="166" fontId="0" fillId="2" borderId="8" xfId="1" applyNumberFormat="1" applyFont="1" applyFill="1" applyBorder="1" applyProtection="1"/>
    <xf numFmtId="0" fontId="10" fillId="2" borderId="4" xfId="0" quotePrefix="1" applyFont="1" applyFill="1" applyBorder="1" applyAlignment="1" applyProtection="1">
      <alignment horizontal="right"/>
    </xf>
    <xf numFmtId="0" fontId="10" fillId="2" borderId="0" xfId="0" applyFont="1" applyFill="1" applyBorder="1" applyProtection="1"/>
    <xf numFmtId="0" fontId="10" fillId="2" borderId="0" xfId="0" applyFont="1" applyFill="1" applyBorder="1" applyAlignment="1" applyProtection="1">
      <alignment horizontal="center"/>
    </xf>
    <xf numFmtId="0" fontId="10" fillId="2" borderId="0" xfId="0" applyFont="1" applyFill="1" applyBorder="1" applyAlignment="1" applyProtection="1">
      <alignment horizontal="right"/>
    </xf>
    <xf numFmtId="166" fontId="10" fillId="2" borderId="1" xfId="1" applyNumberFormat="1" applyFont="1" applyFill="1" applyBorder="1" applyProtection="1"/>
    <xf numFmtId="0" fontId="6" fillId="2" borderId="0" xfId="0" applyFont="1" applyFill="1" applyBorder="1" applyAlignment="1" applyProtection="1">
      <alignment horizontal="center"/>
    </xf>
    <xf numFmtId="166" fontId="0" fillId="3" borderId="0" xfId="1" applyNumberFormat="1" applyFont="1" applyFill="1" applyBorder="1" applyProtection="1"/>
    <xf numFmtId="0" fontId="0" fillId="0" borderId="0" xfId="0" applyFill="1" applyBorder="1" applyAlignment="1" applyProtection="1">
      <alignment horizontal="right"/>
    </xf>
    <xf numFmtId="166" fontId="11" fillId="2" borderId="0" xfId="0" applyNumberFormat="1" applyFont="1" applyFill="1" applyBorder="1" applyProtection="1"/>
    <xf numFmtId="165" fontId="0" fillId="3" borderId="0" xfId="1" applyNumberFormat="1" applyFont="1" applyFill="1" applyBorder="1" applyProtection="1"/>
    <xf numFmtId="167" fontId="0" fillId="2" borderId="0" xfId="0" applyNumberFormat="1" applyFill="1" applyBorder="1" applyProtection="1"/>
    <xf numFmtId="166" fontId="6" fillId="2" borderId="5" xfId="1" applyNumberFormat="1" applyFont="1" applyFill="1" applyBorder="1" applyProtection="1"/>
    <xf numFmtId="3" fontId="0" fillId="2" borderId="0" xfId="0" applyNumberFormat="1" applyFill="1" applyBorder="1" applyProtection="1"/>
    <xf numFmtId="0" fontId="0" fillId="2" borderId="0" xfId="0" applyFill="1" applyBorder="1" applyAlignment="1" applyProtection="1">
      <alignment horizontal="center"/>
    </xf>
    <xf numFmtId="166" fontId="0" fillId="2" borderId="0" xfId="0" applyNumberFormat="1" applyFill="1" applyBorder="1" applyProtection="1"/>
    <xf numFmtId="0" fontId="11" fillId="2" borderId="0" xfId="0" applyFont="1" applyFill="1" applyBorder="1" applyAlignment="1" applyProtection="1">
      <alignment horizontal="center"/>
    </xf>
    <xf numFmtId="166" fontId="11" fillId="2" borderId="0" xfId="1" applyNumberFormat="1" applyFont="1" applyFill="1" applyBorder="1" applyAlignment="1" applyProtection="1">
      <alignment horizontal="center" wrapText="1"/>
    </xf>
    <xf numFmtId="0" fontId="11" fillId="2" borderId="0" xfId="0" applyFont="1" applyFill="1" applyBorder="1" applyAlignment="1" applyProtection="1">
      <alignment horizontal="center" wrapText="1"/>
    </xf>
    <xf numFmtId="10" fontId="0" fillId="0" borderId="0" xfId="0" applyNumberFormat="1" applyFill="1" applyBorder="1" applyProtection="1"/>
    <xf numFmtId="43" fontId="0" fillId="2" borderId="0" xfId="0" applyNumberFormat="1" applyFill="1" applyBorder="1" applyAlignment="1" applyProtection="1">
      <alignment horizontal="right"/>
    </xf>
    <xf numFmtId="9" fontId="0" fillId="0" borderId="0" xfId="0" applyNumberFormat="1" applyFill="1" applyBorder="1" applyProtection="1"/>
    <xf numFmtId="9" fontId="11" fillId="2" borderId="6" xfId="3" applyFont="1" applyFill="1" applyBorder="1" applyProtection="1"/>
    <xf numFmtId="9" fontId="0" fillId="0" borderId="0" xfId="0" applyNumberFormat="1" applyFill="1" applyBorder="1" applyAlignment="1" applyProtection="1">
      <alignment horizontal="right"/>
    </xf>
    <xf numFmtId="9" fontId="11" fillId="2" borderId="0" xfId="3" applyFont="1" applyFill="1" applyBorder="1" applyProtection="1"/>
    <xf numFmtId="0" fontId="10" fillId="2" borderId="0" xfId="0" applyFont="1" applyFill="1" applyBorder="1" applyAlignment="1" applyProtection="1">
      <alignment horizontal="center" wrapText="1"/>
    </xf>
    <xf numFmtId="166" fontId="0" fillId="3" borderId="0" xfId="0" applyNumberFormat="1" applyFill="1" applyBorder="1" applyAlignment="1" applyProtection="1">
      <alignment horizontal="right"/>
    </xf>
    <xf numFmtId="166" fontId="11" fillId="2" borderId="6" xfId="0" applyNumberFormat="1" applyFont="1" applyFill="1" applyBorder="1" applyProtection="1"/>
    <xf numFmtId="165" fontId="0" fillId="0" borderId="0" xfId="0" applyNumberFormat="1" applyFill="1" applyBorder="1" applyProtection="1"/>
    <xf numFmtId="165" fontId="11" fillId="2" borderId="6" xfId="3" applyNumberFormat="1" applyFont="1" applyFill="1" applyBorder="1" applyProtection="1"/>
    <xf numFmtId="165" fontId="6" fillId="2" borderId="0" xfId="3" applyNumberFormat="1" applyFont="1" applyFill="1" applyBorder="1" applyProtection="1"/>
    <xf numFmtId="168" fontId="0" fillId="3" borderId="0" xfId="1" applyNumberFormat="1" applyFont="1" applyFill="1" applyBorder="1" applyProtection="1"/>
    <xf numFmtId="9" fontId="0" fillId="3" borderId="0" xfId="3" applyFont="1" applyFill="1" applyBorder="1" applyProtection="1"/>
    <xf numFmtId="176" fontId="0" fillId="2" borderId="0" xfId="0" applyNumberFormat="1" applyFill="1" applyBorder="1" applyProtection="1"/>
    <xf numFmtId="9" fontId="0" fillId="3" borderId="0" xfId="0" applyNumberFormat="1" applyFill="1" applyBorder="1" applyProtection="1"/>
    <xf numFmtId="177" fontId="0" fillId="2" borderId="0" xfId="0" applyNumberFormat="1" applyFill="1" applyBorder="1" applyProtection="1"/>
    <xf numFmtId="166" fontId="11" fillId="2" borderId="0" xfId="1" applyNumberFormat="1" applyFont="1" applyFill="1" applyBorder="1" applyProtection="1"/>
    <xf numFmtId="0" fontId="11" fillId="2" borderId="0" xfId="0" applyFont="1" applyFill="1" applyBorder="1" applyAlignment="1" applyProtection="1"/>
    <xf numFmtId="0" fontId="6" fillId="2" borderId="0" xfId="0" applyFont="1" applyFill="1" applyBorder="1" applyAlignment="1" applyProtection="1"/>
    <xf numFmtId="9" fontId="6" fillId="2" borderId="0" xfId="3" applyFont="1" applyFill="1" applyBorder="1" applyAlignment="1" applyProtection="1">
      <alignment horizontal="center"/>
    </xf>
    <xf numFmtId="166" fontId="6" fillId="3" borderId="0" xfId="1" applyNumberFormat="1" applyFont="1" applyFill="1" applyBorder="1" applyProtection="1"/>
    <xf numFmtId="9" fontId="11" fillId="2" borderId="0" xfId="0" applyNumberFormat="1" applyFont="1" applyFill="1" applyBorder="1" applyProtection="1"/>
    <xf numFmtId="0" fontId="11" fillId="2" borderId="0" xfId="0" applyFont="1" applyFill="1" applyBorder="1" applyAlignment="1" applyProtection="1">
      <alignment horizontal="right" wrapText="1"/>
    </xf>
    <xf numFmtId="9" fontId="0" fillId="3" borderId="0" xfId="0" applyNumberFormat="1" applyFill="1" applyBorder="1" applyAlignment="1" applyProtection="1">
      <alignment horizontal="right"/>
    </xf>
    <xf numFmtId="166" fontId="11" fillId="2" borderId="6" xfId="1" applyNumberFormat="1" applyFont="1" applyFill="1" applyBorder="1" applyProtection="1"/>
    <xf numFmtId="166" fontId="0" fillId="3" borderId="0" xfId="1" applyNumberFormat="1" applyFont="1" applyFill="1" applyBorder="1" applyAlignment="1" applyProtection="1">
      <alignment horizontal="right"/>
    </xf>
    <xf numFmtId="0" fontId="10" fillId="2" borderId="1" xfId="0" applyFont="1" applyFill="1" applyBorder="1" applyProtection="1"/>
    <xf numFmtId="0" fontId="10" fillId="2" borderId="1" xfId="0" applyFont="1" applyFill="1" applyBorder="1" applyAlignment="1" applyProtection="1">
      <alignment horizontal="center"/>
    </xf>
    <xf numFmtId="166" fontId="10" fillId="2" borderId="2" xfId="1" applyNumberFormat="1" applyFont="1" applyFill="1" applyBorder="1" applyAlignment="1" applyProtection="1">
      <alignment horizontal="center"/>
    </xf>
    <xf numFmtId="43" fontId="0" fillId="2" borderId="0" xfId="1" applyFont="1" applyFill="1" applyBorder="1" applyProtection="1"/>
    <xf numFmtId="0" fontId="0" fillId="3" borderId="0" xfId="0" applyFill="1" applyBorder="1" applyAlignment="1" applyProtection="1">
      <alignment horizontal="right"/>
    </xf>
    <xf numFmtId="166" fontId="6" fillId="2" borderId="4" xfId="1" applyNumberFormat="1" applyFont="1" applyFill="1" applyBorder="1" applyProtection="1"/>
    <xf numFmtId="0" fontId="33" fillId="0" borderId="0" xfId="0" applyFont="1" applyFill="1" applyBorder="1" applyAlignment="1" applyProtection="1">
      <alignment horizontal="right"/>
    </xf>
    <xf numFmtId="166" fontId="10" fillId="2" borderId="4" xfId="1" applyNumberFormat="1" applyFont="1" applyFill="1" applyBorder="1" applyProtection="1"/>
    <xf numFmtId="0" fontId="11" fillId="2" borderId="8" xfId="0" applyFont="1" applyFill="1" applyBorder="1" applyAlignment="1" applyProtection="1">
      <alignment horizontal="right"/>
    </xf>
    <xf numFmtId="0" fontId="6" fillId="2" borderId="8" xfId="0" applyFont="1" applyFill="1" applyBorder="1" applyAlignment="1" applyProtection="1">
      <alignment horizontal="center"/>
    </xf>
    <xf numFmtId="43" fontId="0" fillId="2" borderId="8" xfId="1" applyFont="1" applyFill="1" applyBorder="1" applyProtection="1"/>
    <xf numFmtId="166" fontId="11" fillId="2" borderId="18" xfId="0" applyNumberFormat="1" applyFont="1" applyFill="1" applyBorder="1" applyProtection="1"/>
    <xf numFmtId="166" fontId="10" fillId="2" borderId="7" xfId="1" applyNumberFormat="1" applyFont="1" applyFill="1" applyBorder="1" applyProtection="1"/>
    <xf numFmtId="166" fontId="10" fillId="2" borderId="0" xfId="1" applyNumberFormat="1" applyFont="1" applyFill="1" applyBorder="1" applyProtection="1"/>
    <xf numFmtId="0" fontId="10" fillId="2" borderId="0" xfId="0" applyFont="1" applyFill="1" applyBorder="1" applyAlignment="1" applyProtection="1">
      <alignment horizontal="right" wrapText="1"/>
    </xf>
    <xf numFmtId="166" fontId="10" fillId="2" borderId="0" xfId="1" applyNumberFormat="1" applyFont="1" applyFill="1" applyBorder="1" applyAlignment="1" applyProtection="1">
      <alignment horizontal="center"/>
    </xf>
    <xf numFmtId="10" fontId="6" fillId="3" borderId="0" xfId="1" applyNumberFormat="1" applyFont="1" applyFill="1" applyBorder="1" applyProtection="1"/>
    <xf numFmtId="178" fontId="0" fillId="3" borderId="0" xfId="1" applyNumberFormat="1" applyFont="1" applyFill="1" applyBorder="1" applyProtection="1"/>
    <xf numFmtId="43" fontId="6" fillId="3" borderId="0" xfId="1" applyFont="1" applyFill="1" applyBorder="1" applyProtection="1"/>
    <xf numFmtId="0" fontId="0" fillId="3" borderId="0" xfId="0" applyFill="1" applyBorder="1" applyProtection="1"/>
    <xf numFmtId="43" fontId="6" fillId="3" borderId="0" xfId="0" applyNumberFormat="1" applyFont="1" applyFill="1" applyBorder="1" applyProtection="1"/>
    <xf numFmtId="0" fontId="6" fillId="3" borderId="0" xfId="0" applyFont="1" applyFill="1" applyBorder="1" applyProtection="1"/>
    <xf numFmtId="0" fontId="11" fillId="2" borderId="0" xfId="0" applyFont="1" applyFill="1" applyProtection="1"/>
    <xf numFmtId="0" fontId="11" fillId="2" borderId="4" xfId="0" applyFont="1" applyFill="1" applyBorder="1" applyProtection="1"/>
    <xf numFmtId="0" fontId="6" fillId="3" borderId="0" xfId="0" applyFont="1" applyFill="1" applyBorder="1" applyAlignment="1" applyProtection="1">
      <alignment horizontal="right"/>
    </xf>
    <xf numFmtId="166" fontId="11" fillId="2" borderId="0" xfId="1" applyNumberFormat="1" applyFont="1" applyFill="1" applyProtection="1"/>
    <xf numFmtId="0" fontId="11" fillId="2" borderId="7" xfId="0" applyFont="1" applyFill="1" applyBorder="1" applyProtection="1"/>
    <xf numFmtId="0" fontId="11" fillId="2" borderId="8" xfId="0" applyFont="1" applyFill="1" applyBorder="1" applyProtection="1"/>
    <xf numFmtId="0" fontId="11" fillId="2" borderId="8" xfId="0" applyFont="1" applyFill="1" applyBorder="1" applyAlignment="1" applyProtection="1">
      <alignment horizontal="center"/>
    </xf>
    <xf numFmtId="166" fontId="11" fillId="2" borderId="9" xfId="1" applyNumberFormat="1" applyFont="1" applyFill="1" applyBorder="1" applyProtection="1"/>
    <xf numFmtId="166" fontId="11" fillId="2" borderId="8" xfId="1" applyNumberFormat="1" applyFont="1" applyFill="1" applyBorder="1" applyProtection="1"/>
    <xf numFmtId="166" fontId="11" fillId="2" borderId="8" xfId="1" applyNumberFormat="1" applyFont="1" applyFill="1" applyBorder="1" applyAlignment="1" applyProtection="1">
      <alignment horizontal="right"/>
    </xf>
    <xf numFmtId="9" fontId="0" fillId="2" borderId="0" xfId="1" applyNumberFormat="1" applyFont="1" applyFill="1" applyProtection="1"/>
    <xf numFmtId="43" fontId="0" fillId="2" borderId="0" xfId="1" applyNumberFormat="1" applyFont="1" applyFill="1" applyBorder="1" applyProtection="1"/>
    <xf numFmtId="166" fontId="6" fillId="2" borderId="0" xfId="1" applyNumberFormat="1" applyFont="1" applyFill="1" applyBorder="1" applyAlignment="1" applyProtection="1">
      <alignment horizontal="right"/>
    </xf>
    <xf numFmtId="9" fontId="0" fillId="2" borderId="0" xfId="3" applyFont="1" applyFill="1" applyProtection="1"/>
    <xf numFmtId="166" fontId="6" fillId="2" borderId="6" xfId="1" applyNumberFormat="1" applyFont="1" applyFill="1" applyBorder="1" applyProtection="1"/>
    <xf numFmtId="166" fontId="0" fillId="2" borderId="6" xfId="0" applyNumberFormat="1" applyFill="1" applyBorder="1" applyProtection="1"/>
    <xf numFmtId="0" fontId="0" fillId="2" borderId="0" xfId="0" applyFont="1" applyFill="1" applyBorder="1" applyProtection="1"/>
    <xf numFmtId="169" fontId="0" fillId="3" borderId="0" xfId="1" applyNumberFormat="1" applyFont="1" applyFill="1" applyBorder="1" applyProtection="1"/>
    <xf numFmtId="44" fontId="0" fillId="2" borderId="0" xfId="2" applyFont="1" applyFill="1" applyBorder="1" applyAlignment="1" applyProtection="1">
      <alignment horizontal="right"/>
    </xf>
    <xf numFmtId="169" fontId="6" fillId="3" borderId="0" xfId="1" applyNumberFormat="1" applyFont="1" applyFill="1" applyBorder="1" applyProtection="1"/>
    <xf numFmtId="44" fontId="0" fillId="3" borderId="0" xfId="2" applyFont="1" applyFill="1" applyBorder="1" applyAlignment="1" applyProtection="1">
      <alignment horizontal="right"/>
    </xf>
    <xf numFmtId="166" fontId="10" fillId="2" borderId="1" xfId="1" applyNumberFormat="1" applyFont="1" applyFill="1" applyBorder="1" applyAlignment="1" applyProtection="1">
      <alignment horizontal="center"/>
    </xf>
    <xf numFmtId="166" fontId="6" fillId="2" borderId="0" xfId="0" applyNumberFormat="1" applyFont="1" applyFill="1" applyBorder="1" applyAlignment="1" applyProtection="1">
      <alignment horizontal="center"/>
    </xf>
    <xf numFmtId="0" fontId="6" fillId="3" borderId="0" xfId="0" applyFont="1" applyFill="1" applyBorder="1" applyAlignment="1" applyProtection="1"/>
    <xf numFmtId="0" fontId="0" fillId="3" borderId="0" xfId="0" applyFill="1" applyBorder="1" applyAlignment="1" applyProtection="1"/>
    <xf numFmtId="166" fontId="11" fillId="2" borderId="8" xfId="0" applyNumberFormat="1" applyFont="1" applyFill="1" applyBorder="1" applyProtection="1"/>
    <xf numFmtId="166" fontId="0" fillId="2" borderId="0" xfId="0" applyNumberFormat="1" applyFill="1" applyBorder="1" applyAlignment="1" applyProtection="1">
      <alignment horizontal="right"/>
    </xf>
    <xf numFmtId="0" fontId="10" fillId="2" borderId="7" xfId="0" quotePrefix="1" applyFont="1" applyFill="1" applyBorder="1" applyAlignment="1" applyProtection="1">
      <alignment horizontal="right"/>
    </xf>
    <xf numFmtId="0" fontId="6" fillId="2" borderId="8" xfId="0" applyFont="1" applyFill="1" applyBorder="1" applyProtection="1"/>
    <xf numFmtId="0" fontId="0" fillId="3" borderId="0" xfId="0" applyFill="1" applyBorder="1" applyAlignment="1" applyProtection="1">
      <alignment horizontal="center"/>
    </xf>
    <xf numFmtId="0" fontId="0" fillId="2" borderId="0" xfId="0" applyFill="1" applyBorder="1" applyAlignment="1" applyProtection="1"/>
    <xf numFmtId="166" fontId="34" fillId="2" borderId="0" xfId="1" applyNumberFormat="1" applyFont="1" applyFill="1" applyBorder="1" applyProtection="1"/>
    <xf numFmtId="166" fontId="0" fillId="2" borderId="0" xfId="0" applyNumberFormat="1" applyFill="1" applyBorder="1" applyAlignment="1" applyProtection="1"/>
    <xf numFmtId="166" fontId="6" fillId="2" borderId="0" xfId="1" applyNumberFormat="1" applyFont="1" applyFill="1" applyProtection="1"/>
    <xf numFmtId="0" fontId="11" fillId="2" borderId="6" xfId="0" applyFont="1" applyFill="1" applyBorder="1" applyAlignment="1" applyProtection="1">
      <alignment horizontal="center"/>
    </xf>
    <xf numFmtId="9" fontId="0" fillId="2" borderId="0" xfId="0" applyNumberFormat="1" applyFill="1" applyBorder="1" applyProtection="1"/>
    <xf numFmtId="10" fontId="0" fillId="3" borderId="0" xfId="0" applyNumberFormat="1" applyFill="1" applyBorder="1" applyProtection="1"/>
    <xf numFmtId="179" fontId="6" fillId="2" borderId="0" xfId="0" applyNumberFormat="1" applyFont="1" applyFill="1" applyBorder="1" applyProtection="1"/>
    <xf numFmtId="166" fontId="0" fillId="3" borderId="0" xfId="0" applyNumberFormat="1" applyFill="1" applyBorder="1" applyProtection="1"/>
    <xf numFmtId="0" fontId="11" fillId="2" borderId="1" xfId="0" applyFont="1" applyFill="1" applyBorder="1" applyProtection="1"/>
    <xf numFmtId="170" fontId="11" fillId="2" borderId="0" xfId="2" applyNumberFormat="1" applyFont="1" applyFill="1" applyBorder="1" applyProtection="1"/>
    <xf numFmtId="43" fontId="0" fillId="2" borderId="0" xfId="0" applyNumberFormat="1" applyFill="1" applyBorder="1" applyProtection="1"/>
    <xf numFmtId="0" fontId="6" fillId="2" borderId="4" xfId="0" applyFont="1" applyFill="1" applyBorder="1" applyProtection="1"/>
    <xf numFmtId="0" fontId="0" fillId="2" borderId="10" xfId="0" applyFill="1" applyBorder="1" applyProtection="1"/>
    <xf numFmtId="0" fontId="0" fillId="2" borderId="11" xfId="0" applyFill="1" applyBorder="1" applyProtection="1"/>
    <xf numFmtId="0" fontId="0" fillId="2" borderId="12" xfId="0" applyFill="1" applyBorder="1" applyProtection="1"/>
    <xf numFmtId="0" fontId="10" fillId="2" borderId="1" xfId="0" applyFont="1" applyFill="1" applyBorder="1" applyAlignment="1" applyProtection="1">
      <alignment wrapText="1"/>
    </xf>
    <xf numFmtId="0" fontId="6" fillId="2" borderId="1" xfId="0" applyFont="1" applyFill="1" applyBorder="1" applyAlignment="1" applyProtection="1">
      <alignment horizontal="center"/>
    </xf>
    <xf numFmtId="166" fontId="10" fillId="2" borderId="1" xfId="1" applyNumberFormat="1" applyFont="1" applyFill="1" applyBorder="1" applyAlignment="1" applyProtection="1">
      <alignment horizontal="right" wrapText="1"/>
    </xf>
    <xf numFmtId="166" fontId="10" fillId="2" borderId="3" xfId="1" applyNumberFormat="1" applyFont="1" applyFill="1" applyBorder="1" applyAlignment="1" applyProtection="1">
      <alignment horizontal="right" wrapText="1"/>
    </xf>
    <xf numFmtId="10" fontId="0" fillId="3" borderId="0" xfId="3" applyNumberFormat="1" applyFont="1" applyFill="1" applyBorder="1" applyProtection="1"/>
    <xf numFmtId="10" fontId="0" fillId="2" borderId="0" xfId="3" applyNumberFormat="1" applyFont="1" applyFill="1" applyBorder="1" applyProtection="1"/>
    <xf numFmtId="165" fontId="0" fillId="2" borderId="0" xfId="3" applyNumberFormat="1" applyFont="1" applyFill="1" applyBorder="1" applyProtection="1"/>
    <xf numFmtId="165" fontId="0" fillId="2" borderId="5" xfId="3" applyNumberFormat="1" applyFont="1" applyFill="1" applyBorder="1" applyProtection="1"/>
    <xf numFmtId="10" fontId="0" fillId="2" borderId="0" xfId="3" applyNumberFormat="1" applyFont="1" applyFill="1" applyProtection="1"/>
    <xf numFmtId="9" fontId="0" fillId="3" borderId="0" xfId="3" applyNumberFormat="1" applyFont="1" applyFill="1" applyBorder="1" applyProtection="1"/>
    <xf numFmtId="9" fontId="0" fillId="2" borderId="0" xfId="3" applyNumberFormat="1" applyFont="1" applyFill="1" applyBorder="1" applyProtection="1"/>
    <xf numFmtId="9" fontId="0" fillId="2" borderId="5" xfId="3" applyNumberFormat="1" applyFont="1" applyFill="1" applyBorder="1" applyProtection="1"/>
    <xf numFmtId="0" fontId="0" fillId="2" borderId="0" xfId="0" applyFill="1" applyBorder="1" applyAlignment="1" applyProtection="1">
      <alignment horizontal="left"/>
    </xf>
    <xf numFmtId="43" fontId="0" fillId="2" borderId="5" xfId="1" applyFont="1" applyFill="1" applyBorder="1" applyProtection="1"/>
    <xf numFmtId="0" fontId="6" fillId="2" borderId="0" xfId="0" applyFont="1" applyFill="1" applyBorder="1" applyAlignment="1" applyProtection="1">
      <alignment horizontal="left"/>
    </xf>
    <xf numFmtId="9" fontId="0" fillId="3" borderId="0" xfId="1" applyNumberFormat="1" applyFont="1" applyFill="1" applyBorder="1" applyProtection="1"/>
    <xf numFmtId="10" fontId="0" fillId="2" borderId="0" xfId="0" applyNumberFormat="1" applyFill="1" applyBorder="1" applyProtection="1"/>
    <xf numFmtId="0" fontId="10" fillId="2" borderId="2" xfId="0" applyFont="1" applyFill="1" applyBorder="1" applyAlignment="1" applyProtection="1">
      <alignment horizontal="center" wrapText="1"/>
    </xf>
    <xf numFmtId="0" fontId="10" fillId="2" borderId="3" xfId="0" applyFont="1" applyFill="1" applyBorder="1" applyAlignment="1" applyProtection="1">
      <alignment horizontal="center" wrapText="1"/>
    </xf>
    <xf numFmtId="166" fontId="10" fillId="2" borderId="1" xfId="1" applyNumberFormat="1" applyFont="1" applyFill="1" applyBorder="1" applyAlignment="1" applyProtection="1">
      <alignment horizontal="center" wrapText="1"/>
    </xf>
    <xf numFmtId="0" fontId="19" fillId="2" borderId="0" xfId="0" applyFont="1" applyFill="1" applyProtection="1"/>
    <xf numFmtId="0" fontId="10" fillId="2" borderId="4" xfId="0" applyFont="1" applyFill="1" applyBorder="1" applyAlignment="1" applyProtection="1">
      <alignment horizontal="center" wrapText="1"/>
    </xf>
    <xf numFmtId="0" fontId="10" fillId="2" borderId="5" xfId="0" applyFont="1" applyFill="1" applyBorder="1" applyAlignment="1" applyProtection="1">
      <alignment horizontal="center" wrapText="1"/>
    </xf>
    <xf numFmtId="166" fontId="10" fillId="2" borderId="0" xfId="1" applyNumberFormat="1" applyFont="1" applyFill="1" applyBorder="1" applyAlignment="1" applyProtection="1">
      <alignment horizontal="center" wrapText="1"/>
    </xf>
    <xf numFmtId="166" fontId="10" fillId="2" borderId="5" xfId="1" applyNumberFormat="1" applyFont="1" applyFill="1" applyBorder="1" applyAlignment="1" applyProtection="1">
      <alignment horizontal="center" wrapText="1"/>
    </xf>
    <xf numFmtId="0" fontId="6" fillId="2" borderId="0" xfId="0" applyFont="1" applyFill="1" applyProtection="1"/>
    <xf numFmtId="0" fontId="0" fillId="2" borderId="5" xfId="0" applyFill="1" applyBorder="1" applyProtection="1"/>
    <xf numFmtId="166" fontId="11" fillId="2" borderId="13" xfId="1" applyNumberFormat="1" applyFont="1" applyFill="1" applyBorder="1" applyAlignment="1" applyProtection="1">
      <alignment horizontal="right"/>
    </xf>
    <xf numFmtId="166" fontId="11" fillId="2" borderId="6" xfId="1" applyNumberFormat="1" applyFont="1" applyFill="1" applyBorder="1" applyAlignment="1" applyProtection="1">
      <alignment horizontal="right"/>
    </xf>
    <xf numFmtId="166" fontId="11" fillId="2" borderId="14" xfId="1" applyNumberFormat="1" applyFont="1" applyFill="1" applyBorder="1" applyAlignment="1" applyProtection="1">
      <alignment horizontal="right"/>
    </xf>
    <xf numFmtId="0" fontId="11" fillId="2" borderId="5" xfId="0" applyFont="1" applyFill="1" applyBorder="1" applyProtection="1"/>
    <xf numFmtId="166" fontId="11" fillId="2" borderId="1" xfId="0" applyNumberFormat="1" applyFont="1" applyFill="1" applyBorder="1" applyAlignment="1" applyProtection="1">
      <alignment horizontal="right"/>
    </xf>
    <xf numFmtId="166" fontId="6" fillId="2" borderId="5" xfId="1" applyNumberFormat="1" applyFont="1" applyFill="1" applyBorder="1" applyAlignment="1" applyProtection="1">
      <alignment horizontal="right"/>
    </xf>
    <xf numFmtId="166" fontId="11" fillId="2" borderId="13" xfId="0" applyNumberFormat="1" applyFont="1" applyFill="1" applyBorder="1" applyAlignment="1" applyProtection="1">
      <alignment horizontal="right"/>
    </xf>
    <xf numFmtId="169" fontId="0" fillId="2" borderId="4" xfId="1" applyNumberFormat="1" applyFont="1" applyFill="1" applyBorder="1" applyProtection="1"/>
    <xf numFmtId="169" fontId="0" fillId="2" borderId="5" xfId="1" applyNumberFormat="1" applyFont="1" applyFill="1" applyBorder="1" applyProtection="1"/>
    <xf numFmtId="9" fontId="0" fillId="3" borderId="0" xfId="0" applyNumberFormat="1" applyFill="1" applyBorder="1" applyAlignment="1" applyProtection="1">
      <alignment horizontal="center"/>
    </xf>
    <xf numFmtId="169" fontId="0" fillId="2" borderId="7" xfId="1" applyNumberFormat="1" applyFont="1" applyFill="1" applyBorder="1" applyProtection="1"/>
    <xf numFmtId="169" fontId="0" fillId="2" borderId="9" xfId="1" applyNumberFormat="1" applyFont="1" applyFill="1" applyBorder="1" applyProtection="1"/>
    <xf numFmtId="169" fontId="0" fillId="2" borderId="0" xfId="1" applyNumberFormat="1" applyFont="1" applyFill="1" applyBorder="1" applyAlignment="1" applyProtection="1">
      <alignment horizontal="right"/>
    </xf>
    <xf numFmtId="166" fontId="0" fillId="2" borderId="5" xfId="1" applyNumberFormat="1" applyFont="1" applyFill="1" applyBorder="1" applyAlignment="1" applyProtection="1">
      <alignment horizontal="right"/>
    </xf>
    <xf numFmtId="169" fontId="11" fillId="2" borderId="6" xfId="0" applyNumberFormat="1" applyFont="1" applyFill="1" applyBorder="1" applyProtection="1"/>
    <xf numFmtId="169" fontId="11" fillId="2" borderId="14" xfId="0" applyNumberFormat="1" applyFont="1" applyFill="1" applyBorder="1" applyProtection="1"/>
    <xf numFmtId="0" fontId="0" fillId="2" borderId="9" xfId="0" applyFill="1" applyBorder="1" applyProtection="1"/>
    <xf numFmtId="166" fontId="0" fillId="2" borderId="4" xfId="1" applyNumberFormat="1" applyFont="1" applyFill="1" applyBorder="1" applyProtection="1"/>
    <xf numFmtId="166" fontId="0" fillId="2" borderId="7" xfId="1" applyNumberFormat="1" applyFont="1" applyFill="1" applyBorder="1" applyProtection="1"/>
    <xf numFmtId="0" fontId="8" fillId="2" borderId="2" xfId="0" quotePrefix="1" applyFont="1" applyFill="1" applyBorder="1" applyAlignment="1" applyProtection="1">
      <alignment horizontal="right"/>
    </xf>
    <xf numFmtId="0" fontId="13" fillId="2" borderId="1" xfId="0" applyFont="1" applyFill="1" applyBorder="1" applyProtection="1"/>
    <xf numFmtId="0" fontId="0" fillId="2" borderId="1" xfId="0" applyFill="1" applyBorder="1" applyAlignment="1" applyProtection="1">
      <alignment horizontal="center"/>
    </xf>
    <xf numFmtId="0" fontId="0" fillId="2" borderId="1" xfId="0" applyFill="1" applyBorder="1" applyProtection="1"/>
    <xf numFmtId="0" fontId="0" fillId="2" borderId="1" xfId="0" applyFill="1" applyBorder="1" applyAlignment="1" applyProtection="1">
      <alignment horizontal="right"/>
    </xf>
    <xf numFmtId="0" fontId="10" fillId="2" borderId="0" xfId="0" applyFont="1" applyFill="1" applyBorder="1" applyAlignment="1" applyProtection="1"/>
    <xf numFmtId="0" fontId="10" fillId="2" borderId="4" xfId="0" applyFont="1" applyFill="1" applyBorder="1" applyAlignment="1" applyProtection="1"/>
    <xf numFmtId="166" fontId="0" fillId="2" borderId="0" xfId="1" applyNumberFormat="1" applyFont="1" applyFill="1" applyBorder="1" applyAlignment="1" applyProtection="1">
      <alignment horizontal="center"/>
    </xf>
    <xf numFmtId="0" fontId="6" fillId="2" borderId="4" xfId="0" applyFont="1" applyFill="1" applyBorder="1" applyAlignment="1" applyProtection="1">
      <alignment horizontal="right"/>
    </xf>
    <xf numFmtId="0" fontId="0" fillId="2" borderId="4" xfId="0" applyFill="1" applyBorder="1" applyAlignment="1" applyProtection="1">
      <alignment horizontal="right"/>
    </xf>
    <xf numFmtId="0" fontId="0" fillId="2" borderId="3" xfId="0" applyFill="1" applyBorder="1" applyAlignment="1" applyProtection="1">
      <alignment horizontal="right"/>
    </xf>
    <xf numFmtId="0" fontId="10" fillId="2" borderId="5" xfId="0" applyFont="1" applyFill="1" applyBorder="1" applyAlignment="1" applyProtection="1">
      <alignment horizontal="right"/>
    </xf>
    <xf numFmtId="0" fontId="0" fillId="2" borderId="5" xfId="0" applyFill="1" applyBorder="1" applyAlignment="1" applyProtection="1">
      <alignment horizontal="right"/>
    </xf>
    <xf numFmtId="3" fontId="6" fillId="2" borderId="0" xfId="0" applyNumberFormat="1" applyFont="1" applyFill="1" applyBorder="1" applyProtection="1"/>
    <xf numFmtId="43" fontId="6" fillId="2" borderId="0" xfId="0" applyNumberFormat="1" applyFont="1" applyFill="1" applyBorder="1" applyProtection="1"/>
    <xf numFmtId="0" fontId="6" fillId="2" borderId="5" xfId="0" applyFont="1" applyFill="1" applyBorder="1" applyAlignment="1" applyProtection="1">
      <alignment horizontal="right"/>
    </xf>
    <xf numFmtId="166" fontId="6" fillId="2" borderId="0" xfId="0" applyNumberFormat="1" applyFont="1" applyFill="1" applyBorder="1" applyProtection="1"/>
    <xf numFmtId="9" fontId="0" fillId="2" borderId="0" xfId="0" applyNumberFormat="1" applyFill="1" applyProtection="1"/>
    <xf numFmtId="9" fontId="0" fillId="2" borderId="0" xfId="0" applyNumberFormat="1" applyFill="1" applyBorder="1" applyAlignment="1" applyProtection="1">
      <alignment horizontal="center"/>
    </xf>
    <xf numFmtId="165" fontId="0" fillId="3" borderId="0" xfId="3" applyNumberFormat="1" applyFont="1" applyFill="1" applyBorder="1" applyAlignment="1" applyProtection="1">
      <alignment horizontal="right"/>
    </xf>
    <xf numFmtId="43" fontId="0" fillId="3" borderId="0" xfId="1" applyFont="1" applyFill="1" applyBorder="1" applyProtection="1"/>
    <xf numFmtId="0" fontId="0" fillId="0" borderId="0" xfId="0" applyFill="1" applyBorder="1" applyAlignment="1" applyProtection="1">
      <alignment horizontal="center"/>
    </xf>
    <xf numFmtId="166" fontId="0" fillId="0" borderId="0" xfId="1" applyNumberFormat="1" applyFont="1" applyFill="1" applyBorder="1" applyProtection="1"/>
    <xf numFmtId="0" fontId="8" fillId="2" borderId="0" xfId="0" quotePrefix="1" applyFont="1" applyFill="1" applyBorder="1" applyAlignment="1" applyProtection="1">
      <alignment horizontal="right"/>
    </xf>
    <xf numFmtId="0" fontId="0" fillId="2" borderId="3" xfId="0" applyFill="1" applyBorder="1" applyProtection="1"/>
    <xf numFmtId="0" fontId="10" fillId="2" borderId="1" xfId="0" applyFont="1" applyFill="1" applyBorder="1" applyAlignment="1" applyProtection="1">
      <alignment horizontal="right"/>
    </xf>
    <xf numFmtId="43" fontId="6" fillId="2" borderId="0" xfId="1" applyFont="1" applyFill="1" applyBorder="1" applyProtection="1"/>
    <xf numFmtId="166" fontId="6" fillId="2" borderId="6" xfId="0" applyNumberFormat="1" applyFont="1" applyFill="1" applyBorder="1" applyProtection="1"/>
    <xf numFmtId="169" fontId="0" fillId="2" borderId="0" xfId="1" applyNumberFormat="1" applyFont="1" applyFill="1" applyBorder="1" applyProtection="1"/>
    <xf numFmtId="9" fontId="0" fillId="2" borderId="5" xfId="3" applyFont="1" applyFill="1" applyBorder="1" applyProtection="1"/>
    <xf numFmtId="169" fontId="0" fillId="0" borderId="0" xfId="1" applyNumberFormat="1" applyFont="1" applyFill="1" applyBorder="1" applyProtection="1"/>
    <xf numFmtId="0" fontId="10" fillId="2" borderId="8" xfId="0" applyFont="1" applyFill="1" applyBorder="1" applyAlignment="1" applyProtection="1">
      <alignment horizontal="center"/>
    </xf>
    <xf numFmtId="0" fontId="10" fillId="2" borderId="8" xfId="0" applyFont="1" applyFill="1" applyBorder="1" applyAlignment="1" applyProtection="1">
      <alignment horizontal="right"/>
    </xf>
    <xf numFmtId="0" fontId="10" fillId="2" borderId="8" xfId="0" applyFont="1" applyFill="1" applyBorder="1" applyProtection="1"/>
    <xf numFmtId="0" fontId="11" fillId="2" borderId="5" xfId="0" applyFont="1" applyFill="1" applyBorder="1" applyAlignment="1" applyProtection="1">
      <alignment horizontal="center"/>
    </xf>
    <xf numFmtId="0" fontId="6" fillId="2" borderId="5" xfId="0" applyFont="1" applyFill="1" applyBorder="1" applyProtection="1"/>
    <xf numFmtId="9" fontId="6" fillId="3" borderId="0" xfId="0" applyNumberFormat="1" applyFont="1" applyFill="1" applyBorder="1" applyProtection="1"/>
    <xf numFmtId="10" fontId="6" fillId="3" borderId="0" xfId="0" applyNumberFormat="1" applyFont="1" applyFill="1" applyBorder="1" applyProtection="1"/>
    <xf numFmtId="10" fontId="11" fillId="2" borderId="5" xfId="3" applyNumberFormat="1" applyFont="1" applyFill="1" applyBorder="1" applyProtection="1"/>
    <xf numFmtId="0" fontId="11" fillId="2" borderId="9" xfId="0" applyFont="1" applyFill="1" applyBorder="1" applyProtection="1"/>
    <xf numFmtId="166" fontId="0" fillId="2" borderId="8" xfId="0" applyNumberFormat="1" applyFill="1" applyBorder="1" applyProtection="1"/>
    <xf numFmtId="0" fontId="6" fillId="2" borderId="0" xfId="0" applyFont="1" applyFill="1" applyAlignment="1" applyProtection="1">
      <alignment horizontal="center"/>
    </xf>
    <xf numFmtId="9" fontId="0" fillId="3" borderId="0" xfId="0" applyNumberFormat="1" applyFill="1" applyProtection="1"/>
    <xf numFmtId="166" fontId="0" fillId="2" borderId="0" xfId="0" applyNumberFormat="1" applyFill="1" applyProtection="1"/>
    <xf numFmtId="43" fontId="0" fillId="2" borderId="0" xfId="1" applyFont="1" applyFill="1" applyBorder="1" applyAlignment="1" applyProtection="1">
      <alignment horizontal="right"/>
    </xf>
    <xf numFmtId="43" fontId="0" fillId="3" borderId="0" xfId="1" applyFont="1" applyFill="1" applyBorder="1" applyAlignment="1" applyProtection="1">
      <alignment horizontal="right"/>
    </xf>
    <xf numFmtId="0" fontId="34" fillId="2" borderId="0" xfId="0" applyFont="1" applyFill="1" applyBorder="1" applyProtection="1"/>
    <xf numFmtId="0" fontId="11" fillId="2" borderId="6" xfId="0" applyFont="1" applyFill="1" applyBorder="1" applyProtection="1"/>
    <xf numFmtId="0" fontId="10" fillId="2" borderId="2" xfId="0" applyFont="1" applyFill="1" applyBorder="1" applyAlignment="1" applyProtection="1">
      <alignment horizontal="center"/>
    </xf>
    <xf numFmtId="0" fontId="0" fillId="2" borderId="0" xfId="0" applyFont="1" applyFill="1" applyBorder="1" applyAlignment="1" applyProtection="1">
      <alignment horizontal="left"/>
    </xf>
    <xf numFmtId="166" fontId="0" fillId="2" borderId="0" xfId="0" applyNumberFormat="1" applyFont="1" applyFill="1" applyBorder="1" applyProtection="1"/>
    <xf numFmtId="169" fontId="6" fillId="2" borderId="0" xfId="0" applyNumberFormat="1" applyFont="1" applyFill="1" applyBorder="1" applyProtection="1"/>
    <xf numFmtId="170" fontId="6" fillId="2" borderId="0" xfId="2" applyNumberFormat="1" applyFont="1" applyFill="1" applyBorder="1" applyProtection="1"/>
    <xf numFmtId="0" fontId="6" fillId="2" borderId="7" xfId="0" applyFont="1" applyFill="1" applyBorder="1" applyProtection="1"/>
    <xf numFmtId="0" fontId="10" fillId="2" borderId="3" xfId="0" applyFont="1" applyFill="1" applyBorder="1" applyAlignment="1" applyProtection="1">
      <alignment horizontal="right" wrapText="1"/>
    </xf>
    <xf numFmtId="10" fontId="6" fillId="2" borderId="0" xfId="3" applyNumberFormat="1" applyFont="1" applyFill="1" applyBorder="1" applyProtection="1"/>
    <xf numFmtId="10" fontId="0" fillId="2" borderId="5" xfId="3" applyNumberFormat="1" applyFont="1" applyFill="1" applyBorder="1" applyProtection="1"/>
    <xf numFmtId="9" fontId="0" fillId="2" borderId="5" xfId="0" applyNumberFormat="1" applyFill="1" applyBorder="1" applyProtection="1"/>
    <xf numFmtId="43" fontId="0" fillId="2" borderId="5" xfId="1" applyNumberFormat="1" applyFont="1" applyFill="1" applyBorder="1" applyProtection="1"/>
    <xf numFmtId="10" fontId="0" fillId="2" borderId="5" xfId="0" applyNumberFormat="1" applyFill="1" applyBorder="1" applyProtection="1"/>
    <xf numFmtId="0" fontId="19" fillId="2" borderId="4" xfId="0" applyFont="1" applyFill="1" applyBorder="1" applyProtection="1"/>
    <xf numFmtId="166" fontId="11" fillId="2" borderId="0" xfId="1" applyNumberFormat="1" applyFont="1" applyFill="1" applyBorder="1" applyAlignment="1" applyProtection="1">
      <alignment horizontal="right"/>
    </xf>
    <xf numFmtId="166" fontId="11" fillId="2" borderId="5" xfId="1" applyNumberFormat="1" applyFont="1" applyFill="1" applyBorder="1" applyAlignment="1" applyProtection="1">
      <alignment horizontal="right"/>
    </xf>
    <xf numFmtId="166" fontId="11" fillId="2" borderId="0" xfId="0" applyNumberFormat="1" applyFont="1" applyFill="1" applyBorder="1" applyAlignment="1" applyProtection="1">
      <alignment horizontal="right"/>
    </xf>
    <xf numFmtId="166" fontId="6" fillId="2" borderId="0" xfId="0" applyNumberFormat="1" applyFont="1" applyFill="1" applyBorder="1" applyAlignment="1" applyProtection="1">
      <alignment horizontal="right"/>
    </xf>
    <xf numFmtId="169" fontId="11" fillId="2" borderId="4" xfId="0" applyNumberFormat="1" applyFont="1" applyFill="1" applyBorder="1" applyProtection="1"/>
    <xf numFmtId="169" fontId="11" fillId="2" borderId="5" xfId="0" applyNumberFormat="1" applyFont="1" applyFill="1" applyBorder="1" applyProtection="1"/>
    <xf numFmtId="180" fontId="0" fillId="2" borderId="4" xfId="0" applyNumberFormat="1" applyFill="1" applyBorder="1" applyProtection="1"/>
    <xf numFmtId="0" fontId="8" fillId="2" borderId="4" xfId="0" quotePrefix="1" applyFont="1" applyFill="1" applyBorder="1" applyAlignment="1" applyProtection="1">
      <alignment horizontal="right"/>
    </xf>
    <xf numFmtId="0" fontId="16" fillId="0" borderId="0" xfId="5" applyFont="1" applyProtection="1"/>
    <xf numFmtId="0" fontId="0" fillId="0" borderId="0" xfId="0" applyAlignment="1" applyProtection="1">
      <alignment horizontal="right"/>
    </xf>
    <xf numFmtId="165" fontId="0" fillId="0" borderId="0" xfId="0" applyNumberFormat="1" applyFill="1" applyBorder="1" applyAlignment="1" applyProtection="1">
      <alignment horizontal="center"/>
    </xf>
    <xf numFmtId="0" fontId="31" fillId="5" borderId="0" xfId="0" applyFont="1" applyFill="1" applyAlignment="1" applyProtection="1"/>
    <xf numFmtId="0" fontId="21" fillId="5" borderId="0" xfId="0" applyFont="1" applyFill="1" applyAlignment="1" applyProtection="1">
      <alignment horizontal="right"/>
    </xf>
    <xf numFmtId="0" fontId="20" fillId="5" borderId="0" xfId="0" applyFont="1" applyFill="1" applyProtection="1"/>
    <xf numFmtId="0" fontId="18" fillId="5" borderId="0" xfId="0" applyFont="1" applyFill="1" applyProtection="1"/>
    <xf numFmtId="0" fontId="30" fillId="9" borderId="0" xfId="0" applyFont="1" applyFill="1" applyProtection="1"/>
    <xf numFmtId="0" fontId="0" fillId="9" borderId="0" xfId="0" applyFill="1" applyProtection="1"/>
    <xf numFmtId="174" fontId="0" fillId="0" borderId="17" xfId="0" applyNumberFormat="1" applyBorder="1" applyProtection="1"/>
    <xf numFmtId="174" fontId="11" fillId="2" borderId="0" xfId="0" applyNumberFormat="1" applyFont="1" applyFill="1" applyProtection="1"/>
    <xf numFmtId="174" fontId="0" fillId="0" borderId="32" xfId="0" applyNumberFormat="1" applyBorder="1" applyProtection="1"/>
    <xf numFmtId="0" fontId="0" fillId="0" borderId="57" xfId="0" applyBorder="1" applyProtection="1"/>
    <xf numFmtId="174" fontId="0" fillId="0" borderId="57" xfId="0" applyNumberFormat="1" applyBorder="1" applyProtection="1"/>
    <xf numFmtId="2" fontId="0" fillId="2" borderId="0" xfId="0" applyNumberFormat="1" applyFill="1" applyProtection="1"/>
    <xf numFmtId="2" fontId="0" fillId="0" borderId="32" xfId="0" applyNumberFormat="1" applyBorder="1" applyProtection="1"/>
    <xf numFmtId="0" fontId="0" fillId="0" borderId="57" xfId="0" applyFont="1" applyBorder="1" applyProtection="1"/>
    <xf numFmtId="2" fontId="0" fillId="0" borderId="57" xfId="0" applyNumberFormat="1" applyBorder="1" applyProtection="1"/>
    <xf numFmtId="174" fontId="11" fillId="0" borderId="0" xfId="0" applyNumberFormat="1" applyFont="1" applyFill="1" applyProtection="1"/>
    <xf numFmtId="0" fontId="30" fillId="8" borderId="0" xfId="0" applyFont="1" applyFill="1" applyProtection="1"/>
    <xf numFmtId="0" fontId="0" fillId="8" borderId="0" xfId="0" applyFill="1" applyProtection="1"/>
    <xf numFmtId="0" fontId="30" fillId="11" borderId="0" xfId="0" applyFont="1" applyFill="1" applyProtection="1"/>
    <xf numFmtId="0" fontId="0" fillId="11" borderId="0" xfId="0" applyFill="1" applyProtection="1"/>
    <xf numFmtId="0" fontId="30" fillId="19" borderId="0" xfId="0" applyFont="1" applyFill="1" applyProtection="1"/>
    <xf numFmtId="0" fontId="0" fillId="19" borderId="0" xfId="0" applyFill="1" applyProtection="1"/>
    <xf numFmtId="0" fontId="0" fillId="0" borderId="34" xfId="0" applyBorder="1" applyProtection="1"/>
    <xf numFmtId="0" fontId="30" fillId="20" borderId="0" xfId="0" applyFont="1" applyFill="1" applyProtection="1"/>
    <xf numFmtId="0" fontId="0" fillId="20" borderId="0" xfId="0" applyFill="1" applyProtection="1"/>
    <xf numFmtId="174" fontId="0" fillId="0" borderId="57" xfId="0" applyNumberFormat="1" applyFill="1" applyBorder="1" applyProtection="1"/>
    <xf numFmtId="0" fontId="30" fillId="21" borderId="0" xfId="0" applyFont="1" applyFill="1" applyProtection="1"/>
    <xf numFmtId="0" fontId="0" fillId="21" borderId="0" xfId="0" applyFill="1" applyProtection="1"/>
    <xf numFmtId="0" fontId="30" fillId="23" borderId="0" xfId="0" applyFont="1" applyFill="1" applyProtection="1"/>
    <xf numFmtId="0" fontId="0" fillId="23" borderId="0" xfId="0" applyFill="1" applyProtection="1"/>
    <xf numFmtId="9" fontId="20" fillId="0" borderId="15" xfId="0" applyNumberFormat="1" applyFont="1" applyFill="1" applyBorder="1" applyAlignment="1" applyProtection="1">
      <alignment horizontal="center"/>
    </xf>
    <xf numFmtId="165" fontId="0" fillId="0" borderId="15" xfId="0" applyNumberFormat="1" applyFill="1" applyBorder="1" applyAlignment="1" applyProtection="1">
      <alignment horizontal="center"/>
    </xf>
    <xf numFmtId="0" fontId="0" fillId="0" borderId="0" xfId="0" applyAlignment="1" applyProtection="1">
      <alignment horizontal="left" indent="1"/>
    </xf>
    <xf numFmtId="0" fontId="21" fillId="5" borderId="0" xfId="0" applyFont="1" applyFill="1" applyAlignment="1" applyProtection="1">
      <alignment horizontal="right" vertical="top" wrapText="1"/>
    </xf>
    <xf numFmtId="0" fontId="21" fillId="5" borderId="0" xfId="0" applyFont="1" applyFill="1" applyAlignment="1" applyProtection="1">
      <alignment horizontal="left" vertical="top" wrapText="1" indent="1"/>
    </xf>
    <xf numFmtId="0" fontId="41" fillId="0" borderId="0" xfId="0" applyFont="1" applyProtection="1"/>
    <xf numFmtId="0" fontId="0" fillId="2" borderId="0" xfId="0" applyFont="1" applyFill="1" applyAlignment="1" applyProtection="1">
      <alignment horizontal="left" indent="1"/>
    </xf>
    <xf numFmtId="0" fontId="0" fillId="0" borderId="24" xfId="0" applyBorder="1" applyProtection="1"/>
    <xf numFmtId="0" fontId="20" fillId="0" borderId="24" xfId="0" applyFont="1" applyBorder="1" applyProtection="1"/>
    <xf numFmtId="0" fontId="0" fillId="0" borderId="24" xfId="0" applyBorder="1" applyAlignment="1" applyProtection="1">
      <alignment horizontal="left" indent="1"/>
    </xf>
    <xf numFmtId="0" fontId="0" fillId="0" borderId="24" xfId="0" applyFill="1" applyBorder="1" applyProtection="1"/>
    <xf numFmtId="3" fontId="0" fillId="0" borderId="0" xfId="0" applyNumberFormat="1" applyProtection="1"/>
    <xf numFmtId="3" fontId="0" fillId="0" borderId="0" xfId="0" applyNumberFormat="1" applyAlignment="1" applyProtection="1">
      <alignment horizontal="left" indent="1"/>
    </xf>
    <xf numFmtId="0" fontId="32" fillId="0" borderId="0" xfId="5" applyFont="1" applyProtection="1"/>
    <xf numFmtId="0" fontId="0" fillId="0" borderId="0" xfId="0" applyAlignment="1" applyProtection="1">
      <alignment horizontal="right" indent="1"/>
    </xf>
    <xf numFmtId="0" fontId="42" fillId="0" borderId="0" xfId="0" applyFont="1" applyProtection="1"/>
    <xf numFmtId="172" fontId="18" fillId="0" borderId="0" xfId="0" applyNumberFormat="1" applyFont="1" applyProtection="1"/>
    <xf numFmtId="175" fontId="18" fillId="0" borderId="0" xfId="0" applyNumberFormat="1" applyFont="1" applyProtection="1"/>
    <xf numFmtId="0" fontId="11" fillId="0" borderId="0" xfId="0" applyFont="1" applyAlignment="1" applyProtection="1">
      <alignment horizontal="right" indent="1"/>
    </xf>
    <xf numFmtId="0" fontId="22" fillId="10" borderId="15" xfId="3" applyNumberFormat="1" applyFont="1" applyFill="1" applyBorder="1" applyAlignment="1" applyProtection="1"/>
    <xf numFmtId="0" fontId="22" fillId="0" borderId="0" xfId="0" applyFont="1" applyFill="1" applyAlignment="1" applyProtection="1"/>
    <xf numFmtId="172" fontId="22" fillId="10" borderId="15" xfId="3" applyNumberFormat="1" applyFont="1" applyFill="1" applyBorder="1" applyAlignment="1" applyProtection="1"/>
    <xf numFmtId="165" fontId="22" fillId="10" borderId="15" xfId="3" applyNumberFormat="1" applyFont="1" applyFill="1" applyBorder="1" applyAlignment="1" applyProtection="1"/>
    <xf numFmtId="172" fontId="22" fillId="0" borderId="15" xfId="3" applyNumberFormat="1" applyFont="1" applyFill="1" applyBorder="1" applyAlignment="1" applyProtection="1"/>
    <xf numFmtId="0" fontId="17" fillId="5" borderId="0" xfId="0" applyFont="1" applyFill="1" applyAlignment="1" applyProtection="1">
      <alignment horizontal="center" vertical="top"/>
    </xf>
    <xf numFmtId="0" fontId="17" fillId="5" borderId="0" xfId="0" applyFont="1" applyFill="1" applyAlignment="1" applyProtection="1">
      <alignment horizontal="center" vertical="top" wrapText="1"/>
    </xf>
    <xf numFmtId="0" fontId="18" fillId="0" borderId="0" xfId="0" applyFont="1" applyAlignment="1" applyProtection="1">
      <alignment horizontal="center" vertical="top"/>
    </xf>
    <xf numFmtId="172" fontId="22" fillId="0" borderId="0" xfId="0" applyNumberFormat="1" applyFont="1" applyProtection="1"/>
    <xf numFmtId="172" fontId="22" fillId="0" borderId="0" xfId="0" applyNumberFormat="1" applyFont="1" applyFill="1" applyProtection="1"/>
    <xf numFmtId="172" fontId="0" fillId="0" borderId="0" xfId="0" applyNumberFormat="1" applyProtection="1"/>
    <xf numFmtId="9" fontId="0" fillId="0" borderId="15" xfId="0" applyNumberFormat="1" applyFill="1" applyBorder="1" applyAlignment="1" applyProtection="1">
      <alignment horizontal="center"/>
    </xf>
    <xf numFmtId="0" fontId="0" fillId="0" borderId="15" xfId="0" applyNumberFormat="1" applyFill="1" applyBorder="1" applyAlignment="1" applyProtection="1">
      <alignment horizontal="center"/>
    </xf>
    <xf numFmtId="0" fontId="1" fillId="6" borderId="0" xfId="0" applyFont="1" applyFill="1" applyBorder="1" applyAlignment="1" applyProtection="1">
      <alignment horizontal="center"/>
    </xf>
    <xf numFmtId="0" fontId="26" fillId="6" borderId="0" xfId="0" applyFont="1" applyFill="1" applyBorder="1" applyAlignment="1" applyProtection="1">
      <alignment horizontal="center" vertical="center"/>
    </xf>
    <xf numFmtId="0" fontId="1" fillId="0" borderId="0" xfId="0" applyFont="1" applyFill="1" applyBorder="1" applyProtection="1"/>
    <xf numFmtId="0" fontId="1" fillId="0" borderId="0" xfId="0" applyFont="1" applyFill="1" applyProtection="1"/>
    <xf numFmtId="0" fontId="1" fillId="0" borderId="0" xfId="0" applyFont="1" applyFill="1" applyBorder="1" applyAlignment="1" applyProtection="1">
      <alignment horizontal="center"/>
    </xf>
    <xf numFmtId="1" fontId="11" fillId="12" borderId="15" xfId="0" applyNumberFormat="1" applyFont="1" applyFill="1" applyBorder="1" applyAlignment="1" applyProtection="1">
      <alignment horizontal="center" vertical="center"/>
      <protection locked="0"/>
    </xf>
    <xf numFmtId="173" fontId="0" fillId="0" borderId="52" xfId="0" applyNumberFormat="1" applyBorder="1" applyProtection="1"/>
    <xf numFmtId="173" fontId="0" fillId="10" borderId="17" xfId="0" applyNumberFormat="1" applyFill="1" applyBorder="1" applyProtection="1"/>
    <xf numFmtId="173" fontId="0" fillId="10" borderId="52" xfId="0" applyNumberFormat="1" applyFill="1" applyBorder="1" applyProtection="1"/>
    <xf numFmtId="0" fontId="1" fillId="33" borderId="0" xfId="0" applyFont="1" applyFill="1" applyBorder="1" applyAlignment="1" applyProtection="1">
      <alignment horizontal="right" indent="1"/>
    </xf>
    <xf numFmtId="0" fontId="0" fillId="0" borderId="0" xfId="8" applyFont="1"/>
    <xf numFmtId="0" fontId="22" fillId="33" borderId="0" xfId="0" applyFont="1" applyFill="1" applyBorder="1" applyAlignment="1" applyProtection="1">
      <alignment horizontal="center" vertical="center"/>
    </xf>
    <xf numFmtId="0" fontId="18" fillId="0" borderId="0" xfId="0" applyFont="1" applyBorder="1" applyProtection="1"/>
    <xf numFmtId="0" fontId="20" fillId="0" borderId="0" xfId="0" applyFont="1" applyBorder="1" applyProtection="1"/>
    <xf numFmtId="0" fontId="17" fillId="0" borderId="0" xfId="0" applyFont="1" applyBorder="1" applyProtection="1"/>
    <xf numFmtId="173" fontId="18" fillId="0" borderId="0" xfId="0" applyNumberFormat="1" applyFont="1" applyBorder="1" applyProtection="1"/>
    <xf numFmtId="0" fontId="11" fillId="2" borderId="0" xfId="0" applyFont="1" applyFill="1" applyBorder="1" applyAlignment="1" applyProtection="1">
      <alignment vertical="center"/>
    </xf>
    <xf numFmtId="165" fontId="11" fillId="12" borderId="15" xfId="0" applyNumberFormat="1" applyFont="1" applyFill="1" applyBorder="1" applyAlignment="1" applyProtection="1">
      <alignment horizontal="center" vertical="center"/>
      <protection locked="0"/>
    </xf>
    <xf numFmtId="193" fontId="0" fillId="0" borderId="0" xfId="0" applyNumberFormat="1" applyProtection="1"/>
    <xf numFmtId="2" fontId="0" fillId="10" borderId="0" xfId="0" applyNumberFormat="1" applyFill="1" applyProtection="1"/>
    <xf numFmtId="38" fontId="0" fillId="10" borderId="0" xfId="0" applyNumberFormat="1" applyFill="1" applyProtection="1"/>
    <xf numFmtId="40" fontId="0" fillId="10" borderId="0" xfId="0" applyNumberFormat="1" applyFill="1" applyProtection="1"/>
    <xf numFmtId="0" fontId="21" fillId="25" borderId="0" xfId="0" applyFont="1" applyFill="1" applyBorder="1" applyAlignment="1" applyProtection="1">
      <alignment wrapText="1"/>
    </xf>
    <xf numFmtId="40" fontId="0" fillId="0" borderId="50" xfId="0" applyNumberFormat="1" applyFill="1" applyBorder="1" applyProtection="1"/>
    <xf numFmtId="0" fontId="11" fillId="5" borderId="0" xfId="0" applyFont="1" applyFill="1" applyBorder="1" applyProtection="1"/>
    <xf numFmtId="40" fontId="0" fillId="5" borderId="0" xfId="0" applyNumberFormat="1" applyFill="1" applyBorder="1" applyProtection="1"/>
    <xf numFmtId="0" fontId="11" fillId="5" borderId="0" xfId="0" applyFont="1" applyFill="1" applyProtection="1"/>
    <xf numFmtId="0" fontId="1" fillId="0" borderId="0" xfId="0" applyFont="1" applyProtection="1"/>
    <xf numFmtId="0" fontId="1" fillId="0" borderId="0" xfId="0" applyFont="1" applyAlignment="1" applyProtection="1"/>
    <xf numFmtId="0" fontId="20" fillId="25" borderId="47" xfId="0" applyFont="1" applyFill="1" applyBorder="1" applyAlignment="1" applyProtection="1">
      <alignment vertical="top"/>
    </xf>
    <xf numFmtId="0" fontId="20" fillId="25" borderId="6" xfId="0" applyFont="1" applyFill="1" applyBorder="1" applyAlignment="1" applyProtection="1">
      <alignment horizontal="center" vertical="top" wrapText="1"/>
    </xf>
    <xf numFmtId="0" fontId="20" fillId="25" borderId="48" xfId="0" applyFont="1" applyFill="1" applyBorder="1" applyAlignment="1" applyProtection="1">
      <alignment horizontal="center" vertical="top" wrapText="1"/>
    </xf>
    <xf numFmtId="0" fontId="0" fillId="0" borderId="63" xfId="0" applyBorder="1" applyProtection="1"/>
    <xf numFmtId="38" fontId="0" fillId="0" borderId="34" xfId="0" applyNumberFormat="1" applyBorder="1" applyProtection="1"/>
    <xf numFmtId="2" fontId="0" fillId="0" borderId="64" xfId="0" applyNumberFormat="1" applyBorder="1" applyProtection="1"/>
    <xf numFmtId="38" fontId="0" fillId="10" borderId="17" xfId="0" applyNumberFormat="1" applyFill="1" applyBorder="1" applyProtection="1"/>
    <xf numFmtId="2" fontId="0" fillId="10" borderId="50" xfId="0" applyNumberFormat="1" applyFill="1" applyBorder="1" applyProtection="1"/>
    <xf numFmtId="2" fontId="0" fillId="0" borderId="50" xfId="0" applyNumberFormat="1" applyBorder="1" applyProtection="1"/>
    <xf numFmtId="0" fontId="0" fillId="10" borderId="51" xfId="0" applyFill="1" applyBorder="1" applyProtection="1"/>
    <xf numFmtId="38" fontId="0" fillId="10" borderId="52" xfId="0" applyNumberFormat="1" applyFill="1" applyBorder="1" applyProtection="1"/>
    <xf numFmtId="2" fontId="0" fillId="10" borderId="53" xfId="0" applyNumberFormat="1" applyFill="1" applyBorder="1" applyProtection="1"/>
    <xf numFmtId="0" fontId="21" fillId="5" borderId="75" xfId="0" applyFont="1" applyFill="1" applyBorder="1" applyAlignment="1" applyProtection="1">
      <alignment vertical="center"/>
    </xf>
    <xf numFmtId="0" fontId="21" fillId="5" borderId="76" xfId="0" applyFont="1" applyFill="1" applyBorder="1" applyAlignment="1" applyProtection="1">
      <alignment horizontal="center" vertical="center" wrapText="1"/>
    </xf>
    <xf numFmtId="0" fontId="21" fillId="5" borderId="77" xfId="0" applyFont="1" applyFill="1" applyBorder="1" applyAlignment="1" applyProtection="1">
      <alignment vertical="center"/>
    </xf>
    <xf numFmtId="0" fontId="0" fillId="0" borderId="50" xfId="0" applyBorder="1" applyProtection="1"/>
    <xf numFmtId="0" fontId="0" fillId="0" borderId="49" xfId="0" applyBorder="1" applyAlignment="1" applyProtection="1">
      <alignment wrapText="1"/>
    </xf>
    <xf numFmtId="0" fontId="21" fillId="5" borderId="47" xfId="0" applyFont="1" applyFill="1" applyBorder="1" applyProtection="1"/>
    <xf numFmtId="9" fontId="0" fillId="15" borderId="6" xfId="0" quotePrefix="1" applyNumberFormat="1" applyFont="1" applyFill="1" applyBorder="1" applyProtection="1"/>
    <xf numFmtId="0" fontId="0" fillId="15" borderId="6" xfId="0" applyFont="1" applyFill="1" applyBorder="1" applyProtection="1"/>
    <xf numFmtId="9" fontId="0" fillId="15" borderId="48" xfId="0" quotePrefix="1" applyNumberFormat="1" applyFont="1" applyFill="1" applyBorder="1" applyProtection="1"/>
    <xf numFmtId="0" fontId="0" fillId="0" borderId="51" xfId="0" applyBorder="1" applyProtection="1"/>
    <xf numFmtId="40" fontId="0" fillId="0" borderId="52" xfId="0" applyNumberFormat="1" applyBorder="1" applyProtection="1"/>
    <xf numFmtId="40" fontId="0" fillId="0" borderId="53" xfId="0" applyNumberFormat="1" applyBorder="1" applyProtection="1"/>
    <xf numFmtId="0" fontId="0" fillId="10" borderId="49" xfId="0" applyFill="1" applyBorder="1" applyAlignment="1" applyProtection="1">
      <alignment wrapText="1"/>
    </xf>
    <xf numFmtId="2" fontId="0" fillId="10" borderId="17" xfId="0" applyNumberFormat="1" applyFill="1" applyBorder="1" applyProtection="1"/>
    <xf numFmtId="0" fontId="0" fillId="10" borderId="51" xfId="0" applyFill="1" applyBorder="1" applyAlignment="1" applyProtection="1">
      <alignment wrapText="1"/>
    </xf>
    <xf numFmtId="2" fontId="0" fillId="10" borderId="52" xfId="0" applyNumberFormat="1" applyFill="1" applyBorder="1" applyProtection="1"/>
    <xf numFmtId="0" fontId="0" fillId="10" borderId="53" xfId="0" applyFill="1" applyBorder="1" applyProtection="1"/>
    <xf numFmtId="192" fontId="20" fillId="0" borderId="0" xfId="0" applyNumberFormat="1" applyFont="1" applyProtection="1"/>
    <xf numFmtId="0" fontId="20" fillId="0" borderId="0" xfId="0" applyNumberFormat="1" applyFont="1" applyProtection="1"/>
    <xf numFmtId="14" fontId="20" fillId="0" borderId="0" xfId="0" applyNumberFormat="1" applyFont="1" applyProtection="1"/>
    <xf numFmtId="38" fontId="20" fillId="0" borderId="0" xfId="0" applyNumberFormat="1" applyFont="1" applyProtection="1"/>
    <xf numFmtId="0" fontId="0" fillId="0" borderId="0" xfId="0" applyBorder="1" applyAlignment="1" applyProtection="1">
      <alignment horizontal="left" indent="1"/>
    </xf>
    <xf numFmtId="0" fontId="45" fillId="5" borderId="0" xfId="0" applyFont="1" applyFill="1" applyAlignment="1">
      <alignment horizontal="left" vertical="center" indent="1"/>
    </xf>
    <xf numFmtId="0" fontId="11" fillId="12" borderId="16" xfId="0" applyFont="1" applyFill="1" applyBorder="1" applyAlignment="1" applyProtection="1">
      <alignment horizontal="center" vertical="center"/>
      <protection locked="0"/>
    </xf>
    <xf numFmtId="0" fontId="11" fillId="12" borderId="54" xfId="0" applyFont="1" applyFill="1" applyBorder="1" applyAlignment="1" applyProtection="1">
      <alignment horizontal="center" vertical="center"/>
      <protection locked="0"/>
    </xf>
    <xf numFmtId="186" fontId="22" fillId="15" borderId="67" xfId="0" applyNumberFormat="1" applyFont="1" applyFill="1" applyBorder="1" applyAlignment="1" applyProtection="1">
      <alignment horizontal="left" vertical="center"/>
    </xf>
    <xf numFmtId="0" fontId="11" fillId="5" borderId="74" xfId="0" applyFont="1" applyFill="1" applyBorder="1" applyAlignment="1" applyProtection="1">
      <alignment horizontal="left" vertical="center" wrapText="1"/>
    </xf>
    <xf numFmtId="0" fontId="11" fillId="5" borderId="65" xfId="0" applyFont="1" applyFill="1" applyBorder="1" applyAlignment="1" applyProtection="1">
      <alignment horizontal="left" vertical="center" wrapText="1"/>
    </xf>
    <xf numFmtId="186" fontId="22" fillId="15" borderId="65" xfId="0" applyNumberFormat="1" applyFont="1" applyFill="1" applyBorder="1" applyAlignment="1" applyProtection="1">
      <alignment horizontal="left" vertical="center"/>
    </xf>
    <xf numFmtId="186" fontId="22" fillId="15" borderId="66" xfId="0" applyNumberFormat="1" applyFont="1" applyFill="1" applyBorder="1" applyAlignment="1" applyProtection="1">
      <alignment horizontal="left" vertical="center"/>
    </xf>
    <xf numFmtId="186" fontId="22" fillId="15" borderId="67" xfId="0" applyNumberFormat="1" applyFont="1" applyFill="1" applyBorder="1" applyAlignment="1" applyProtection="1">
      <alignment horizontal="left" vertical="center" wrapText="1"/>
    </xf>
    <xf numFmtId="186" fontId="22" fillId="15" borderId="65" xfId="0" applyNumberFormat="1" applyFont="1" applyFill="1" applyBorder="1" applyAlignment="1" applyProtection="1">
      <alignment horizontal="left" vertical="center" wrapText="1"/>
    </xf>
    <xf numFmtId="175" fontId="26" fillId="33" borderId="0" xfId="0" applyNumberFormat="1" applyFont="1" applyFill="1" applyBorder="1" applyAlignment="1" applyProtection="1">
      <alignment horizontal="center"/>
    </xf>
    <xf numFmtId="0" fontId="11" fillId="16" borderId="0" xfId="0" applyFont="1" applyFill="1" applyAlignment="1" applyProtection="1">
      <alignment horizontal="center" vertical="top" wrapText="1"/>
    </xf>
    <xf numFmtId="0" fontId="42" fillId="33" borderId="0" xfId="0" applyFont="1" applyFill="1" applyBorder="1" applyAlignment="1" applyProtection="1">
      <alignment horizontal="center"/>
    </xf>
    <xf numFmtId="0" fontId="34" fillId="32" borderId="0" xfId="0" applyFont="1" applyFill="1" applyBorder="1" applyAlignment="1" applyProtection="1">
      <alignment horizontal="left" vertical="top" wrapText="1"/>
    </xf>
    <xf numFmtId="0" fontId="0" fillId="33" borderId="0" xfId="0" applyFont="1" applyFill="1" applyBorder="1" applyAlignment="1" applyProtection="1">
      <alignment horizontal="center" vertical="center" wrapText="1"/>
    </xf>
    <xf numFmtId="0" fontId="0" fillId="2" borderId="0" xfId="0" applyFill="1" applyAlignment="1" applyProtection="1">
      <alignment horizontal="right" vertical="center" wrapText="1" indent="1"/>
    </xf>
    <xf numFmtId="0" fontId="11" fillId="32" borderId="0" xfId="0" applyFont="1" applyFill="1" applyAlignment="1" applyProtection="1">
      <alignment horizontal="center"/>
    </xf>
    <xf numFmtId="0" fontId="26" fillId="12" borderId="16" xfId="0" applyFont="1" applyFill="1" applyBorder="1" applyAlignment="1" applyProtection="1">
      <alignment horizontal="center" vertical="center" wrapText="1"/>
      <protection locked="0"/>
    </xf>
    <xf numFmtId="0" fontId="26" fillId="12" borderId="54"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1" fillId="25" borderId="0" xfId="0" applyFont="1" applyFill="1" applyAlignment="1" applyProtection="1">
      <alignment horizontal="center"/>
    </xf>
    <xf numFmtId="0" fontId="27" fillId="0" borderId="0" xfId="8" applyFont="1" applyFill="1" applyBorder="1" applyAlignment="1" applyProtection="1">
      <alignment horizontal="center"/>
    </xf>
    <xf numFmtId="0" fontId="17" fillId="20" borderId="0" xfId="0" applyFont="1" applyFill="1" applyAlignment="1" applyProtection="1">
      <alignment horizontal="center"/>
    </xf>
    <xf numFmtId="0" fontId="17" fillId="21" borderId="0" xfId="0" applyFont="1" applyFill="1" applyAlignment="1" applyProtection="1">
      <alignment horizontal="center"/>
    </xf>
    <xf numFmtId="0" fontId="17" fillId="23" borderId="0" xfId="0" applyFont="1" applyFill="1" applyAlignment="1" applyProtection="1">
      <alignment horizontal="center"/>
    </xf>
    <xf numFmtId="0" fontId="17" fillId="9" borderId="0" xfId="0" applyFont="1" applyFill="1" applyAlignment="1" applyProtection="1">
      <alignment horizontal="center"/>
    </xf>
    <xf numFmtId="0" fontId="17" fillId="8" borderId="0" xfId="0" applyFont="1" applyFill="1" applyAlignment="1" applyProtection="1">
      <alignment horizontal="center"/>
    </xf>
    <xf numFmtId="0" fontId="17" fillId="11" borderId="0" xfId="0" applyFont="1" applyFill="1" applyAlignment="1" applyProtection="1">
      <alignment horizontal="center"/>
    </xf>
    <xf numFmtId="0" fontId="17" fillId="19" borderId="0" xfId="0" applyFont="1" applyFill="1" applyAlignment="1" applyProtection="1">
      <alignment horizontal="center"/>
    </xf>
    <xf numFmtId="0" fontId="31" fillId="5" borderId="0" xfId="0" applyFont="1" applyFill="1" applyAlignment="1">
      <alignment horizontal="left"/>
    </xf>
    <xf numFmtId="0" fontId="27" fillId="0" borderId="0" xfId="8" applyFont="1" applyFill="1" applyBorder="1" applyAlignment="1">
      <alignment horizontal="center"/>
    </xf>
    <xf numFmtId="0" fontId="21" fillId="5" borderId="0" xfId="0" applyFont="1" applyFill="1" applyAlignment="1">
      <alignment horizontal="center" wrapText="1"/>
    </xf>
    <xf numFmtId="0" fontId="21" fillId="5" borderId="0" xfId="0" applyFont="1" applyFill="1" applyAlignment="1">
      <alignment horizontal="center"/>
    </xf>
    <xf numFmtId="0" fontId="21" fillId="5" borderId="0" xfId="0" applyFont="1" applyFill="1" applyAlignment="1" applyProtection="1">
      <alignment horizontal="right" wrapText="1"/>
    </xf>
    <xf numFmtId="0" fontId="21" fillId="5" borderId="0" xfId="0" applyFont="1" applyFill="1" applyAlignment="1" applyProtection="1">
      <alignment horizontal="center" wrapText="1"/>
    </xf>
    <xf numFmtId="0" fontId="31" fillId="5" borderId="0" xfId="0" applyFont="1" applyFill="1" applyAlignment="1">
      <alignment horizontal="center"/>
    </xf>
    <xf numFmtId="0" fontId="26" fillId="3" borderId="57" xfId="0" applyFont="1" applyFill="1" applyBorder="1" applyAlignment="1">
      <alignment horizontal="center"/>
    </xf>
    <xf numFmtId="0" fontId="26" fillId="3" borderId="54" xfId="0" applyFont="1" applyFill="1" applyBorder="1" applyAlignment="1">
      <alignment horizontal="center"/>
    </xf>
    <xf numFmtId="0" fontId="26" fillId="3" borderId="16" xfId="0" applyFont="1" applyFill="1" applyBorder="1" applyAlignment="1">
      <alignment horizontal="center"/>
    </xf>
  </cellXfs>
  <cellStyles count="48">
    <cellStyle name="Border" xfId="23"/>
    <cellStyle name="Change in Formula" xfId="24"/>
    <cellStyle name="Check Cell 2" xfId="25"/>
    <cellStyle name="Comma" xfId="1" builtinId="3"/>
    <cellStyle name="Comma [0] 2" xfId="26"/>
    <cellStyle name="Comma 2" xfId="27"/>
    <cellStyle name="Currency" xfId="2" builtinId="4"/>
    <cellStyle name="Currency 2" xfId="6"/>
    <cellStyle name="Currency 2 2" xfId="10"/>
    <cellStyle name="Currency 2 2 2" xfId="17"/>
    <cellStyle name="Currency 2 3" xfId="14"/>
    <cellStyle name="Error checks" xfId="22"/>
    <cellStyle name="Error Warning" xfId="28"/>
    <cellStyle name="Forecast Input" xfId="29"/>
    <cellStyle name="Forecast Input%" xfId="30"/>
    <cellStyle name="import" xfId="31"/>
    <cellStyle name="import%" xfId="32"/>
    <cellStyle name="Info Input #" xfId="33"/>
    <cellStyle name="Info Input %" xfId="34"/>
    <cellStyle name="Input #" xfId="35"/>
    <cellStyle name="Input %" xfId="19"/>
    <cellStyle name="Input1default" xfId="36"/>
    <cellStyle name="Input1default%" xfId="37"/>
    <cellStyle name="Input2" xfId="38"/>
    <cellStyle name="key outputs" xfId="20"/>
    <cellStyle name="Links from other files (green) style" xfId="39"/>
    <cellStyle name="Normal" xfId="0" builtinId="0"/>
    <cellStyle name="Normal 10" xfId="4"/>
    <cellStyle name="Normal 2" xfId="5"/>
    <cellStyle name="Normal 2 2" xfId="8"/>
    <cellStyle name="Normal 2 3" xfId="9"/>
    <cellStyle name="Normal 2 3 2" xfId="16"/>
    <cellStyle name="Normal 2 4" xfId="13"/>
    <cellStyle name="Normal 2 5" xfId="21"/>
    <cellStyle name="Normal 3" xfId="40"/>
    <cellStyle name="Normal 5 2" xfId="12"/>
    <cellStyle name="Note 2" xfId="41"/>
    <cellStyle name="Note 3" xfId="42"/>
    <cellStyle name="Percent" xfId="3" builtinId="5"/>
    <cellStyle name="Percent 2" xfId="7"/>
    <cellStyle name="Percent 2 2" xfId="11"/>
    <cellStyle name="Percent 2 2 2" xfId="18"/>
    <cellStyle name="Percent 2 2 3" xfId="43"/>
    <cellStyle name="Percent 2 3" xfId="15"/>
    <cellStyle name="Percent 2 4" xfId="44"/>
    <cellStyle name="Percent 3" xfId="45"/>
    <cellStyle name="QA" xfId="46"/>
    <cellStyle name="QA Notes" xfId="47"/>
  </cellStyles>
  <dxfs count="15">
    <dxf>
      <font>
        <color theme="0" tint="-0.14996795556505021"/>
      </font>
      <fill>
        <patternFill>
          <bgColor theme="0" tint="-0.14996795556505021"/>
        </patternFill>
      </fill>
      <border>
        <left/>
        <right/>
        <top/>
        <bottom/>
        <vertical/>
        <horizontal/>
      </border>
    </dxf>
    <dxf>
      <font>
        <color theme="5" tint="0.79998168889431442"/>
      </font>
      <fill>
        <patternFill>
          <bgColor theme="5" tint="0.7999816888943144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font>
      <fill>
        <patternFill>
          <bgColor rgb="FFFF0000"/>
        </patternFill>
      </fill>
      <border>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border>
        <left/>
        <right/>
        <bottom/>
        <vertical/>
        <horizontal/>
      </border>
    </dxf>
    <dxf>
      <fill>
        <patternFill>
          <bgColor rgb="FFFF0000"/>
        </patternFill>
      </fill>
    </dxf>
    <dxf>
      <fill>
        <patternFill>
          <bgColor rgb="FFFF0000"/>
        </patternFill>
      </fill>
    </dxf>
  </dxfs>
  <tableStyles count="0" defaultTableStyle="TableStyleMedium2" defaultPivotStyle="PivotStyleLight16"/>
  <colors>
    <mruColors>
      <color rgb="FFC0504D"/>
      <color rgb="FFFF5050"/>
      <color rgb="FFFFFF9A"/>
      <color rgb="FFDA9694"/>
      <color rgb="FFE4DFEC"/>
      <color rgb="FFFF9900"/>
      <color rgb="FF97B9E0"/>
      <color rgb="FF70AD47"/>
      <color rgb="FFADB9CA"/>
      <color rgb="FFDDD9C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Interactive!$B$21</c:f>
          <c:strCache>
            <c:ptCount val="1"/>
            <c:pt idx="0">
              <c:v>Production of ethanol from Wheat Integrated (Starch) based on 100ML facility with 25% debt, located at Riverina, with feedstock costs at 100% of the base case, using WACC</c:v>
            </c:pt>
          </c:strCache>
        </c:strRef>
      </c:tx>
      <c:layout>
        <c:manualLayout>
          <c:xMode val="edge"/>
          <c:yMode val="edge"/>
          <c:x val="6.8007238677777582E-2"/>
          <c:y val="5.1793786159343201E-3"/>
        </c:manualLayout>
      </c:layout>
      <c:overlay val="1"/>
      <c:txPr>
        <a:bodyPr/>
        <a:lstStyle/>
        <a:p>
          <a:pPr algn="ctr">
            <a:defRPr sz="1200"/>
          </a:pPr>
          <a:endParaRPr lang="en-US"/>
        </a:p>
      </c:txPr>
    </c:title>
    <c:autoTitleDeleted val="0"/>
    <c:plotArea>
      <c:layout>
        <c:manualLayout>
          <c:layoutTarget val="inner"/>
          <c:xMode val="edge"/>
          <c:yMode val="edge"/>
          <c:x val="7.2253511198273682E-2"/>
          <c:y val="0.11288409157913727"/>
          <c:w val="0.88032658309811629"/>
          <c:h val="0.83517295396841462"/>
        </c:manualLayout>
      </c:layout>
      <c:barChart>
        <c:barDir val="col"/>
        <c:grouping val="stacked"/>
        <c:varyColors val="0"/>
        <c:ser>
          <c:idx val="0"/>
          <c:order val="0"/>
          <c:tx>
            <c:strRef>
              <c:f>Interactive!$B$24</c:f>
              <c:strCache>
                <c:ptCount val="1"/>
                <c:pt idx="0">
                  <c:v>Feedstock</c:v>
                </c:pt>
              </c:strCache>
            </c:strRef>
          </c:tx>
          <c:spPr>
            <a:solidFill>
              <a:schemeClr val="accent1">
                <a:lumMod val="40000"/>
                <a:lumOff val="60000"/>
              </a:schemeClr>
            </a:solidFill>
          </c:spPr>
          <c:invertIfNegative val="0"/>
          <c:dLbls>
            <c:numFmt formatCode="&quot;$&quot;#,##0.00" sourceLinked="0"/>
            <c:txPr>
              <a:bodyPr/>
              <a:lstStyle/>
              <a:p>
                <a:pPr>
                  <a:defRPr sz="1100"/>
                </a:pPr>
                <a:endParaRPr lang="en-US"/>
              </a:p>
            </c:txPr>
            <c:showLegendKey val="0"/>
            <c:showVal val="1"/>
            <c:showCatName val="0"/>
            <c:showSerName val="0"/>
            <c:showPercent val="0"/>
            <c:showBubbleSize val="0"/>
            <c:showLeaderLines val="0"/>
          </c:dLbls>
          <c:val>
            <c:numRef>
              <c:f>Interactive!$C$24</c:f>
              <c:numCache>
                <c:formatCode>#,##0.00_);[Red]\(#,##0.00\)</c:formatCode>
                <c:ptCount val="1"/>
                <c:pt idx="0">
                  <c:v>0.36414209318047031</c:v>
                </c:pt>
              </c:numCache>
            </c:numRef>
          </c:val>
        </c:ser>
        <c:ser>
          <c:idx val="1"/>
          <c:order val="1"/>
          <c:tx>
            <c:strRef>
              <c:f>Interactive!$B$25</c:f>
              <c:strCache>
                <c:ptCount val="1"/>
                <c:pt idx="0">
                  <c:v>Direct Costs</c:v>
                </c:pt>
              </c:strCache>
            </c:strRef>
          </c:tx>
          <c:spPr>
            <a:solidFill>
              <a:schemeClr val="accent2">
                <a:lumMod val="40000"/>
                <a:lumOff val="60000"/>
              </a:schemeClr>
            </a:solidFill>
          </c:spPr>
          <c:invertIfNegative val="0"/>
          <c:dLbls>
            <c:numFmt formatCode="&quot;$&quot;#,##0.00" sourceLinked="0"/>
            <c:txPr>
              <a:bodyPr/>
              <a:lstStyle/>
              <a:p>
                <a:pPr>
                  <a:defRPr sz="1100"/>
                </a:pPr>
                <a:endParaRPr lang="en-US"/>
              </a:p>
            </c:txPr>
            <c:showLegendKey val="0"/>
            <c:showVal val="1"/>
            <c:showCatName val="0"/>
            <c:showSerName val="0"/>
            <c:showPercent val="0"/>
            <c:showBubbleSize val="0"/>
            <c:showLeaderLines val="0"/>
          </c:dLbls>
          <c:val>
            <c:numRef>
              <c:f>Interactive!$C$25</c:f>
              <c:numCache>
                <c:formatCode>#,##0.00_);[Red]\(#,##0.00\)</c:formatCode>
                <c:ptCount val="1"/>
                <c:pt idx="0">
                  <c:v>0.16489243992072367</c:v>
                </c:pt>
              </c:numCache>
            </c:numRef>
          </c:val>
        </c:ser>
        <c:ser>
          <c:idx val="2"/>
          <c:order val="2"/>
          <c:tx>
            <c:strRef>
              <c:f>Interactive!$B$26</c:f>
              <c:strCache>
                <c:ptCount val="1"/>
                <c:pt idx="0">
                  <c:v>Maintenance</c:v>
                </c:pt>
              </c:strCache>
            </c:strRef>
          </c:tx>
          <c:spPr>
            <a:solidFill>
              <a:schemeClr val="accent3">
                <a:lumMod val="40000"/>
                <a:lumOff val="60000"/>
              </a:schemeClr>
            </a:solidFill>
          </c:spPr>
          <c:invertIfNegative val="0"/>
          <c:dLbls>
            <c:numFmt formatCode="&quot;$&quot;#,##0.00" sourceLinked="0"/>
            <c:txPr>
              <a:bodyPr/>
              <a:lstStyle/>
              <a:p>
                <a:pPr>
                  <a:defRPr sz="1100"/>
                </a:pPr>
                <a:endParaRPr lang="en-US"/>
              </a:p>
            </c:txPr>
            <c:showLegendKey val="0"/>
            <c:showVal val="1"/>
            <c:showCatName val="0"/>
            <c:showSerName val="0"/>
            <c:showPercent val="0"/>
            <c:showBubbleSize val="0"/>
            <c:showLeaderLines val="0"/>
          </c:dLbls>
          <c:val>
            <c:numRef>
              <c:f>Interactive!$C$26</c:f>
              <c:numCache>
                <c:formatCode>#,##0.00_);[Red]\(#,##0.00\)</c:formatCode>
                <c:ptCount val="1"/>
                <c:pt idx="0">
                  <c:v>4.6959051621599975E-2</c:v>
                </c:pt>
              </c:numCache>
            </c:numRef>
          </c:val>
        </c:ser>
        <c:ser>
          <c:idx val="3"/>
          <c:order val="3"/>
          <c:tx>
            <c:strRef>
              <c:f>Interactive!$B$27</c:f>
              <c:strCache>
                <c:ptCount val="1"/>
                <c:pt idx="0">
                  <c:v>Indirect Costs</c:v>
                </c:pt>
              </c:strCache>
            </c:strRef>
          </c:tx>
          <c:spPr>
            <a:solidFill>
              <a:schemeClr val="accent4">
                <a:lumMod val="40000"/>
                <a:lumOff val="60000"/>
              </a:schemeClr>
            </a:solidFill>
          </c:spPr>
          <c:invertIfNegative val="0"/>
          <c:dLbls>
            <c:numFmt formatCode="&quot;$&quot;#,##0.00" sourceLinked="0"/>
            <c:txPr>
              <a:bodyPr/>
              <a:lstStyle/>
              <a:p>
                <a:pPr>
                  <a:defRPr sz="1100"/>
                </a:pPr>
                <a:endParaRPr lang="en-US"/>
              </a:p>
            </c:txPr>
            <c:showLegendKey val="0"/>
            <c:showVal val="1"/>
            <c:showCatName val="0"/>
            <c:showSerName val="0"/>
            <c:showPercent val="0"/>
            <c:showBubbleSize val="0"/>
            <c:showLeaderLines val="0"/>
          </c:dLbls>
          <c:val>
            <c:numRef>
              <c:f>Interactive!$C$27</c:f>
              <c:numCache>
                <c:formatCode>#,##0.00_);[Red]\(#,##0.00\)</c:formatCode>
                <c:ptCount val="1"/>
                <c:pt idx="0">
                  <c:v>4.1515900000000015E-2</c:v>
                </c:pt>
              </c:numCache>
            </c:numRef>
          </c:val>
        </c:ser>
        <c:ser>
          <c:idx val="4"/>
          <c:order val="4"/>
          <c:tx>
            <c:strRef>
              <c:f>Interactive!$B$28</c:f>
              <c:strCache>
                <c:ptCount val="1"/>
                <c:pt idx="0">
                  <c:v>Return on RAB + depn</c:v>
                </c:pt>
              </c:strCache>
            </c:strRef>
          </c:tx>
          <c:spPr>
            <a:solidFill>
              <a:schemeClr val="accent6">
                <a:lumMod val="40000"/>
                <a:lumOff val="60000"/>
              </a:schemeClr>
            </a:solidFill>
          </c:spPr>
          <c:invertIfNegative val="0"/>
          <c:dLbls>
            <c:numFmt formatCode="&quot;$&quot;#,##0.00" sourceLinked="0"/>
            <c:txPr>
              <a:bodyPr/>
              <a:lstStyle/>
              <a:p>
                <a:pPr>
                  <a:defRPr sz="1100"/>
                </a:pPr>
                <a:endParaRPr lang="en-US"/>
              </a:p>
            </c:txPr>
            <c:showLegendKey val="0"/>
            <c:showVal val="1"/>
            <c:showCatName val="0"/>
            <c:showSerName val="0"/>
            <c:showPercent val="0"/>
            <c:showBubbleSize val="0"/>
            <c:showLeaderLines val="0"/>
          </c:dLbls>
          <c:val>
            <c:numRef>
              <c:f>Interactive!$C$28</c:f>
              <c:numCache>
                <c:formatCode>#,##0.00_);[Red]\(#,##0.00\)</c:formatCode>
                <c:ptCount val="1"/>
                <c:pt idx="0">
                  <c:v>0.14759712977952097</c:v>
                </c:pt>
              </c:numCache>
            </c:numRef>
          </c:val>
        </c:ser>
        <c:ser>
          <c:idx val="5"/>
          <c:order val="5"/>
          <c:tx>
            <c:strRef>
              <c:f>'Summary Tables'!$D$11</c:f>
              <c:strCache>
                <c:ptCount val="1"/>
                <c:pt idx="0">
                  <c:v>Co-product credit</c:v>
                </c:pt>
              </c:strCache>
            </c:strRef>
          </c:tx>
          <c:spPr>
            <a:solidFill>
              <a:srgbClr val="DA9694"/>
            </a:solidFill>
          </c:spPr>
          <c:invertIfNegative val="0"/>
          <c:val>
            <c:numLit>
              <c:formatCode>General</c:formatCode>
              <c:ptCount val="1"/>
              <c:pt idx="0">
                <c:v>0</c:v>
              </c:pt>
            </c:numLit>
          </c:val>
        </c:ser>
        <c:ser>
          <c:idx val="6"/>
          <c:order val="6"/>
          <c:tx>
            <c:strRef>
              <c:f>Interactive!$F$31</c:f>
              <c:strCache>
                <c:ptCount val="1"/>
              </c:strCache>
            </c:strRef>
          </c:tx>
          <c:spPr>
            <a:solidFill>
              <a:schemeClr val="accent1">
                <a:lumMod val="75000"/>
              </a:schemeClr>
            </a:solidFill>
          </c:spPr>
          <c:invertIfNegative val="0"/>
          <c:val>
            <c:numRef>
              <c:f>Interactive!$E$31</c:f>
              <c:numCache>
                <c:formatCode>#,##0.0,,_);[Red]\(#,##0.0,,\)</c:formatCode>
                <c:ptCount val="1"/>
              </c:numCache>
            </c:numRef>
          </c:val>
        </c:ser>
        <c:dLbls>
          <c:showLegendKey val="0"/>
          <c:showVal val="0"/>
          <c:showCatName val="0"/>
          <c:showSerName val="0"/>
          <c:showPercent val="0"/>
          <c:showBubbleSize val="0"/>
        </c:dLbls>
        <c:gapWidth val="0"/>
        <c:overlap val="33"/>
        <c:axId val="195061248"/>
        <c:axId val="195063168"/>
      </c:barChart>
      <c:catAx>
        <c:axId val="195061248"/>
        <c:scaling>
          <c:orientation val="minMax"/>
        </c:scaling>
        <c:delete val="1"/>
        <c:axPos val="b"/>
        <c:title>
          <c:tx>
            <c:rich>
              <a:bodyPr/>
              <a:lstStyle/>
              <a:p>
                <a:pPr>
                  <a:defRPr sz="1200"/>
                </a:pPr>
                <a:r>
                  <a:rPr lang="en-US" sz="1200"/>
                  <a:t>Levelised annual production cost per litre ($/L)</a:t>
                </a:r>
              </a:p>
            </c:rich>
          </c:tx>
          <c:overlay val="0"/>
        </c:title>
        <c:numFmt formatCode="General" sourceLinked="1"/>
        <c:majorTickMark val="out"/>
        <c:minorTickMark val="none"/>
        <c:tickLblPos val="nextTo"/>
        <c:crossAx val="195063168"/>
        <c:crosses val="autoZero"/>
        <c:auto val="1"/>
        <c:lblAlgn val="ctr"/>
        <c:lblOffset val="100"/>
        <c:noMultiLvlLbl val="0"/>
      </c:catAx>
      <c:valAx>
        <c:axId val="195063168"/>
        <c:scaling>
          <c:orientation val="minMax"/>
          <c:max val="1.29"/>
          <c:min val="0"/>
        </c:scaling>
        <c:delete val="0"/>
        <c:axPos val="l"/>
        <c:majorGridlines>
          <c:spPr>
            <a:ln>
              <a:solidFill>
                <a:schemeClr val="bg1">
                  <a:lumMod val="75000"/>
                </a:schemeClr>
              </a:solidFill>
              <a:prstDash val="sysDash"/>
            </a:ln>
          </c:spPr>
        </c:majorGridlines>
        <c:title>
          <c:tx>
            <c:rich>
              <a:bodyPr rot="0" vert="horz"/>
              <a:lstStyle/>
              <a:p>
                <a:pPr>
                  <a:defRPr sz="1100"/>
                </a:pPr>
                <a:r>
                  <a:rPr lang="en-AU" sz="1100"/>
                  <a:t>$/L</a:t>
                </a:r>
                <a:r>
                  <a:rPr lang="en-AU" sz="1100" baseline="0"/>
                  <a:t> ($real)</a:t>
                </a:r>
                <a:endParaRPr lang="en-AU" sz="1100"/>
              </a:p>
            </c:rich>
          </c:tx>
          <c:layout>
            <c:manualLayout>
              <c:xMode val="edge"/>
              <c:yMode val="edge"/>
              <c:x val="2.0682597369434184E-3"/>
              <c:y val="0.1070069166583269"/>
            </c:manualLayout>
          </c:layout>
          <c:overlay val="0"/>
        </c:title>
        <c:numFmt formatCode="&quot;$&quot;#,##0.00" sourceLinked="0"/>
        <c:majorTickMark val="out"/>
        <c:minorTickMark val="none"/>
        <c:tickLblPos val="nextTo"/>
        <c:spPr>
          <a:ln>
            <a:noFill/>
          </a:ln>
        </c:spPr>
        <c:txPr>
          <a:bodyPr/>
          <a:lstStyle/>
          <a:p>
            <a:pPr>
              <a:defRPr sz="1200"/>
            </a:pPr>
            <a:endParaRPr lang="en-US"/>
          </a:p>
        </c:txPr>
        <c:crossAx val="195061248"/>
        <c:crosses val="autoZero"/>
        <c:crossBetween val="between"/>
        <c:majorUnit val="0.2"/>
      </c:valAx>
    </c:plotArea>
    <c:legend>
      <c:legendPos val="r"/>
      <c:layout>
        <c:manualLayout>
          <c:xMode val="edge"/>
          <c:yMode val="edge"/>
          <c:x val="0.45623231423326066"/>
          <c:y val="0.68174890319899528"/>
          <c:w val="0.25835656875574409"/>
          <c:h val="0.25364518885720966"/>
        </c:manualLayout>
      </c:layout>
      <c:overlay val="0"/>
      <c:spPr>
        <a:solidFill>
          <a:schemeClr val="bg1"/>
        </a:solidFill>
        <a:ln>
          <a:solidFill>
            <a:schemeClr val="bg1">
              <a:lumMod val="75000"/>
            </a:schemeClr>
          </a:solidFill>
        </a:ln>
        <a:effectLst>
          <a:outerShdw blurRad="50800" dist="38100" dir="2700000" algn="tl" rotWithShape="0">
            <a:prstClr val="black">
              <a:alpha val="40000"/>
            </a:prstClr>
          </a:outerShdw>
        </a:effectLst>
      </c:spPr>
      <c:txPr>
        <a:bodyPr/>
        <a:lstStyle/>
        <a:p>
          <a:pPr rtl="0">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Charts!$A$2</c:f>
          <c:strCache>
            <c:ptCount val="1"/>
            <c:pt idx="0">
              <c:v>Capital Cost of Ethanol per Litre for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64412346914359"/>
        </c:manualLayout>
      </c:layout>
      <c:barChart>
        <c:barDir val="col"/>
        <c:grouping val="clustered"/>
        <c:varyColors val="0"/>
        <c:ser>
          <c:idx val="5"/>
          <c:order val="0"/>
          <c:tx>
            <c:strRef>
              <c:f>'Summary Tables'!$D$41</c:f>
              <c:strCache>
                <c:ptCount val="1"/>
                <c:pt idx="0">
                  <c:v>Table 2 - Capital Cost per Litre ($/L)</c:v>
                </c:pt>
              </c:strCache>
            </c:strRef>
          </c:tx>
          <c:spPr>
            <a:solidFill>
              <a:schemeClr val="accent6"/>
            </a:solidFill>
          </c:spPr>
          <c:invertIfNegative val="0"/>
          <c:dPt>
            <c:idx val="0"/>
            <c:invertIfNegative val="0"/>
            <c:bubble3D val="0"/>
            <c:spPr>
              <a:solidFill>
                <a:schemeClr val="accent2">
                  <a:lumMod val="20000"/>
                  <a:lumOff val="80000"/>
                </a:schemeClr>
              </a:solidFill>
            </c:spPr>
          </c:dPt>
          <c:dPt>
            <c:idx val="1"/>
            <c:invertIfNegative val="0"/>
            <c:bubble3D val="0"/>
            <c:spPr>
              <a:solidFill>
                <a:schemeClr val="accent2">
                  <a:lumMod val="60000"/>
                  <a:lumOff val="40000"/>
                </a:schemeClr>
              </a:solidFill>
            </c:spPr>
          </c:dPt>
          <c:dPt>
            <c:idx val="2"/>
            <c:invertIfNegative val="0"/>
            <c:bubble3D val="0"/>
            <c:spPr>
              <a:solidFill>
                <a:schemeClr val="accent2">
                  <a:lumMod val="75000"/>
                </a:schemeClr>
              </a:solidFill>
            </c:spPr>
          </c:dPt>
          <c:dPt>
            <c:idx val="3"/>
            <c:invertIfNegative val="0"/>
            <c:bubble3D val="0"/>
            <c:spPr>
              <a:solidFill>
                <a:schemeClr val="accent2">
                  <a:lumMod val="50000"/>
                </a:schemeClr>
              </a:solidFill>
            </c:spPr>
          </c:dPt>
          <c:dPt>
            <c:idx val="4"/>
            <c:invertIfNegative val="0"/>
            <c:bubble3D val="0"/>
            <c:spPr>
              <a:solidFill>
                <a:schemeClr val="accent1"/>
              </a:solidFill>
            </c:spPr>
          </c:dPt>
          <c:dPt>
            <c:idx val="5"/>
            <c:invertIfNegative val="0"/>
            <c:bubble3D val="0"/>
            <c:spPr>
              <a:solidFill>
                <a:schemeClr val="accent5">
                  <a:lumMod val="50000"/>
                </a:schemeClr>
              </a:solidFill>
            </c:spPr>
          </c:dPt>
          <c:dPt>
            <c:idx val="6"/>
            <c:invertIfNegative val="0"/>
            <c:bubble3D val="0"/>
            <c:spPr>
              <a:solidFill>
                <a:schemeClr val="accent6">
                  <a:lumMod val="60000"/>
                  <a:lumOff val="40000"/>
                </a:schemeClr>
              </a:solidFill>
            </c:spPr>
          </c:dPt>
          <c:dPt>
            <c:idx val="7"/>
            <c:invertIfNegative val="0"/>
            <c:bubble3D val="0"/>
            <c:spPr>
              <a:solidFill>
                <a:schemeClr val="accent6">
                  <a:lumMod val="50000"/>
                </a:schemeClr>
              </a:solidFill>
            </c:spPr>
          </c:dPt>
          <c:dLbls>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Tables'!$E$43:$L$43</c:f>
              <c:numCache>
                <c:formatCode>"$"#,##0.00</c:formatCode>
                <c:ptCount val="8"/>
                <c:pt idx="0">
                  <c:v>1.4718</c:v>
                </c:pt>
                <c:pt idx="1">
                  <c:v>1.4718</c:v>
                </c:pt>
                <c:pt idx="2">
                  <c:v>1.4445749999999997</c:v>
                </c:pt>
                <c:pt idx="3">
                  <c:v>1.7985000000000002</c:v>
                </c:pt>
                <c:pt idx="4">
                  <c:v>1.4786062499999999</c:v>
                </c:pt>
                <c:pt idx="5">
                  <c:v>1.4786062499999999</c:v>
                </c:pt>
                <c:pt idx="6">
                  <c:v>2.9171312500000002</c:v>
                </c:pt>
                <c:pt idx="7">
                  <c:v>2.8694875</c:v>
                </c:pt>
              </c:numCache>
            </c:numRef>
          </c:val>
        </c:ser>
        <c:dLbls>
          <c:showLegendKey val="0"/>
          <c:showVal val="0"/>
          <c:showCatName val="0"/>
          <c:showSerName val="0"/>
          <c:showPercent val="0"/>
          <c:showBubbleSize val="0"/>
        </c:dLbls>
        <c:gapWidth val="25"/>
        <c:axId val="210750080"/>
        <c:axId val="210751872"/>
      </c:barChart>
      <c:catAx>
        <c:axId val="210750080"/>
        <c:scaling>
          <c:orientation val="minMax"/>
        </c:scaling>
        <c:delete val="0"/>
        <c:axPos val="b"/>
        <c:numFmt formatCode="General" sourceLinked="1"/>
        <c:majorTickMark val="out"/>
        <c:minorTickMark val="none"/>
        <c:tickLblPos val="nextTo"/>
        <c:txPr>
          <a:bodyPr/>
          <a:lstStyle/>
          <a:p>
            <a:pPr>
              <a:defRPr sz="1100"/>
            </a:pPr>
            <a:endParaRPr lang="en-US"/>
          </a:p>
        </c:txPr>
        <c:crossAx val="210751872"/>
        <c:crosses val="autoZero"/>
        <c:auto val="1"/>
        <c:lblAlgn val="ctr"/>
        <c:lblOffset val="100"/>
        <c:noMultiLvlLbl val="0"/>
      </c:catAx>
      <c:valAx>
        <c:axId val="210751872"/>
        <c:scaling>
          <c:orientation val="minMax"/>
          <c:max val="2.9499999999999997"/>
          <c:min val="0"/>
        </c:scaling>
        <c:delete val="0"/>
        <c:axPos val="l"/>
        <c:majorGridlines>
          <c:spPr>
            <a:ln>
              <a:solidFill>
                <a:schemeClr val="bg1">
                  <a:lumMod val="75000"/>
                </a:schemeClr>
              </a:solidFill>
              <a:prstDash val="sysDash"/>
            </a:ln>
          </c:spPr>
        </c:majorGridlines>
        <c:title>
          <c:tx>
            <c:rich>
              <a:bodyPr rot="0" vert="horz"/>
              <a:lstStyle/>
              <a:p>
                <a:pPr>
                  <a:defRPr/>
                </a:pPr>
                <a:r>
                  <a:rPr lang="en-AU"/>
                  <a:t>$/L</a:t>
                </a:r>
                <a:r>
                  <a:rPr lang="en-AU" baseline="0"/>
                  <a:t> ($real)</a:t>
                </a:r>
                <a:endParaRPr lang="en-AU"/>
              </a:p>
            </c:rich>
          </c:tx>
          <c:layout>
            <c:manualLayout>
              <c:xMode val="edge"/>
              <c:yMode val="edge"/>
              <c:x val="0"/>
              <c:y val="6.6097447735418424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0750080"/>
        <c:crosses val="autoZero"/>
        <c:crossBetween val="between"/>
        <c:majorUnit val="0.5"/>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Charts!$A$34</c:f>
          <c:strCache>
            <c:ptCount val="1"/>
            <c:pt idx="0">
              <c:v>Feedstock cost per Litre for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5651907114073824"/>
        </c:manualLayout>
      </c:layout>
      <c:barChart>
        <c:barDir val="col"/>
        <c:grouping val="clustered"/>
        <c:varyColors val="0"/>
        <c:ser>
          <c:idx val="5"/>
          <c:order val="0"/>
          <c:tx>
            <c:strRef>
              <c:f>'Summary Tables'!$D$6</c:f>
              <c:strCache>
                <c:ptCount val="1"/>
                <c:pt idx="0">
                  <c:v>Feedstock</c:v>
                </c:pt>
              </c:strCache>
            </c:strRef>
          </c:tx>
          <c:spPr>
            <a:solidFill>
              <a:schemeClr val="accent1">
                <a:lumMod val="40000"/>
                <a:lumOff val="6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Tables'!$E$6:$L$6</c:f>
              <c:numCache>
                <c:formatCode>#,##0.00_);[Red]\(#,##0.00\)</c:formatCode>
                <c:ptCount val="8"/>
                <c:pt idx="0">
                  <c:v>0.40460232575607785</c:v>
                </c:pt>
                <c:pt idx="1">
                  <c:v>0.36414209318047031</c:v>
                </c:pt>
                <c:pt idx="2">
                  <c:v>0.63670048635840526</c:v>
                </c:pt>
                <c:pt idx="3">
                  <c:v>0.4748416586395186</c:v>
                </c:pt>
                <c:pt idx="4">
                  <c:v>0.45639812910317262</c:v>
                </c:pt>
                <c:pt idx="5">
                  <c:v>0.70060545151550524</c:v>
                </c:pt>
                <c:pt idx="6">
                  <c:v>0.12976769853356743</c:v>
                </c:pt>
                <c:pt idx="7">
                  <c:v>0.28738122087646673</c:v>
                </c:pt>
              </c:numCache>
            </c:numRef>
          </c:val>
        </c:ser>
        <c:dLbls>
          <c:showLegendKey val="0"/>
          <c:showVal val="0"/>
          <c:showCatName val="0"/>
          <c:showSerName val="0"/>
          <c:showPercent val="0"/>
          <c:showBubbleSize val="0"/>
        </c:dLbls>
        <c:gapWidth val="25"/>
        <c:axId val="210768640"/>
        <c:axId val="210770176"/>
      </c:barChart>
      <c:catAx>
        <c:axId val="210768640"/>
        <c:scaling>
          <c:orientation val="minMax"/>
        </c:scaling>
        <c:delete val="0"/>
        <c:axPos val="b"/>
        <c:numFmt formatCode="General" sourceLinked="1"/>
        <c:majorTickMark val="out"/>
        <c:minorTickMark val="none"/>
        <c:tickLblPos val="nextTo"/>
        <c:txPr>
          <a:bodyPr/>
          <a:lstStyle/>
          <a:p>
            <a:pPr>
              <a:defRPr sz="1100"/>
            </a:pPr>
            <a:endParaRPr lang="en-US"/>
          </a:p>
        </c:txPr>
        <c:crossAx val="210770176"/>
        <c:crosses val="autoZero"/>
        <c:auto val="1"/>
        <c:lblAlgn val="ctr"/>
        <c:lblOffset val="100"/>
        <c:noMultiLvlLbl val="0"/>
      </c:catAx>
      <c:valAx>
        <c:axId val="210770176"/>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r>
                  <a:rPr lang="en-AU" baseline="0"/>
                  <a:t>)</a:t>
                </a:r>
                <a:endParaRPr lang="en-AU"/>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0768640"/>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Charts!$A$69</c:f>
          <c:strCache>
            <c:ptCount val="1"/>
            <c:pt idx="0">
              <c:v>Maintenance costs per Litre for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513711624550713"/>
        </c:manualLayout>
      </c:layout>
      <c:barChart>
        <c:barDir val="col"/>
        <c:grouping val="clustered"/>
        <c:varyColors val="0"/>
        <c:ser>
          <c:idx val="5"/>
          <c:order val="0"/>
          <c:tx>
            <c:strRef>
              <c:f>'Summary Tables'!$D$8</c:f>
              <c:strCache>
                <c:ptCount val="1"/>
                <c:pt idx="0">
                  <c:v>Maintenance</c:v>
                </c:pt>
              </c:strCache>
            </c:strRef>
          </c:tx>
          <c:spPr>
            <a:solidFill>
              <a:schemeClr val="accent3">
                <a:lumMod val="40000"/>
                <a:lumOff val="6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Tables'!$E$8:$L$8</c:f>
              <c:numCache>
                <c:formatCode>#,##0.00_);[Red]\(#,##0.00\)</c:formatCode>
                <c:ptCount val="8"/>
                <c:pt idx="0">
                  <c:v>4.6959051621599975E-2</c:v>
                </c:pt>
                <c:pt idx="1">
                  <c:v>4.6959051621599975E-2</c:v>
                </c:pt>
                <c:pt idx="2">
                  <c:v>4.4506516666666655E-2</c:v>
                </c:pt>
                <c:pt idx="3">
                  <c:v>5.8389648282000023E-2</c:v>
                </c:pt>
                <c:pt idx="4">
                  <c:v>4.2564626552025003E-2</c:v>
                </c:pt>
                <c:pt idx="5">
                  <c:v>4.2564641666666667E-2</c:v>
                </c:pt>
                <c:pt idx="6">
                  <c:v>0.12342534656932501</c:v>
                </c:pt>
                <c:pt idx="7">
                  <c:v>0.12105838455634998</c:v>
                </c:pt>
              </c:numCache>
            </c:numRef>
          </c:val>
        </c:ser>
        <c:dLbls>
          <c:showLegendKey val="0"/>
          <c:showVal val="0"/>
          <c:showCatName val="0"/>
          <c:showSerName val="0"/>
          <c:showPercent val="0"/>
          <c:showBubbleSize val="0"/>
        </c:dLbls>
        <c:gapWidth val="25"/>
        <c:axId val="210795136"/>
        <c:axId val="211550592"/>
      </c:barChart>
      <c:catAx>
        <c:axId val="210795136"/>
        <c:scaling>
          <c:orientation val="minMax"/>
        </c:scaling>
        <c:delete val="0"/>
        <c:axPos val="b"/>
        <c:numFmt formatCode="General" sourceLinked="1"/>
        <c:majorTickMark val="out"/>
        <c:minorTickMark val="none"/>
        <c:tickLblPos val="nextTo"/>
        <c:txPr>
          <a:bodyPr/>
          <a:lstStyle/>
          <a:p>
            <a:pPr>
              <a:defRPr sz="1100"/>
            </a:pPr>
            <a:endParaRPr lang="en-US"/>
          </a:p>
        </c:txPr>
        <c:crossAx val="211550592"/>
        <c:crosses val="autoZero"/>
        <c:auto val="1"/>
        <c:lblAlgn val="ctr"/>
        <c:lblOffset val="100"/>
        <c:noMultiLvlLbl val="0"/>
      </c:catAx>
      <c:valAx>
        <c:axId val="211550592"/>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0795136"/>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Charts!$A$70</c:f>
          <c:strCache>
            <c:ptCount val="1"/>
            <c:pt idx="0">
              <c:v>Indirect costs per Litre for 100 ML facility ($/L)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4586642077652043"/>
        </c:manualLayout>
      </c:layout>
      <c:barChart>
        <c:barDir val="col"/>
        <c:grouping val="clustered"/>
        <c:varyColors val="0"/>
        <c:ser>
          <c:idx val="5"/>
          <c:order val="0"/>
          <c:tx>
            <c:strRef>
              <c:f>'Summary Tables'!$D$9</c:f>
              <c:strCache>
                <c:ptCount val="1"/>
                <c:pt idx="0">
                  <c:v>Indirect Costs</c:v>
                </c:pt>
              </c:strCache>
            </c:strRef>
          </c:tx>
          <c:spPr>
            <a:solidFill>
              <a:schemeClr val="accent4">
                <a:lumMod val="40000"/>
                <a:lumOff val="6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Tables'!$E$9:$L$9</c:f>
              <c:numCache>
                <c:formatCode>#,##0.00_);[Red]\(#,##0.00\)</c:formatCode>
                <c:ptCount val="8"/>
                <c:pt idx="0">
                  <c:v>4.6837000000000011E-2</c:v>
                </c:pt>
                <c:pt idx="1">
                  <c:v>4.1515900000000015E-2</c:v>
                </c:pt>
                <c:pt idx="2">
                  <c:v>4.8495324999999992E-2</c:v>
                </c:pt>
                <c:pt idx="3">
                  <c:v>5.89171E-2</c:v>
                </c:pt>
                <c:pt idx="4">
                  <c:v>5.0237418750000006E-2</c:v>
                </c:pt>
                <c:pt idx="5">
                  <c:v>5.0237418750000006E-2</c:v>
                </c:pt>
                <c:pt idx="6">
                  <c:v>5.9812993750000001E-2</c:v>
                </c:pt>
                <c:pt idx="7">
                  <c:v>5.967006250000001E-2</c:v>
                </c:pt>
              </c:numCache>
            </c:numRef>
          </c:val>
        </c:ser>
        <c:dLbls>
          <c:showLegendKey val="0"/>
          <c:showVal val="0"/>
          <c:showCatName val="0"/>
          <c:showSerName val="0"/>
          <c:showPercent val="0"/>
          <c:showBubbleSize val="0"/>
        </c:dLbls>
        <c:gapWidth val="25"/>
        <c:axId val="211583744"/>
        <c:axId val="211585280"/>
      </c:barChart>
      <c:catAx>
        <c:axId val="211583744"/>
        <c:scaling>
          <c:orientation val="minMax"/>
        </c:scaling>
        <c:delete val="0"/>
        <c:axPos val="b"/>
        <c:numFmt formatCode="General" sourceLinked="1"/>
        <c:majorTickMark val="out"/>
        <c:minorTickMark val="none"/>
        <c:tickLblPos val="nextTo"/>
        <c:txPr>
          <a:bodyPr/>
          <a:lstStyle/>
          <a:p>
            <a:pPr>
              <a:defRPr sz="1100"/>
            </a:pPr>
            <a:endParaRPr lang="en-US"/>
          </a:p>
        </c:txPr>
        <c:crossAx val="211585280"/>
        <c:crosses val="autoZero"/>
        <c:auto val="1"/>
        <c:lblAlgn val="ctr"/>
        <c:lblOffset val="100"/>
        <c:noMultiLvlLbl val="0"/>
      </c:catAx>
      <c:valAx>
        <c:axId val="211585280"/>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1583744"/>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Charts!$A$102</c:f>
          <c:strCache>
            <c:ptCount val="1"/>
            <c:pt idx="0">
              <c:v>Finance costs per Litre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5928756835506672"/>
        </c:manualLayout>
      </c:layout>
      <c:barChart>
        <c:barDir val="col"/>
        <c:grouping val="clustered"/>
        <c:varyColors val="0"/>
        <c:ser>
          <c:idx val="5"/>
          <c:order val="0"/>
          <c:tx>
            <c:strRef>
              <c:f>'Summary Tables'!$D$10</c:f>
              <c:strCache>
                <c:ptCount val="1"/>
                <c:pt idx="0">
                  <c:v>Return on RAB + depn</c:v>
                </c:pt>
              </c:strCache>
            </c:strRef>
          </c:tx>
          <c:spPr>
            <a:solidFill>
              <a:schemeClr val="accent6">
                <a:lumMod val="40000"/>
                <a:lumOff val="6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Tables'!$E$10:$L$10</c:f>
              <c:numCache>
                <c:formatCode>#,##0.00_);[Red]\(#,##0.00\)</c:formatCode>
                <c:ptCount val="8"/>
                <c:pt idx="0">
                  <c:v>0.14759712977952097</c:v>
                </c:pt>
                <c:pt idx="1">
                  <c:v>0.14759712977952097</c:v>
                </c:pt>
                <c:pt idx="2">
                  <c:v>0.14486691381386835</c:v>
                </c:pt>
                <c:pt idx="3">
                  <c:v>0.18035972136735184</c:v>
                </c:pt>
                <c:pt idx="4">
                  <c:v>0.14827968377093406</c:v>
                </c:pt>
                <c:pt idx="5">
                  <c:v>0.14827968377093406</c:v>
                </c:pt>
                <c:pt idx="6">
                  <c:v>0.29253988292576855</c:v>
                </c:pt>
                <c:pt idx="7">
                  <c:v>0.28776200498587656</c:v>
                </c:pt>
              </c:numCache>
            </c:numRef>
          </c:val>
        </c:ser>
        <c:dLbls>
          <c:showLegendKey val="0"/>
          <c:showVal val="0"/>
          <c:showCatName val="0"/>
          <c:showSerName val="0"/>
          <c:showPercent val="0"/>
          <c:showBubbleSize val="0"/>
        </c:dLbls>
        <c:gapWidth val="25"/>
        <c:axId val="211614336"/>
        <c:axId val="211624320"/>
      </c:barChart>
      <c:catAx>
        <c:axId val="211614336"/>
        <c:scaling>
          <c:orientation val="minMax"/>
        </c:scaling>
        <c:delete val="0"/>
        <c:axPos val="b"/>
        <c:numFmt formatCode="General" sourceLinked="1"/>
        <c:majorTickMark val="out"/>
        <c:minorTickMark val="none"/>
        <c:tickLblPos val="nextTo"/>
        <c:txPr>
          <a:bodyPr/>
          <a:lstStyle/>
          <a:p>
            <a:pPr>
              <a:defRPr sz="1100"/>
            </a:pPr>
            <a:endParaRPr lang="en-US"/>
          </a:p>
        </c:txPr>
        <c:crossAx val="211624320"/>
        <c:crosses val="autoZero"/>
        <c:auto val="1"/>
        <c:lblAlgn val="ctr"/>
        <c:lblOffset val="100"/>
        <c:noMultiLvlLbl val="0"/>
      </c:catAx>
      <c:valAx>
        <c:axId val="211624320"/>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1614336"/>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Charts!$A$103</c:f>
          <c:strCache>
            <c:ptCount val="1"/>
            <c:pt idx="0">
              <c:v>Margin allowed per Litre for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350839326691907"/>
        </c:manualLayout>
      </c:layout>
      <c:barChart>
        <c:barDir val="col"/>
        <c:grouping val="clustered"/>
        <c:varyColors val="0"/>
        <c:ser>
          <c:idx val="5"/>
          <c:order val="0"/>
          <c:tx>
            <c:strRef>
              <c:f>'Summary Tables'!$D$13</c:f>
              <c:strCache>
                <c:ptCount val="1"/>
                <c:pt idx="0">
                  <c:v>Margin (0%)</c:v>
                </c:pt>
              </c:strCache>
            </c:strRef>
          </c:tx>
          <c:spPr>
            <a:solidFill>
              <a:srgbClr val="97B9E0"/>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Tables'!$E$13:$L$13</c:f>
              <c:numCache>
                <c:formatCode>#,##0.00_);[Red]\(#,##0.00\)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25"/>
        <c:axId val="211657472"/>
        <c:axId val="211659008"/>
      </c:barChart>
      <c:catAx>
        <c:axId val="211657472"/>
        <c:scaling>
          <c:orientation val="minMax"/>
        </c:scaling>
        <c:delete val="0"/>
        <c:axPos val="b"/>
        <c:numFmt formatCode="General" sourceLinked="1"/>
        <c:majorTickMark val="out"/>
        <c:minorTickMark val="none"/>
        <c:tickLblPos val="nextTo"/>
        <c:txPr>
          <a:bodyPr/>
          <a:lstStyle/>
          <a:p>
            <a:pPr>
              <a:defRPr sz="1100"/>
            </a:pPr>
            <a:endParaRPr lang="en-US"/>
          </a:p>
        </c:txPr>
        <c:crossAx val="211659008"/>
        <c:crosses val="autoZero"/>
        <c:auto val="1"/>
        <c:lblAlgn val="ctr"/>
        <c:lblOffset val="100"/>
        <c:noMultiLvlLbl val="0"/>
      </c:catAx>
      <c:valAx>
        <c:axId val="211659008"/>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a:t>
                </a:r>
                <a:r>
                  <a:rPr lang="en-AU" baseline="0"/>
                  <a:t> ($real)</a:t>
                </a:r>
                <a:endParaRPr lang="en-AU"/>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1657472"/>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Charts!$A$134</c:f>
          <c:strCache>
            <c:ptCount val="1"/>
            <c:pt idx="0">
              <c:v>Co-product credit per Litre for 100 ML facility ($/L)</c:v>
            </c:pt>
          </c:strCache>
        </c:strRef>
      </c:tx>
      <c:layout>
        <c:manualLayout>
          <c:xMode val="edge"/>
          <c:yMode val="edge"/>
          <c:x val="0.21399742140139685"/>
          <c:y val="7.0803149606299225E-4"/>
        </c:manualLayout>
      </c:layout>
      <c:overlay val="1"/>
      <c:txPr>
        <a:bodyPr/>
        <a:lstStyle/>
        <a:p>
          <a:pPr algn="ctr">
            <a:defRPr sz="1000"/>
          </a:pPr>
          <a:endParaRPr lang="en-US"/>
        </a:p>
      </c:txPr>
    </c:title>
    <c:autoTitleDeleted val="0"/>
    <c:plotArea>
      <c:layout>
        <c:manualLayout>
          <c:layoutTarget val="inner"/>
          <c:xMode val="edge"/>
          <c:yMode val="edge"/>
          <c:x val="7.2253511198273682E-2"/>
          <c:y val="0.11162750164041994"/>
          <c:w val="0.8696107463772329"/>
          <c:h val="0.75172786381898848"/>
        </c:manualLayout>
      </c:layout>
      <c:barChart>
        <c:barDir val="col"/>
        <c:grouping val="clustered"/>
        <c:varyColors val="0"/>
        <c:ser>
          <c:idx val="5"/>
          <c:order val="0"/>
          <c:tx>
            <c:strRef>
              <c:f>'Summary Tables'!$D$11</c:f>
              <c:strCache>
                <c:ptCount val="1"/>
                <c:pt idx="0">
                  <c:v>Co-product credit</c:v>
                </c:pt>
              </c:strCache>
            </c:strRef>
          </c:tx>
          <c:spPr>
            <a:solidFill>
              <a:srgbClr val="DA9694"/>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Tables'!$E$15:$L$15</c:f>
              <c:numCache>
                <c:formatCode>#,##0.00_);[Red]\(#,##0.00\)</c:formatCode>
                <c:ptCount val="8"/>
                <c:pt idx="0">
                  <c:v>0.12901684889785631</c:v>
                </c:pt>
                <c:pt idx="1">
                  <c:v>0.12901684889785631</c:v>
                </c:pt>
                <c:pt idx="2">
                  <c:v>7.0913026834113366E-2</c:v>
                </c:pt>
                <c:pt idx="3">
                  <c:v>0.17550860076813843</c:v>
                </c:pt>
                <c:pt idx="4">
                  <c:v>0.25327873252258948</c:v>
                </c:pt>
                <c:pt idx="5">
                  <c:v>0.19236023085013057</c:v>
                </c:pt>
                <c:pt idx="6">
                  <c:v>4.654217443741971E-2</c:v>
                </c:pt>
                <c:pt idx="7">
                  <c:v>9.9632734905233708E-2</c:v>
                </c:pt>
              </c:numCache>
            </c:numRef>
          </c:val>
        </c:ser>
        <c:dLbls>
          <c:showLegendKey val="0"/>
          <c:showVal val="0"/>
          <c:showCatName val="0"/>
          <c:showSerName val="0"/>
          <c:showPercent val="0"/>
          <c:showBubbleSize val="0"/>
        </c:dLbls>
        <c:gapWidth val="25"/>
        <c:axId val="211434112"/>
        <c:axId val="211440000"/>
      </c:barChart>
      <c:catAx>
        <c:axId val="211434112"/>
        <c:scaling>
          <c:orientation val="minMax"/>
        </c:scaling>
        <c:delete val="0"/>
        <c:axPos val="b"/>
        <c:numFmt formatCode="General" sourceLinked="1"/>
        <c:majorTickMark val="out"/>
        <c:minorTickMark val="none"/>
        <c:tickLblPos val="nextTo"/>
        <c:txPr>
          <a:bodyPr/>
          <a:lstStyle/>
          <a:p>
            <a:pPr>
              <a:defRPr sz="1100"/>
            </a:pPr>
            <a:endParaRPr lang="en-US"/>
          </a:p>
        </c:txPr>
        <c:crossAx val="211440000"/>
        <c:crosses val="autoZero"/>
        <c:auto val="1"/>
        <c:lblAlgn val="ctr"/>
        <c:lblOffset val="100"/>
        <c:noMultiLvlLbl val="0"/>
      </c:catAx>
      <c:valAx>
        <c:axId val="211440000"/>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1434112"/>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Charts!$A$35</c:f>
          <c:strCache>
            <c:ptCount val="1"/>
            <c:pt idx="0">
              <c:v>Direct costs per Litre for 100 ML facility ($/L)</c:v>
            </c:pt>
          </c:strCache>
        </c:strRef>
      </c:tx>
      <c:layout>
        <c:manualLayout>
          <c:xMode val="edge"/>
          <c:yMode val="edge"/>
          <c:x val="0.21399742140139685"/>
          <c:y val="7.0803149606299225E-4"/>
        </c:manualLayout>
      </c:layout>
      <c:overlay val="1"/>
      <c:txPr>
        <a:bodyPr/>
        <a:lstStyle/>
        <a:p>
          <a:pPr algn="ctr">
            <a:defRPr sz="1000"/>
          </a:pPr>
          <a:endParaRPr lang="en-US"/>
        </a:p>
      </c:txPr>
    </c:title>
    <c:autoTitleDeleted val="0"/>
    <c:plotArea>
      <c:layout>
        <c:manualLayout>
          <c:layoutTarget val="inner"/>
          <c:xMode val="edge"/>
          <c:yMode val="edge"/>
          <c:x val="7.2253511198273682E-2"/>
          <c:y val="0.11162750164041994"/>
          <c:w val="0.8696107463772329"/>
          <c:h val="0.76018397382604963"/>
        </c:manualLayout>
      </c:layout>
      <c:barChart>
        <c:barDir val="col"/>
        <c:grouping val="clustered"/>
        <c:varyColors val="0"/>
        <c:ser>
          <c:idx val="5"/>
          <c:order val="0"/>
          <c:tx>
            <c:strRef>
              <c:f>'Summary Tables'!$D$7</c:f>
              <c:strCache>
                <c:ptCount val="1"/>
                <c:pt idx="0">
                  <c:v>Direct Costs</c:v>
                </c:pt>
              </c:strCache>
            </c:strRef>
          </c:tx>
          <c:spPr>
            <a:solidFill>
              <a:schemeClr val="accent2">
                <a:lumMod val="40000"/>
                <a:lumOff val="6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Tables'!$E$42:$L$42</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Tables'!$E$7:$L$7</c:f>
              <c:numCache>
                <c:formatCode>#,##0.00_);[Red]\(#,##0.00\)</c:formatCode>
                <c:ptCount val="8"/>
                <c:pt idx="0">
                  <c:v>0.16489243992072367</c:v>
                </c:pt>
                <c:pt idx="1">
                  <c:v>0.16489243992072367</c:v>
                </c:pt>
                <c:pt idx="2">
                  <c:v>9.467636907750672E-2</c:v>
                </c:pt>
                <c:pt idx="3">
                  <c:v>0.17044653485309652</c:v>
                </c:pt>
                <c:pt idx="4">
                  <c:v>0.27260382558262797</c:v>
                </c:pt>
                <c:pt idx="5">
                  <c:v>0.26400832748451825</c:v>
                </c:pt>
                <c:pt idx="6">
                  <c:v>0.48579512125787611</c:v>
                </c:pt>
                <c:pt idx="7">
                  <c:v>0.39987472226470944</c:v>
                </c:pt>
              </c:numCache>
            </c:numRef>
          </c:val>
        </c:ser>
        <c:dLbls>
          <c:showLegendKey val="0"/>
          <c:showVal val="0"/>
          <c:showCatName val="0"/>
          <c:showSerName val="0"/>
          <c:showPercent val="0"/>
          <c:showBubbleSize val="0"/>
        </c:dLbls>
        <c:gapWidth val="25"/>
        <c:axId val="211354368"/>
        <c:axId val="211355904"/>
      </c:barChart>
      <c:catAx>
        <c:axId val="211354368"/>
        <c:scaling>
          <c:orientation val="minMax"/>
        </c:scaling>
        <c:delete val="0"/>
        <c:axPos val="b"/>
        <c:numFmt formatCode="General" sourceLinked="1"/>
        <c:majorTickMark val="out"/>
        <c:minorTickMark val="none"/>
        <c:tickLblPos val="nextTo"/>
        <c:txPr>
          <a:bodyPr/>
          <a:lstStyle/>
          <a:p>
            <a:pPr>
              <a:defRPr sz="1100"/>
            </a:pPr>
            <a:endParaRPr lang="en-US"/>
          </a:p>
        </c:txPr>
        <c:crossAx val="211355904"/>
        <c:crosses val="autoZero"/>
        <c:auto val="1"/>
        <c:lblAlgn val="ctr"/>
        <c:lblOffset val="100"/>
        <c:noMultiLvlLbl val="0"/>
      </c:catAx>
      <c:valAx>
        <c:axId val="211355904"/>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en-AU"/>
                  <a:t>$/L ($real)</a:t>
                </a:r>
              </a:p>
            </c:rich>
          </c:tx>
          <c:layout>
            <c:manualLayout>
              <c:xMode val="edge"/>
              <c:yMode val="edge"/>
              <c:x val="0"/>
              <c:y val="4.1299417650918636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1354368"/>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41077934874769E-3"/>
          <c:y val="0.10872933486132452"/>
          <c:w val="0.50947097518943318"/>
          <c:h val="0.84214399873140511"/>
        </c:manualLayout>
      </c:layout>
      <c:barChart>
        <c:barDir val="col"/>
        <c:grouping val="stacked"/>
        <c:varyColors val="0"/>
        <c:ser>
          <c:idx val="7"/>
          <c:order val="0"/>
          <c:tx>
            <c:strRef>
              <c:f>Interactive!$B$32</c:f>
              <c:strCache>
                <c:ptCount val="1"/>
                <c:pt idx="0">
                  <c:v>Total Production Cost with Margin</c:v>
                </c:pt>
              </c:strCache>
            </c:strRef>
          </c:tx>
          <c:spPr>
            <a:noFill/>
          </c:spPr>
          <c:invertIfNegative val="0"/>
          <c:val>
            <c:numRef>
              <c:f>Interactive!$C$30</c:f>
              <c:numCache>
                <c:formatCode>#,##0.00_);[Red]\(#,##0.00\)</c:formatCode>
                <c:ptCount val="1"/>
                <c:pt idx="0">
                  <c:v>0.63608976560445862</c:v>
                </c:pt>
              </c:numCache>
            </c:numRef>
          </c:val>
        </c:ser>
        <c:ser>
          <c:idx val="0"/>
          <c:order val="1"/>
          <c:tx>
            <c:strRef>
              <c:f>Interactive!$B$29</c:f>
              <c:strCache>
                <c:ptCount val="1"/>
                <c:pt idx="0">
                  <c:v>Co-product credit</c:v>
                </c:pt>
              </c:strCache>
            </c:strRef>
          </c:tx>
          <c:spPr>
            <a:solidFill>
              <a:srgbClr val="DA9694"/>
            </a:solidFill>
          </c:spPr>
          <c:invertIfNegative val="0"/>
          <c:dLbls>
            <c:dLbl>
              <c:idx val="0"/>
              <c:showLegendKey val="0"/>
              <c:showVal val="1"/>
              <c:showCatName val="0"/>
              <c:showSerName val="0"/>
              <c:showPercent val="0"/>
              <c:showBubbleSize val="0"/>
            </c:dLbl>
            <c:numFmt formatCode="&quot;$&quot;#,##0.00" sourceLinked="0"/>
            <c:showLegendKey val="0"/>
            <c:showVal val="0"/>
            <c:showCatName val="0"/>
            <c:showSerName val="0"/>
            <c:showPercent val="0"/>
            <c:showBubbleSize val="0"/>
          </c:dLbls>
          <c:val>
            <c:numRef>
              <c:f>Interactive!$C$33</c:f>
              <c:numCache>
                <c:formatCode>#,##0.00_);[Red]\(#,##0.00\)</c:formatCode>
                <c:ptCount val="1"/>
                <c:pt idx="0">
                  <c:v>0.12901684889785631</c:v>
                </c:pt>
              </c:numCache>
            </c:numRef>
          </c:val>
        </c:ser>
        <c:dLbls>
          <c:showLegendKey val="0"/>
          <c:showVal val="0"/>
          <c:showCatName val="0"/>
          <c:showSerName val="0"/>
          <c:showPercent val="0"/>
          <c:showBubbleSize val="0"/>
        </c:dLbls>
        <c:gapWidth val="0"/>
        <c:overlap val="100"/>
        <c:axId val="195100032"/>
        <c:axId val="197670016"/>
      </c:barChart>
      <c:lineChart>
        <c:grouping val="standard"/>
        <c:varyColors val="0"/>
        <c:ser>
          <c:idx val="1"/>
          <c:order val="2"/>
          <c:dPt>
            <c:idx val="0"/>
            <c:marker>
              <c:symbol val="dash"/>
              <c:size val="2"/>
              <c:spPr>
                <a:solidFill>
                  <a:srgbClr val="DA9694"/>
                </a:solidFill>
                <a:ln>
                  <a:noFill/>
                </a:ln>
              </c:spPr>
            </c:marker>
            <c:bubble3D val="0"/>
          </c:dPt>
          <c:dLbls>
            <c:numFmt formatCode="&quot;$&quot;#,##0.00" sourceLinked="0"/>
            <c:txPr>
              <a:bodyPr/>
              <a:lstStyle/>
              <a:p>
                <a:pPr>
                  <a:defRPr b="1"/>
                </a:pPr>
                <a:endParaRPr lang="en-US"/>
              </a:p>
            </c:txPr>
            <c:dLblPos val="b"/>
            <c:showLegendKey val="0"/>
            <c:showVal val="1"/>
            <c:showCatName val="0"/>
            <c:showSerName val="0"/>
            <c:showPercent val="0"/>
            <c:showBubbleSize val="0"/>
            <c:showLeaderLines val="0"/>
          </c:dLbls>
          <c:val>
            <c:numRef>
              <c:f>Interactive!$C$38</c:f>
              <c:numCache>
                <c:formatCode>#,##0.00_);[Red]\(#,##0.00\)</c:formatCode>
                <c:ptCount val="1"/>
                <c:pt idx="0">
                  <c:v>0.63608976560445862</c:v>
                </c:pt>
              </c:numCache>
            </c:numRef>
          </c:val>
          <c:smooth val="0"/>
        </c:ser>
        <c:dLbls>
          <c:showLegendKey val="0"/>
          <c:showVal val="0"/>
          <c:showCatName val="0"/>
          <c:showSerName val="0"/>
          <c:showPercent val="0"/>
          <c:showBubbleSize val="0"/>
        </c:dLbls>
        <c:marker val="1"/>
        <c:smooth val="0"/>
        <c:axId val="195100032"/>
        <c:axId val="197670016"/>
      </c:lineChart>
      <c:catAx>
        <c:axId val="195100032"/>
        <c:scaling>
          <c:orientation val="minMax"/>
        </c:scaling>
        <c:delete val="1"/>
        <c:axPos val="b"/>
        <c:numFmt formatCode="General" sourceLinked="1"/>
        <c:majorTickMark val="out"/>
        <c:minorTickMark val="none"/>
        <c:tickLblPos val="nextTo"/>
        <c:crossAx val="197670016"/>
        <c:crosses val="autoZero"/>
        <c:auto val="1"/>
        <c:lblAlgn val="ctr"/>
        <c:lblOffset val="100"/>
        <c:noMultiLvlLbl val="0"/>
      </c:catAx>
      <c:valAx>
        <c:axId val="197670016"/>
        <c:scaling>
          <c:orientation val="minMax"/>
          <c:max val="1.29"/>
          <c:min val="0"/>
        </c:scaling>
        <c:delete val="1"/>
        <c:axPos val="l"/>
        <c:majorGridlines>
          <c:spPr>
            <a:ln>
              <a:solidFill>
                <a:schemeClr val="bg1">
                  <a:lumMod val="75000"/>
                </a:schemeClr>
              </a:solidFill>
              <a:prstDash val="sysDash"/>
            </a:ln>
          </c:spPr>
        </c:majorGridlines>
        <c:numFmt formatCode="&quot;$&quot;#,##0.00" sourceLinked="0"/>
        <c:majorTickMark val="out"/>
        <c:minorTickMark val="none"/>
        <c:tickLblPos val="nextTo"/>
        <c:crossAx val="195100032"/>
        <c:crosses val="autoZero"/>
        <c:crossBetween val="between"/>
        <c:majorUnit val="0.2"/>
        <c:minorUnit val="4.0000000000000008E-2"/>
      </c:valAx>
    </c:plotArea>
    <c:plotVisOnly val="1"/>
    <c:dispBlanksAs val="gap"/>
    <c:showDLblsOverMax val="0"/>
  </c:chart>
  <c:spPr>
    <a:noFill/>
    <a:ln>
      <a:noFill/>
    </a:ln>
  </c:spPr>
  <c:txPr>
    <a:bodyPr/>
    <a:lstStyle/>
    <a:p>
      <a:pPr algn="ctr">
        <a:defRPr lang="en-US"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printSettings>
    <c:headerFooter>
      <c:oddHeader>&amp;L&amp;"Arial,Bold"DRAFT&amp;"Arial,Regular"
&amp;CEfficient Costs of New Entrant Ethanol Producers – 
Commercial-in-Confidence
&amp;R&amp;G</c:oddHeader>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41077934874769E-3"/>
          <c:y val="0.10872933486132452"/>
          <c:w val="0.50947097518943318"/>
          <c:h val="0.84214399873140511"/>
        </c:manualLayout>
      </c:layout>
      <c:barChart>
        <c:barDir val="col"/>
        <c:grouping val="stacked"/>
        <c:varyColors val="0"/>
        <c:ser>
          <c:idx val="7"/>
          <c:order val="0"/>
          <c:tx>
            <c:strRef>
              <c:f>Interactive!$B$32</c:f>
              <c:strCache>
                <c:ptCount val="1"/>
                <c:pt idx="0">
                  <c:v>Total Production Cost with Margin</c:v>
                </c:pt>
              </c:strCache>
            </c:strRef>
          </c:tx>
          <c:spPr>
            <a:noFill/>
          </c:spPr>
          <c:invertIfNegative val="0"/>
          <c:val>
            <c:numRef>
              <c:f>Interactive!$C$30</c:f>
              <c:numCache>
                <c:formatCode>#,##0.00_);[Red]\(#,##0.00\)</c:formatCode>
                <c:ptCount val="1"/>
                <c:pt idx="0">
                  <c:v>0.63608976560445862</c:v>
                </c:pt>
              </c:numCache>
            </c:numRef>
          </c:val>
        </c:ser>
        <c:ser>
          <c:idx val="0"/>
          <c:order val="1"/>
          <c:tx>
            <c:strRef>
              <c:f>Interactive!$B$31</c:f>
              <c:strCache>
                <c:ptCount val="1"/>
                <c:pt idx="0">
                  <c:v>Margin (0%)</c:v>
                </c:pt>
              </c:strCache>
            </c:strRef>
          </c:tx>
          <c:spPr>
            <a:solidFill>
              <a:schemeClr val="accent1">
                <a:lumMod val="75000"/>
              </a:schemeClr>
            </a:solidFill>
          </c:spPr>
          <c:invertIfNegative val="0"/>
          <c:dLbls>
            <c:dLbl>
              <c:idx val="0"/>
              <c:showLegendKey val="0"/>
              <c:showVal val="1"/>
              <c:showCatName val="0"/>
              <c:showSerName val="0"/>
              <c:showPercent val="0"/>
              <c:showBubbleSize val="0"/>
            </c:dLbl>
            <c:numFmt formatCode="&quot;$&quot;#,##0.00" sourceLinked="0"/>
            <c:txPr>
              <a:bodyPr/>
              <a:lstStyle/>
              <a:p>
                <a:pPr>
                  <a:defRPr>
                    <a:solidFill>
                      <a:schemeClr val="bg1"/>
                    </a:solidFill>
                  </a:defRPr>
                </a:pPr>
                <a:endParaRPr lang="en-US"/>
              </a:p>
            </c:txPr>
            <c:showLegendKey val="0"/>
            <c:showVal val="0"/>
            <c:showCatName val="0"/>
            <c:showSerName val="0"/>
            <c:showPercent val="0"/>
            <c:showBubbleSize val="0"/>
          </c:dLbls>
          <c:val>
            <c:numRef>
              <c:f>Interactive!$C$31</c:f>
              <c:numCache>
                <c:formatCode>#,##0.00_);[Red]\(#,##0.00\)</c:formatCode>
                <c:ptCount val="1"/>
                <c:pt idx="0">
                  <c:v>0</c:v>
                </c:pt>
              </c:numCache>
            </c:numRef>
          </c:val>
        </c:ser>
        <c:dLbls>
          <c:showLegendKey val="0"/>
          <c:showVal val="0"/>
          <c:showCatName val="0"/>
          <c:showSerName val="0"/>
          <c:showPercent val="0"/>
          <c:showBubbleSize val="0"/>
        </c:dLbls>
        <c:gapWidth val="0"/>
        <c:overlap val="100"/>
        <c:axId val="197705088"/>
        <c:axId val="197727360"/>
      </c:barChart>
      <c:lineChart>
        <c:grouping val="standard"/>
        <c:varyColors val="0"/>
        <c:ser>
          <c:idx val="1"/>
          <c:order val="2"/>
          <c:marker>
            <c:symbol val="none"/>
          </c:marker>
          <c:dLbls>
            <c:numFmt formatCode="&quot;$&quot;#,##0.00" sourceLinked="0"/>
            <c:txPr>
              <a:bodyPr/>
              <a:lstStyle/>
              <a:p>
                <a:pPr>
                  <a:defRPr b="1"/>
                </a:pPr>
                <a:endParaRPr lang="en-US"/>
              </a:p>
            </c:txPr>
            <c:dLblPos val="t"/>
            <c:showLegendKey val="0"/>
            <c:showVal val="1"/>
            <c:showCatName val="0"/>
            <c:showSerName val="0"/>
            <c:showPercent val="0"/>
            <c:showBubbleSize val="0"/>
            <c:showLeaderLines val="0"/>
          </c:dLbls>
          <c:val>
            <c:numRef>
              <c:f>Interactive!$C$37</c:f>
              <c:numCache>
                <c:formatCode>#,##0.00_);[Red]\(#,##0.00\)</c:formatCode>
                <c:ptCount val="1"/>
                <c:pt idx="0">
                  <c:v>#N/A</c:v>
                </c:pt>
              </c:numCache>
            </c:numRef>
          </c:val>
          <c:smooth val="0"/>
        </c:ser>
        <c:dLbls>
          <c:showLegendKey val="0"/>
          <c:showVal val="0"/>
          <c:showCatName val="0"/>
          <c:showSerName val="0"/>
          <c:showPercent val="0"/>
          <c:showBubbleSize val="0"/>
        </c:dLbls>
        <c:marker val="1"/>
        <c:smooth val="0"/>
        <c:axId val="197705088"/>
        <c:axId val="197727360"/>
      </c:lineChart>
      <c:catAx>
        <c:axId val="197705088"/>
        <c:scaling>
          <c:orientation val="minMax"/>
        </c:scaling>
        <c:delete val="1"/>
        <c:axPos val="b"/>
        <c:numFmt formatCode="General" sourceLinked="1"/>
        <c:majorTickMark val="out"/>
        <c:minorTickMark val="none"/>
        <c:tickLblPos val="nextTo"/>
        <c:crossAx val="197727360"/>
        <c:crosses val="autoZero"/>
        <c:auto val="1"/>
        <c:lblAlgn val="ctr"/>
        <c:lblOffset val="100"/>
        <c:noMultiLvlLbl val="0"/>
      </c:catAx>
      <c:valAx>
        <c:axId val="197727360"/>
        <c:scaling>
          <c:orientation val="minMax"/>
          <c:max val="1.29"/>
          <c:min val="0"/>
        </c:scaling>
        <c:delete val="1"/>
        <c:axPos val="l"/>
        <c:majorGridlines>
          <c:spPr>
            <a:ln>
              <a:solidFill>
                <a:schemeClr val="bg1">
                  <a:lumMod val="75000"/>
                </a:schemeClr>
              </a:solidFill>
              <a:prstDash val="sysDash"/>
            </a:ln>
          </c:spPr>
        </c:majorGridlines>
        <c:numFmt formatCode="&quot;$&quot;#,##0.00" sourceLinked="0"/>
        <c:majorTickMark val="out"/>
        <c:minorTickMark val="none"/>
        <c:tickLblPos val="nextTo"/>
        <c:crossAx val="197705088"/>
        <c:crosses val="autoZero"/>
        <c:crossBetween val="between"/>
        <c:majorUnit val="0.2"/>
        <c:minorUnit val="4.0000000000000008E-2"/>
      </c:valAx>
    </c:plotArea>
    <c:plotVisOnly val="1"/>
    <c:dispBlanksAs val="gap"/>
    <c:showDLblsOverMax val="0"/>
  </c:chart>
  <c:spPr>
    <a:noFill/>
    <a:ln>
      <a:noFill/>
    </a:ln>
  </c:spPr>
  <c:txPr>
    <a:bodyPr/>
    <a:lstStyle/>
    <a:p>
      <a:pPr algn="ctr">
        <a:defRPr lang="en-US"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Assumptions!$U$5</c:f>
          <c:strCache>
            <c:ptCount val="1"/>
            <c:pt idx="0">
              <c:v>Weighted Ethanol Production Cost by Production Capacity based on 
delivered cost and quantity available, using 6.9% post-tax real WACC</c:v>
            </c:pt>
          </c:strCache>
        </c:strRef>
      </c:tx>
      <c:layout>
        <c:manualLayout>
          <c:xMode val="edge"/>
          <c:yMode val="edge"/>
          <c:x val="0.21102222222222222"/>
          <c:y val="6.2992125984251968E-3"/>
        </c:manualLayout>
      </c:layout>
      <c:overlay val="0"/>
      <c:spPr>
        <a:solidFill>
          <a:schemeClr val="bg1"/>
        </a:solidFill>
      </c:spPr>
      <c:txPr>
        <a:bodyPr/>
        <a:lstStyle/>
        <a:p>
          <a:pPr algn="ctr">
            <a:defRPr sz="1200"/>
          </a:pPr>
          <a:endParaRPr lang="en-US"/>
        </a:p>
      </c:txPr>
    </c:title>
    <c:autoTitleDeleted val="0"/>
    <c:plotArea>
      <c:layout>
        <c:manualLayout>
          <c:layoutTarget val="inner"/>
          <c:xMode val="edge"/>
          <c:yMode val="edge"/>
          <c:x val="5.9982071471835249E-2"/>
          <c:y val="8.6515469030938055E-2"/>
          <c:w val="0.91401111784103906"/>
          <c:h val="0.83917911835823666"/>
        </c:manualLayout>
      </c:layout>
      <c:areaChart>
        <c:grouping val="stacked"/>
        <c:varyColors val="0"/>
        <c:ser>
          <c:idx val="0"/>
          <c:order val="0"/>
          <c:tx>
            <c:strRef>
              <c:f>Sensitivities!$B$112</c:f>
              <c:strCache>
                <c:ptCount val="1"/>
                <c:pt idx="0">
                  <c:v>Wheat Standalone (Starch)</c:v>
                </c:pt>
              </c:strCache>
            </c:strRef>
          </c:tx>
          <c:spPr>
            <a:solidFill>
              <a:schemeClr val="accent2">
                <a:lumMod val="60000"/>
                <a:lumOff val="40000"/>
              </a:schemeClr>
            </a:solidFill>
            <a:ln w="12700">
              <a:solidFill>
                <a:schemeClr val="tx1"/>
              </a:solidFill>
            </a:ln>
          </c:spPr>
          <c:cat>
            <c:numRef>
              <c:f>Sensitivities!$M$101:$AJ$101</c:f>
              <c:numCache>
                <c:formatCode>m/d/yyyy</c:formatCode>
                <c:ptCount val="24"/>
                <c:pt idx="0">
                  <c:v>0</c:v>
                </c:pt>
                <c:pt idx="1">
                  <c:v>0</c:v>
                </c:pt>
                <c:pt idx="2">
                  <c:v>1309</c:v>
                </c:pt>
                <c:pt idx="3">
                  <c:v>1309</c:v>
                </c:pt>
                <c:pt idx="4">
                  <c:v>1309</c:v>
                </c:pt>
                <c:pt idx="5">
                  <c:v>1309</c:v>
                </c:pt>
                <c:pt idx="6">
                  <c:v>1547</c:v>
                </c:pt>
                <c:pt idx="7">
                  <c:v>1547</c:v>
                </c:pt>
                <c:pt idx="8">
                  <c:v>1547</c:v>
                </c:pt>
                <c:pt idx="9">
                  <c:v>1547</c:v>
                </c:pt>
                <c:pt idx="10">
                  <c:v>1773</c:v>
                </c:pt>
                <c:pt idx="11">
                  <c:v>1773</c:v>
                </c:pt>
                <c:pt idx="12">
                  <c:v>1773</c:v>
                </c:pt>
                <c:pt idx="13">
                  <c:v>1773</c:v>
                </c:pt>
                <c:pt idx="14">
                  <c:v>2643</c:v>
                </c:pt>
                <c:pt idx="15">
                  <c:v>2643</c:v>
                </c:pt>
                <c:pt idx="16">
                  <c:v>2643</c:v>
                </c:pt>
                <c:pt idx="17">
                  <c:v>2643</c:v>
                </c:pt>
                <c:pt idx="18">
                  <c:v>3288</c:v>
                </c:pt>
                <c:pt idx="19">
                  <c:v>3288</c:v>
                </c:pt>
                <c:pt idx="20">
                  <c:v>3288</c:v>
                </c:pt>
                <c:pt idx="21">
                  <c:v>3288</c:v>
                </c:pt>
                <c:pt idx="22">
                  <c:v>4214</c:v>
                </c:pt>
                <c:pt idx="23">
                  <c:v>4214</c:v>
                </c:pt>
              </c:numCache>
            </c:numRef>
          </c:cat>
          <c:val>
            <c:numRef>
              <c:f>Sensitivities!$M$112:$AJ$112</c:f>
              <c:numCache>
                <c:formatCode>General</c:formatCode>
                <c:ptCount val="24"/>
                <c:pt idx="0">
                  <c:v>0</c:v>
                </c:pt>
                <c:pt idx="1">
                  <c:v>0.58298616045382778</c:v>
                </c:pt>
                <c:pt idx="2">
                  <c:v>0.58298616045382778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
          <c:order val="1"/>
          <c:tx>
            <c:strRef>
              <c:f>Sensitivities!$B$113</c:f>
              <c:strCache>
                <c:ptCount val="1"/>
                <c:pt idx="0">
                  <c:v>C-Syrup 
(Sucrosic)</c:v>
                </c:pt>
              </c:strCache>
            </c:strRef>
          </c:tx>
          <c:spPr>
            <a:solidFill>
              <a:schemeClr val="accent1">
                <a:lumMod val="40000"/>
                <a:lumOff val="60000"/>
              </a:schemeClr>
            </a:solidFill>
            <a:ln w="12700">
              <a:solidFill>
                <a:schemeClr val="tx1"/>
              </a:solidFill>
            </a:ln>
          </c:spPr>
          <c:cat>
            <c:numRef>
              <c:f>Sensitivities!$M$101:$AJ$101</c:f>
              <c:numCache>
                <c:formatCode>m/d/yyyy</c:formatCode>
                <c:ptCount val="24"/>
                <c:pt idx="0">
                  <c:v>0</c:v>
                </c:pt>
                <c:pt idx="1">
                  <c:v>0</c:v>
                </c:pt>
                <c:pt idx="2">
                  <c:v>1309</c:v>
                </c:pt>
                <c:pt idx="3">
                  <c:v>1309</c:v>
                </c:pt>
                <c:pt idx="4">
                  <c:v>1309</c:v>
                </c:pt>
                <c:pt idx="5">
                  <c:v>1309</c:v>
                </c:pt>
                <c:pt idx="6">
                  <c:v>1547</c:v>
                </c:pt>
                <c:pt idx="7">
                  <c:v>1547</c:v>
                </c:pt>
                <c:pt idx="8">
                  <c:v>1547</c:v>
                </c:pt>
                <c:pt idx="9">
                  <c:v>1547</c:v>
                </c:pt>
                <c:pt idx="10">
                  <c:v>1773</c:v>
                </c:pt>
                <c:pt idx="11">
                  <c:v>1773</c:v>
                </c:pt>
                <c:pt idx="12">
                  <c:v>1773</c:v>
                </c:pt>
                <c:pt idx="13">
                  <c:v>1773</c:v>
                </c:pt>
                <c:pt idx="14">
                  <c:v>2643</c:v>
                </c:pt>
                <c:pt idx="15">
                  <c:v>2643</c:v>
                </c:pt>
                <c:pt idx="16">
                  <c:v>2643</c:v>
                </c:pt>
                <c:pt idx="17">
                  <c:v>2643</c:v>
                </c:pt>
                <c:pt idx="18">
                  <c:v>3288</c:v>
                </c:pt>
                <c:pt idx="19">
                  <c:v>3288</c:v>
                </c:pt>
                <c:pt idx="20">
                  <c:v>3288</c:v>
                </c:pt>
                <c:pt idx="21">
                  <c:v>3288</c:v>
                </c:pt>
                <c:pt idx="22">
                  <c:v>4214</c:v>
                </c:pt>
                <c:pt idx="23">
                  <c:v>4214</c:v>
                </c:pt>
              </c:numCache>
            </c:numRef>
          </c:cat>
          <c:val>
            <c:numRef>
              <c:f>Sensitivities!$M$113:$AJ$113</c:f>
              <c:numCache>
                <c:formatCode>General</c:formatCode>
                <c:ptCount val="24"/>
                <c:pt idx="0">
                  <c:v>0</c:v>
                </c:pt>
                <c:pt idx="1">
                  <c:v>0</c:v>
                </c:pt>
                <c:pt idx="2">
                  <c:v>0</c:v>
                </c:pt>
                <c:pt idx="3">
                  <c:v>0</c:v>
                </c:pt>
                <c:pt idx="4">
                  <c:v>0</c:v>
                </c:pt>
                <c:pt idx="5">
                  <c:v>0.80757698768326369</c:v>
                </c:pt>
                <c:pt idx="6">
                  <c:v>0.80757698768326369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
          <c:order val="2"/>
          <c:tx>
            <c:strRef>
              <c:f>Sensitivities!$B$114</c:f>
              <c:strCache>
                <c:ptCount val="1"/>
                <c:pt idx="0">
                  <c:v>Sorghum 
(Starch)</c:v>
                </c:pt>
              </c:strCache>
            </c:strRef>
          </c:tx>
          <c:spPr>
            <a:solidFill>
              <a:srgbClr val="FF5050"/>
            </a:solidFill>
            <a:ln w="12700">
              <a:solidFill>
                <a:schemeClr val="tx1"/>
              </a:solidFill>
            </a:ln>
          </c:spPr>
          <c:val>
            <c:numRef>
              <c:f>Sensitivities!$M$114:$AJ$114</c:f>
              <c:numCache>
                <c:formatCode>General</c:formatCode>
                <c:ptCount val="24"/>
                <c:pt idx="0">
                  <c:v>0</c:v>
                </c:pt>
                <c:pt idx="1">
                  <c:v>0</c:v>
                </c:pt>
                <c:pt idx="2">
                  <c:v>0</c:v>
                </c:pt>
                <c:pt idx="3">
                  <c:v>0</c:v>
                </c:pt>
                <c:pt idx="4">
                  <c:v>0</c:v>
                </c:pt>
                <c:pt idx="5">
                  <c:v>0</c:v>
                </c:pt>
                <c:pt idx="6">
                  <c:v>0</c:v>
                </c:pt>
                <c:pt idx="7">
                  <c:v>0</c:v>
                </c:pt>
                <c:pt idx="8">
                  <c:v>0</c:v>
                </c:pt>
                <c:pt idx="9">
                  <c:v>0.82154056346418547</c:v>
                </c:pt>
                <c:pt idx="10">
                  <c:v>0.82154056346418547</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3"/>
          <c:order val="3"/>
          <c:tx>
            <c:strRef>
              <c:f>Sensitivities!$B$115</c:f>
              <c:strCache>
                <c:ptCount val="1"/>
                <c:pt idx="0">
                  <c:v>Cane Trash 
(Cellulosic)</c:v>
                </c:pt>
              </c:strCache>
            </c:strRef>
          </c:tx>
          <c:spPr>
            <a:solidFill>
              <a:schemeClr val="accent6">
                <a:lumMod val="20000"/>
                <a:lumOff val="80000"/>
              </a:schemeClr>
            </a:solidFill>
            <a:ln w="12700">
              <a:solidFill>
                <a:schemeClr val="tx1"/>
              </a:solidFill>
            </a:ln>
          </c:spPr>
          <c:val>
            <c:numRef>
              <c:f>Sensitivities!$M$115:$AJ$115</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0.90413120087724164</c:v>
                </c:pt>
                <c:pt idx="14">
                  <c:v>0.90413120087724164</c:v>
                </c:pt>
                <c:pt idx="15">
                  <c:v>0</c:v>
                </c:pt>
                <c:pt idx="16">
                  <c:v>0</c:v>
                </c:pt>
                <c:pt idx="17">
                  <c:v>0</c:v>
                </c:pt>
                <c:pt idx="18">
                  <c:v>0</c:v>
                </c:pt>
                <c:pt idx="19">
                  <c:v>0</c:v>
                </c:pt>
                <c:pt idx="20">
                  <c:v>0</c:v>
                </c:pt>
                <c:pt idx="21">
                  <c:v>0</c:v>
                </c:pt>
                <c:pt idx="22">
                  <c:v>0</c:v>
                </c:pt>
                <c:pt idx="23">
                  <c:v>0</c:v>
                </c:pt>
              </c:numCache>
            </c:numRef>
          </c:val>
        </c:ser>
        <c:ser>
          <c:idx val="4"/>
          <c:order val="4"/>
          <c:tx>
            <c:strRef>
              <c:f>Sensitivities!$B$116</c:f>
              <c:strCache>
                <c:ptCount val="1"/>
                <c:pt idx="0">
                  <c:v>B-Syrup 
(Sucrosic)</c:v>
                </c:pt>
              </c:strCache>
            </c:strRef>
          </c:tx>
          <c:spPr>
            <a:solidFill>
              <a:schemeClr val="accent5">
                <a:lumMod val="60000"/>
                <a:lumOff val="40000"/>
              </a:schemeClr>
            </a:solidFill>
            <a:ln w="12700">
              <a:solidFill>
                <a:schemeClr val="tx1"/>
              </a:solidFill>
            </a:ln>
          </c:spPr>
          <c:val>
            <c:numRef>
              <c:f>Sensitivities!$M$116:$AJ$116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0.95476238601303987</c:v>
                </c:pt>
                <c:pt idx="18">
                  <c:v>0.95476238601303987</c:v>
                </c:pt>
                <c:pt idx="19">
                  <c:v>0</c:v>
                </c:pt>
                <c:pt idx="20">
                  <c:v>0</c:v>
                </c:pt>
                <c:pt idx="21">
                  <c:v>0</c:v>
                </c:pt>
                <c:pt idx="22">
                  <c:v>0</c:v>
                </c:pt>
                <c:pt idx="23">
                  <c:v>0</c:v>
                </c:pt>
              </c:numCache>
            </c:numRef>
          </c:val>
        </c:ser>
        <c:ser>
          <c:idx val="5"/>
          <c:order val="5"/>
          <c:tx>
            <c:strRef>
              <c:f>Sensitivities!$B$117</c:f>
              <c:strCache>
                <c:ptCount val="1"/>
                <c:pt idx="0">
                  <c:v>Forest Residues 
(Cellulosic)</c:v>
                </c:pt>
              </c:strCache>
            </c:strRef>
          </c:tx>
          <c:spPr>
            <a:solidFill>
              <a:schemeClr val="accent6">
                <a:lumMod val="60000"/>
                <a:lumOff val="40000"/>
              </a:schemeClr>
            </a:solidFill>
            <a:ln w="12700" cmpd="sng">
              <a:solidFill>
                <a:schemeClr val="tx1"/>
              </a:solidFill>
            </a:ln>
          </c:spPr>
          <c:val>
            <c:numRef>
              <c:f>Sensitivities!$M$117:$AJ$117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0.9669703255747959</c:v>
                </c:pt>
                <c:pt idx="22">
                  <c:v>0.9669703255747959</c:v>
                </c:pt>
                <c:pt idx="23">
                  <c:v>0</c:v>
                </c:pt>
              </c:numCache>
            </c:numRef>
          </c:val>
        </c:ser>
        <c:dLbls>
          <c:showLegendKey val="0"/>
          <c:showVal val="0"/>
          <c:showCatName val="0"/>
          <c:showSerName val="0"/>
          <c:showPercent val="0"/>
          <c:showBubbleSize val="0"/>
        </c:dLbls>
        <c:axId val="199151616"/>
        <c:axId val="199153536"/>
      </c:areaChart>
      <c:scatterChart>
        <c:scatterStyle val="lineMarker"/>
        <c:varyColors val="0"/>
        <c:ser>
          <c:idx val="6"/>
          <c:order val="6"/>
          <c:tx>
            <c:strRef>
              <c:f>Sensitivities!$B$141</c:f>
              <c:strCache>
                <c:ptCount val="1"/>
                <c:pt idx="0">
                  <c:v>Wheat Standalone (Starch)</c:v>
                </c:pt>
              </c:strCache>
            </c:strRef>
          </c:tx>
          <c:spPr>
            <a:ln w="19050">
              <a:noFill/>
            </a:ln>
          </c:spPr>
          <c:marker>
            <c:symbol val="none"/>
          </c:marker>
          <c:dLbls>
            <c:txPr>
              <a:bodyPr/>
              <a:lstStyle/>
              <a:p>
                <a:pPr>
                  <a:defRPr sz="1200" b="1"/>
                </a:pPr>
                <a:endParaRPr lang="en-US"/>
              </a:p>
            </c:txPr>
            <c:dLblPos val="b"/>
            <c:showLegendKey val="0"/>
            <c:showVal val="0"/>
            <c:showCatName val="0"/>
            <c:showSerName val="1"/>
            <c:showPercent val="0"/>
            <c:showBubbleSize val="0"/>
            <c:showLeaderLines val="0"/>
          </c:dLbls>
          <c:xVal>
            <c:numRef>
              <c:f>Sensitivities!$E$141</c:f>
              <c:numCache>
                <c:formatCode>[$-409]mmmm\ d\,\ yyyy;@</c:formatCode>
                <c:ptCount val="1"/>
                <c:pt idx="0">
                  <c:v>654.5</c:v>
                </c:pt>
              </c:numCache>
            </c:numRef>
          </c:xVal>
          <c:yVal>
            <c:numRef>
              <c:f>Sensitivities!$G$141</c:f>
              <c:numCache>
                <c:formatCode>General</c:formatCode>
                <c:ptCount val="1"/>
                <c:pt idx="0">
                  <c:v>0.58298616045382778</c:v>
                </c:pt>
              </c:numCache>
            </c:numRef>
          </c:yVal>
          <c:smooth val="0"/>
        </c:ser>
        <c:ser>
          <c:idx val="7"/>
          <c:order val="7"/>
          <c:tx>
            <c:strRef>
              <c:f>Sensitivities!$B$142</c:f>
              <c:strCache>
                <c:ptCount val="1"/>
                <c:pt idx="0">
                  <c:v>C-Syrup 
(Sucrosic)</c:v>
                </c:pt>
              </c:strCache>
            </c:strRef>
          </c:tx>
          <c:spPr>
            <a:ln w="19050">
              <a:noFill/>
            </a:ln>
          </c:spPr>
          <c:marker>
            <c:symbol val="none"/>
          </c:marker>
          <c:dLbls>
            <c:dLbl>
              <c:idx val="0"/>
              <c:spPr>
                <a:solidFill>
                  <a:schemeClr val="accent1">
                    <a:lumMod val="40000"/>
                    <a:lumOff val="60000"/>
                  </a:schemeClr>
                </a:solidFill>
              </c:spPr>
              <c:txPr>
                <a:bodyPr/>
                <a:lstStyle/>
                <a:p>
                  <a:pPr>
                    <a:defRPr sz="1200" b="1"/>
                  </a:pPr>
                  <a:endParaRPr lang="en-US"/>
                </a:p>
              </c:txPr>
              <c:dLblPos val="b"/>
              <c:showLegendKey val="0"/>
              <c:showVal val="0"/>
              <c:showCatName val="0"/>
              <c:showSerName val="1"/>
              <c:showPercent val="0"/>
              <c:showBubbleSize val="0"/>
            </c:dLbl>
            <c:txPr>
              <a:bodyPr/>
              <a:lstStyle/>
              <a:p>
                <a:pPr>
                  <a:defRPr sz="1200" b="1"/>
                </a:pPr>
                <a:endParaRPr lang="en-US"/>
              </a:p>
            </c:txPr>
            <c:dLblPos val="b"/>
            <c:showLegendKey val="0"/>
            <c:showVal val="0"/>
            <c:showCatName val="0"/>
            <c:showSerName val="1"/>
            <c:showPercent val="0"/>
            <c:showBubbleSize val="0"/>
            <c:showLeaderLines val="0"/>
          </c:dLbls>
          <c:xVal>
            <c:numRef>
              <c:f>Sensitivities!$E$142</c:f>
              <c:numCache>
                <c:formatCode>[$-409]mmmm\ d\,\ yyyy;@</c:formatCode>
                <c:ptCount val="1"/>
                <c:pt idx="0">
                  <c:v>1428</c:v>
                </c:pt>
              </c:numCache>
            </c:numRef>
          </c:xVal>
          <c:yVal>
            <c:numRef>
              <c:f>Sensitivities!$G$142</c:f>
              <c:numCache>
                <c:formatCode>General</c:formatCode>
                <c:ptCount val="1"/>
                <c:pt idx="0">
                  <c:v>0.56530389137828452</c:v>
                </c:pt>
              </c:numCache>
            </c:numRef>
          </c:yVal>
          <c:smooth val="0"/>
        </c:ser>
        <c:ser>
          <c:idx val="8"/>
          <c:order val="8"/>
          <c:tx>
            <c:strRef>
              <c:f>Sensitivities!$B$143</c:f>
              <c:strCache>
                <c:ptCount val="1"/>
                <c:pt idx="0">
                  <c:v>Sorghum 
(Starch)</c:v>
                </c:pt>
              </c:strCache>
            </c:strRef>
          </c:tx>
          <c:spPr>
            <a:ln w="19050">
              <a:noFill/>
            </a:ln>
          </c:spPr>
          <c:marker>
            <c:symbol val="none"/>
          </c:marker>
          <c:dLbls>
            <c:spPr>
              <a:solidFill>
                <a:srgbClr val="C0504D"/>
              </a:solidFill>
            </c:spPr>
            <c:txPr>
              <a:bodyPr/>
              <a:lstStyle/>
              <a:p>
                <a:pPr>
                  <a:defRPr sz="1200" b="1"/>
                </a:pPr>
                <a:endParaRPr lang="en-US"/>
              </a:p>
            </c:txPr>
            <c:dLblPos val="b"/>
            <c:showLegendKey val="0"/>
            <c:showVal val="0"/>
            <c:showCatName val="0"/>
            <c:showSerName val="1"/>
            <c:showPercent val="0"/>
            <c:showBubbleSize val="0"/>
            <c:showLeaderLines val="0"/>
          </c:dLbls>
          <c:xVal>
            <c:numRef>
              <c:f>Sensitivities!$E$143</c:f>
              <c:numCache>
                <c:formatCode>[$-409]mmmm\ d\,\ yyyy;@</c:formatCode>
                <c:ptCount val="1"/>
                <c:pt idx="0">
                  <c:v>1660</c:v>
                </c:pt>
              </c:numCache>
            </c:numRef>
          </c:xVal>
          <c:yVal>
            <c:numRef>
              <c:f>Sensitivities!$G$143</c:f>
              <c:numCache>
                <c:formatCode>General</c:formatCode>
                <c:ptCount val="1"/>
                <c:pt idx="0">
                  <c:v>0.41077028173209273</c:v>
                </c:pt>
              </c:numCache>
            </c:numRef>
          </c:yVal>
          <c:smooth val="0"/>
        </c:ser>
        <c:ser>
          <c:idx val="9"/>
          <c:order val="9"/>
          <c:tx>
            <c:strRef>
              <c:f>Sensitivities!$B$144</c:f>
              <c:strCache>
                <c:ptCount val="1"/>
                <c:pt idx="0">
                  <c:v>Cane Trash 
(Cellulosic)</c:v>
                </c:pt>
              </c:strCache>
            </c:strRef>
          </c:tx>
          <c:spPr>
            <a:ln w="19050">
              <a:noFill/>
            </a:ln>
          </c:spPr>
          <c:marker>
            <c:symbol val="none"/>
          </c:marker>
          <c:dLbls>
            <c:txPr>
              <a:bodyPr/>
              <a:lstStyle/>
              <a:p>
                <a:pPr>
                  <a:defRPr sz="1200" b="1"/>
                </a:pPr>
                <a:endParaRPr lang="en-US"/>
              </a:p>
            </c:txPr>
            <c:dLblPos val="b"/>
            <c:showLegendKey val="0"/>
            <c:showVal val="0"/>
            <c:showCatName val="0"/>
            <c:showSerName val="1"/>
            <c:showPercent val="0"/>
            <c:showBubbleSize val="0"/>
            <c:showLeaderLines val="0"/>
          </c:dLbls>
          <c:xVal>
            <c:numRef>
              <c:f>Sensitivities!$E$144</c:f>
              <c:numCache>
                <c:formatCode>[$-409]mmmm\ d\,\ yyyy;@</c:formatCode>
                <c:ptCount val="1"/>
                <c:pt idx="0">
                  <c:v>2208</c:v>
                </c:pt>
              </c:numCache>
            </c:numRef>
          </c:xVal>
          <c:yVal>
            <c:numRef>
              <c:f>Sensitivities!$G$144</c:f>
              <c:numCache>
                <c:formatCode>General</c:formatCode>
                <c:ptCount val="1"/>
                <c:pt idx="0">
                  <c:v>0.90413120087724164</c:v>
                </c:pt>
              </c:numCache>
            </c:numRef>
          </c:yVal>
          <c:smooth val="0"/>
        </c:ser>
        <c:ser>
          <c:idx val="10"/>
          <c:order val="10"/>
          <c:tx>
            <c:strRef>
              <c:f>Sensitivities!$B$145</c:f>
              <c:strCache>
                <c:ptCount val="1"/>
                <c:pt idx="0">
                  <c:v>B-Syrup 
(Sucrosic)</c:v>
                </c:pt>
              </c:strCache>
            </c:strRef>
          </c:tx>
          <c:spPr>
            <a:ln w="19050">
              <a:noFill/>
            </a:ln>
          </c:spPr>
          <c:marker>
            <c:symbol val="none"/>
          </c:marker>
          <c:dLbls>
            <c:txPr>
              <a:bodyPr/>
              <a:lstStyle/>
              <a:p>
                <a:pPr>
                  <a:defRPr sz="1200" b="1"/>
                </a:pPr>
                <a:endParaRPr lang="en-US"/>
              </a:p>
            </c:txPr>
            <c:dLblPos val="b"/>
            <c:showLegendKey val="0"/>
            <c:showVal val="0"/>
            <c:showCatName val="0"/>
            <c:showSerName val="1"/>
            <c:showPercent val="0"/>
            <c:showBubbleSize val="0"/>
            <c:showLeaderLines val="0"/>
          </c:dLbls>
          <c:xVal>
            <c:numRef>
              <c:f>Sensitivities!$E$145</c:f>
              <c:numCache>
                <c:formatCode>[$-409]mmmm\ d\,\ yyyy;@</c:formatCode>
                <c:ptCount val="1"/>
                <c:pt idx="0">
                  <c:v>2965.5</c:v>
                </c:pt>
              </c:numCache>
            </c:numRef>
          </c:xVal>
          <c:yVal>
            <c:numRef>
              <c:f>Sensitivities!$G$145</c:f>
              <c:numCache>
                <c:formatCode>General</c:formatCode>
                <c:ptCount val="1"/>
                <c:pt idx="0">
                  <c:v>0.95476238601303987</c:v>
                </c:pt>
              </c:numCache>
            </c:numRef>
          </c:yVal>
          <c:smooth val="0"/>
        </c:ser>
        <c:ser>
          <c:idx val="11"/>
          <c:order val="11"/>
          <c:tx>
            <c:strRef>
              <c:f>Sensitivities!$B$146</c:f>
              <c:strCache>
                <c:ptCount val="1"/>
                <c:pt idx="0">
                  <c:v>Forest Residues 
(Cellulosic)</c:v>
                </c:pt>
              </c:strCache>
            </c:strRef>
          </c:tx>
          <c:spPr>
            <a:ln w="19050">
              <a:noFill/>
            </a:ln>
          </c:spPr>
          <c:marker>
            <c:symbol val="none"/>
          </c:marker>
          <c:dLbls>
            <c:txPr>
              <a:bodyPr/>
              <a:lstStyle/>
              <a:p>
                <a:pPr>
                  <a:defRPr sz="1200" b="1"/>
                </a:pPr>
                <a:endParaRPr lang="en-US"/>
              </a:p>
            </c:txPr>
            <c:dLblPos val="b"/>
            <c:showLegendKey val="0"/>
            <c:showVal val="0"/>
            <c:showCatName val="0"/>
            <c:showSerName val="1"/>
            <c:showPercent val="0"/>
            <c:showBubbleSize val="0"/>
            <c:showLeaderLines val="0"/>
          </c:dLbls>
          <c:xVal>
            <c:numRef>
              <c:f>Sensitivities!$E$146</c:f>
              <c:numCache>
                <c:formatCode>[$-409]mmmm\ d\,\ yyyy;@</c:formatCode>
                <c:ptCount val="1"/>
                <c:pt idx="0">
                  <c:v>3751</c:v>
                </c:pt>
              </c:numCache>
            </c:numRef>
          </c:xVal>
          <c:yVal>
            <c:numRef>
              <c:f>Sensitivities!$G$146</c:f>
              <c:numCache>
                <c:formatCode>General</c:formatCode>
                <c:ptCount val="1"/>
                <c:pt idx="0">
                  <c:v>0.9669703255747959</c:v>
                </c:pt>
              </c:numCache>
            </c:numRef>
          </c:yVal>
          <c:smooth val="0"/>
        </c:ser>
        <c:dLbls>
          <c:showLegendKey val="0"/>
          <c:showVal val="0"/>
          <c:showCatName val="0"/>
          <c:showSerName val="0"/>
          <c:showPercent val="0"/>
          <c:showBubbleSize val="0"/>
        </c:dLbls>
        <c:axId val="199151616"/>
        <c:axId val="199153536"/>
      </c:scatterChart>
      <c:dateAx>
        <c:axId val="199151616"/>
        <c:scaling>
          <c:orientation val="minMax"/>
          <c:max val="4100"/>
        </c:scaling>
        <c:delete val="0"/>
        <c:axPos val="b"/>
        <c:title>
          <c:tx>
            <c:rich>
              <a:bodyPr/>
              <a:lstStyle/>
              <a:p>
                <a:pPr>
                  <a:defRPr sz="1200"/>
                </a:pPr>
                <a:r>
                  <a:rPr lang="en-US" sz="1200"/>
                  <a:t>Ethanol Production Capacity (ML)</a:t>
                </a:r>
              </a:p>
            </c:rich>
          </c:tx>
          <c:layout>
            <c:manualLayout>
              <c:xMode val="edge"/>
              <c:yMode val="edge"/>
              <c:x val="0.3774548489131167"/>
              <c:y val="0.96324268915204492"/>
            </c:manualLayout>
          </c:layout>
          <c:overlay val="0"/>
        </c:title>
        <c:numFmt formatCode="#,##0" sourceLinked="0"/>
        <c:majorTickMark val="cross"/>
        <c:minorTickMark val="out"/>
        <c:tickLblPos val="nextTo"/>
        <c:txPr>
          <a:bodyPr/>
          <a:lstStyle/>
          <a:p>
            <a:pPr>
              <a:defRPr sz="1200"/>
            </a:pPr>
            <a:endParaRPr lang="en-US"/>
          </a:p>
        </c:txPr>
        <c:crossAx val="199153536"/>
        <c:crosses val="autoZero"/>
        <c:auto val="0"/>
        <c:lblOffset val="100"/>
        <c:baseTimeUnit val="days"/>
        <c:majorUnit val="500"/>
        <c:majorTimeUnit val="days"/>
        <c:minorUnit val="100"/>
        <c:minorTimeUnit val="days"/>
      </c:dateAx>
      <c:valAx>
        <c:axId val="199153536"/>
        <c:scaling>
          <c:orientation val="minMax"/>
          <c:max val="1.05"/>
          <c:min val="0"/>
        </c:scaling>
        <c:delete val="0"/>
        <c:axPos val="l"/>
        <c:minorGridlines>
          <c:spPr>
            <a:ln>
              <a:solidFill>
                <a:schemeClr val="bg1">
                  <a:lumMod val="85000"/>
                </a:schemeClr>
              </a:solidFill>
            </a:ln>
          </c:spPr>
        </c:minorGridlines>
        <c:title>
          <c:tx>
            <c:rich>
              <a:bodyPr rot="0" vert="horz"/>
              <a:lstStyle/>
              <a:p>
                <a:pPr>
                  <a:defRPr sz="1200"/>
                </a:pPr>
                <a:r>
                  <a:rPr lang="en-US" sz="1200"/>
                  <a:t>$/L ($real)</a:t>
                </a:r>
              </a:p>
            </c:rich>
          </c:tx>
          <c:layout>
            <c:manualLayout>
              <c:xMode val="edge"/>
              <c:yMode val="edge"/>
              <c:x val="1.0392983742818713E-3"/>
              <c:y val="4.8277777777777781E-2"/>
            </c:manualLayout>
          </c:layout>
          <c:overlay val="0"/>
        </c:title>
        <c:numFmt formatCode="&quot;$&quot;#,##0.00" sourceLinked="0"/>
        <c:majorTickMark val="out"/>
        <c:minorTickMark val="in"/>
        <c:tickLblPos val="nextTo"/>
        <c:txPr>
          <a:bodyPr/>
          <a:lstStyle/>
          <a:p>
            <a:pPr>
              <a:defRPr sz="1200"/>
            </a:pPr>
            <a:endParaRPr lang="en-US"/>
          </a:p>
        </c:txPr>
        <c:crossAx val="199151616"/>
        <c:crosses val="autoZero"/>
        <c:crossBetween val="between"/>
        <c:majorUnit val="0.2"/>
        <c:minorUnit val="0.1"/>
      </c:valAx>
    </c:plotArea>
    <c:plotVisOnly val="1"/>
    <c:dispBlanksAs val="gap"/>
    <c:showDLblsOverMax val="0"/>
  </c:chart>
  <c:spPr>
    <a:solidFill>
      <a:schemeClr val="bg1"/>
    </a:solid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Assumptions!$U$7</c:f>
          <c:strCache>
            <c:ptCount val="1"/>
            <c:pt idx="0">
              <c:v>Levelised Cost of Delivered Ethanol by Plant Size, using 6.9% post-tax real WACC</c:v>
            </c:pt>
          </c:strCache>
        </c:strRef>
      </c:tx>
      <c:layout>
        <c:manualLayout>
          <c:xMode val="edge"/>
          <c:yMode val="edge"/>
          <c:x val="0.20430090854027863"/>
          <c:y val="6.2992125984251968E-3"/>
        </c:manualLayout>
      </c:layout>
      <c:overlay val="1"/>
      <c:spPr>
        <a:solidFill>
          <a:schemeClr val="bg1"/>
        </a:solidFill>
      </c:spPr>
      <c:txPr>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4413298337707781E-2"/>
          <c:y val="9.5402649471965612E-2"/>
          <c:w val="0.8945075711689886"/>
          <c:h val="0.82596151858970379"/>
        </c:manualLayout>
      </c:layout>
      <c:scatterChart>
        <c:scatterStyle val="lineMarker"/>
        <c:varyColors val="0"/>
        <c:ser>
          <c:idx val="0"/>
          <c:order val="0"/>
          <c:tx>
            <c:strRef>
              <c:f>Sensitivities!$B$50</c:f>
              <c:strCache>
                <c:ptCount val="1"/>
                <c:pt idx="0">
                  <c:v>C-Syrup (Sucrosic)</c:v>
                </c:pt>
              </c:strCache>
            </c:strRef>
          </c:tx>
          <c:spPr>
            <a:ln w="19050">
              <a:noFill/>
            </a:ln>
          </c:spPr>
          <c:dLbls>
            <c:dLbl>
              <c:idx val="0"/>
              <c:delete val="1"/>
            </c:dLbl>
            <c:dLbl>
              <c:idx val="1"/>
              <c:delete val="1"/>
            </c:dLbl>
            <c:dLbl>
              <c:idx val="2"/>
              <c:delete val="1"/>
            </c:dLbl>
            <c:dLbl>
              <c:idx val="3"/>
              <c:layout>
                <c:manualLayout>
                  <c:x val="-0.16624957264957266"/>
                  <c:y val="2.0997375328083989E-3"/>
                </c:manualLayout>
              </c:layout>
              <c:spPr>
                <a:solidFill>
                  <a:schemeClr val="accent1">
                    <a:lumMod val="60000"/>
                    <a:lumOff val="40000"/>
                  </a:schemeClr>
                </a:solidFill>
              </c:spPr>
              <c:txPr>
                <a:bodyPr/>
                <a:lstStyle/>
                <a:p>
                  <a:pPr>
                    <a:defRPr b="1"/>
                  </a:pPr>
                  <a:endParaRPr lang="en-US"/>
                </a:p>
              </c:txPr>
              <c:dLblPos val="r"/>
              <c:showLegendKey val="0"/>
              <c:showVal val="0"/>
              <c:showCatName val="0"/>
              <c:showSerName val="1"/>
              <c:showPercent val="0"/>
              <c:showBubbleSize val="0"/>
            </c:dLbl>
            <c:dLbl>
              <c:idx val="4"/>
              <c:delete val="1"/>
            </c:dLbl>
            <c:dLbl>
              <c:idx val="5"/>
              <c:delete val="1"/>
            </c:dLbl>
            <c:txPr>
              <a:bodyPr/>
              <a:lstStyle/>
              <a:p>
                <a:pPr>
                  <a:defRPr b="1"/>
                </a:pPr>
                <a:endParaRPr lang="en-US"/>
              </a:p>
            </c:txPr>
            <c:showLegendKey val="0"/>
            <c:showVal val="0"/>
            <c:showCatName val="0"/>
            <c:showSerName val="1"/>
            <c:showPercent val="0"/>
            <c:showBubbleSize val="0"/>
            <c:showLeaderLines val="0"/>
          </c:dLbls>
          <c:trendline>
            <c:spPr>
              <a:ln w="38100" cmpd="sng">
                <a:solidFill>
                  <a:schemeClr val="accent1">
                    <a:lumMod val="60000"/>
                    <a:lumOff val="40000"/>
                  </a:schemeClr>
                </a:solidFill>
                <a:prstDash val="dash"/>
              </a:ln>
            </c:spPr>
            <c:trendlineType val="poly"/>
            <c:order val="5"/>
            <c:dispRSqr val="0"/>
            <c:dispEq val="0"/>
          </c:trendline>
          <c:xVal>
            <c:numRef>
              <c:f>Sensitivities!$E$50:$J$50</c:f>
              <c:numCache>
                <c:formatCode>General</c:formatCode>
                <c:ptCount val="6"/>
                <c:pt idx="0">
                  <c:v>30</c:v>
                </c:pt>
                <c:pt idx="1">
                  <c:v>50</c:v>
                </c:pt>
                <c:pt idx="2">
                  <c:v>70</c:v>
                </c:pt>
                <c:pt idx="3" formatCode="#,##0.00_);[Red]\(#,##0.00\)">
                  <c:v>90</c:v>
                </c:pt>
                <c:pt idx="4">
                  <c:v>110</c:v>
                </c:pt>
                <c:pt idx="5">
                  <c:v>130</c:v>
                </c:pt>
              </c:numCache>
            </c:numRef>
          </c:xVal>
          <c:yVal>
            <c:numRef>
              <c:f>Sensitivities!$E$51:$J$51</c:f>
              <c:numCache>
                <c:formatCode>General</c:formatCode>
                <c:ptCount val="6"/>
                <c:pt idx="0">
                  <c:v>1.0094964592541804</c:v>
                </c:pt>
                <c:pt idx="1">
                  <c:v>0.84954539676821117</c:v>
                </c:pt>
                <c:pt idx="2">
                  <c:v>0.7759352210704229</c:v>
                </c:pt>
                <c:pt idx="3" formatCode="#,##0.00_);[Red]\(#,##0.00\)">
                  <c:v>0.7325891659610454</c:v>
                </c:pt>
                <c:pt idx="4">
                  <c:v>0.70358562761135268</c:v>
                </c:pt>
                <c:pt idx="5">
                  <c:v>0.68259224302225219</c:v>
                </c:pt>
              </c:numCache>
            </c:numRef>
          </c:yVal>
          <c:smooth val="0"/>
        </c:ser>
        <c:ser>
          <c:idx val="1"/>
          <c:order val="1"/>
          <c:tx>
            <c:strRef>
              <c:f>Sensitivities!$B$54</c:f>
              <c:strCache>
                <c:ptCount val="1"/>
                <c:pt idx="0">
                  <c:v>B-Syrup (Sucrosic)</c:v>
                </c:pt>
              </c:strCache>
            </c:strRef>
          </c:tx>
          <c:spPr>
            <a:ln w="19050">
              <a:noFill/>
            </a:ln>
          </c:spPr>
          <c:marker>
            <c:symbol val="diamond"/>
            <c:size val="5"/>
            <c:spPr>
              <a:solidFill>
                <a:schemeClr val="accent5">
                  <a:lumMod val="50000"/>
                </a:schemeClr>
              </a:solidFill>
              <a:ln>
                <a:solidFill>
                  <a:schemeClr val="accent5">
                    <a:lumMod val="50000"/>
                  </a:schemeClr>
                </a:solidFill>
              </a:ln>
            </c:spPr>
          </c:marker>
          <c:dLbls>
            <c:dLbl>
              <c:idx val="0"/>
              <c:delete val="1"/>
            </c:dLbl>
            <c:dLbl>
              <c:idx val="1"/>
              <c:delete val="1"/>
            </c:dLbl>
            <c:dLbl>
              <c:idx val="2"/>
              <c:delete val="1"/>
            </c:dLbl>
            <c:dLbl>
              <c:idx val="3"/>
              <c:delete val="1"/>
            </c:dLbl>
            <c:dLbl>
              <c:idx val="4"/>
              <c:delete val="1"/>
            </c:dLbl>
            <c:dLbl>
              <c:idx val="5"/>
              <c:layout>
                <c:manualLayout>
                  <c:x val="-1.094017094017094E-2"/>
                  <c:y val="2.3097112860892388E-2"/>
                </c:manualLayout>
              </c:layout>
              <c:dLblPos val="r"/>
              <c:showLegendKey val="0"/>
              <c:showVal val="0"/>
              <c:showCatName val="0"/>
              <c:showSerName val="1"/>
              <c:showPercent val="0"/>
              <c:showBubbleSize val="0"/>
            </c:dLbl>
            <c:spPr>
              <a:solidFill>
                <a:schemeClr val="accent5">
                  <a:lumMod val="50000"/>
                </a:schemeClr>
              </a:solidFill>
            </c:spPr>
            <c:txPr>
              <a:bodyPr/>
              <a:lstStyle/>
              <a:p>
                <a:pPr>
                  <a:defRPr b="1">
                    <a:solidFill>
                      <a:schemeClr val="bg1"/>
                    </a:solidFill>
                  </a:defRPr>
                </a:pPr>
                <a:endParaRPr lang="en-US"/>
              </a:p>
            </c:txPr>
            <c:dLblPos val="t"/>
            <c:showLegendKey val="0"/>
            <c:showVal val="0"/>
            <c:showCatName val="0"/>
            <c:showSerName val="1"/>
            <c:showPercent val="0"/>
            <c:showBubbleSize val="0"/>
            <c:showLeaderLines val="0"/>
          </c:dLbls>
          <c:trendline>
            <c:spPr>
              <a:ln w="38100" cmpd="sng">
                <a:solidFill>
                  <a:schemeClr val="accent5">
                    <a:lumMod val="50000"/>
                  </a:schemeClr>
                </a:solidFill>
                <a:prstDash val="dash"/>
              </a:ln>
            </c:spPr>
            <c:trendlineType val="poly"/>
            <c:order val="4"/>
            <c:dispRSqr val="0"/>
            <c:dispEq val="0"/>
          </c:trendline>
          <c:xVal>
            <c:numRef>
              <c:f>Sensitivities!$E$54:$J$54</c:f>
              <c:numCache>
                <c:formatCode>General</c:formatCode>
                <c:ptCount val="6"/>
                <c:pt idx="0">
                  <c:v>100</c:v>
                </c:pt>
                <c:pt idx="1">
                  <c:v>130</c:v>
                </c:pt>
                <c:pt idx="2">
                  <c:v>150</c:v>
                </c:pt>
                <c:pt idx="3">
                  <c:v>170</c:v>
                </c:pt>
                <c:pt idx="4">
                  <c:v>175</c:v>
                </c:pt>
                <c:pt idx="5" formatCode="#,##0.00_);[Red]\(#,##0.00\)">
                  <c:v>200</c:v>
                </c:pt>
              </c:numCache>
            </c:numRef>
          </c:xVal>
          <c:yVal>
            <c:numRef>
              <c:f>Sensitivities!$E$55:$J$55</c:f>
              <c:numCache>
                <c:formatCode>General</c:formatCode>
                <c:ptCount val="6"/>
                <c:pt idx="0">
                  <c:v>1.0133352923374939</c:v>
                </c:pt>
                <c:pt idx="1">
                  <c:v>0.97912258258838913</c:v>
                </c:pt>
                <c:pt idx="2">
                  <c:v>0.96309575079551712</c:v>
                </c:pt>
                <c:pt idx="3" formatCode="#,##0.00_);[Red]\(#,##0.00\)">
                  <c:v>0.95038054513539794</c:v>
                </c:pt>
                <c:pt idx="4">
                  <c:v>0.94759467069484549</c:v>
                </c:pt>
                <c:pt idx="5">
                  <c:v>0.9354722485002287</c:v>
                </c:pt>
              </c:numCache>
            </c:numRef>
          </c:yVal>
          <c:smooth val="0"/>
        </c:ser>
        <c:ser>
          <c:idx val="2"/>
          <c:order val="2"/>
          <c:tx>
            <c:strRef>
              <c:f>Sensitivities!$B$58</c:f>
              <c:strCache>
                <c:ptCount val="1"/>
                <c:pt idx="0">
                  <c:v>Forest Residues (Cellulosic)</c:v>
                </c:pt>
              </c:strCache>
            </c:strRef>
          </c:tx>
          <c:spPr>
            <a:ln w="19050">
              <a:noFill/>
            </a:ln>
          </c:spPr>
          <c:marker>
            <c:symbol val="diamond"/>
            <c:size val="5"/>
            <c:spPr>
              <a:solidFill>
                <a:schemeClr val="accent6">
                  <a:lumMod val="50000"/>
                </a:schemeClr>
              </a:solidFill>
              <a:ln>
                <a:solidFill>
                  <a:schemeClr val="accent6">
                    <a:lumMod val="50000"/>
                  </a:schemeClr>
                </a:solidFill>
              </a:ln>
            </c:spPr>
          </c:marker>
          <c:dLbls>
            <c:dLbl>
              <c:idx val="0"/>
              <c:delete val="1"/>
            </c:dLbl>
            <c:dLbl>
              <c:idx val="1"/>
              <c:delete val="1"/>
            </c:dLbl>
            <c:dLbl>
              <c:idx val="2"/>
              <c:delete val="1"/>
            </c:dLbl>
            <c:dLbl>
              <c:idx val="3"/>
              <c:delete val="1"/>
            </c:dLbl>
            <c:dLbl>
              <c:idx val="4"/>
              <c:delete val="1"/>
            </c:dLbl>
            <c:dLbl>
              <c:idx val="5"/>
              <c:layout>
                <c:manualLayout>
                  <c:x val="-5.9748516050878255E-2"/>
                  <c:y val="5.826771653543307E-2"/>
                </c:manualLayout>
              </c:layout>
              <c:tx>
                <c:rich>
                  <a:bodyPr/>
                  <a:lstStyle/>
                  <a:p>
                    <a:pPr>
                      <a:defRPr/>
                    </a:pPr>
                    <a:r>
                      <a:rPr lang="en-US" b="1">
                        <a:solidFill>
                          <a:schemeClr val="bg1"/>
                        </a:solidFill>
                      </a:rPr>
                      <a:t>Forest Residues (Cellulosic)</a:t>
                    </a:r>
                  </a:p>
                </c:rich>
              </c:tx>
              <c:spPr>
                <a:solidFill>
                  <a:schemeClr val="accent6">
                    <a:lumMod val="50000"/>
                  </a:schemeClr>
                </a:solidFill>
                <a:ln>
                  <a:solidFill>
                    <a:schemeClr val="accent6">
                      <a:lumMod val="50000"/>
                    </a:schemeClr>
                  </a:solidFill>
                </a:ln>
              </c:spPr>
              <c:dLblPos val="r"/>
              <c:showLegendKey val="0"/>
              <c:showVal val="0"/>
              <c:showCatName val="0"/>
              <c:showSerName val="1"/>
              <c:showPercent val="0"/>
              <c:showBubbleSize val="0"/>
            </c:dLbl>
            <c:spPr>
              <a:ln>
                <a:solidFill>
                  <a:schemeClr val="accent6">
                    <a:lumMod val="50000"/>
                  </a:schemeClr>
                </a:solidFill>
              </a:ln>
            </c:spPr>
            <c:showLegendKey val="0"/>
            <c:showVal val="0"/>
            <c:showCatName val="0"/>
            <c:showSerName val="1"/>
            <c:showPercent val="0"/>
            <c:showBubbleSize val="0"/>
            <c:showLeaderLines val="0"/>
          </c:dLbls>
          <c:trendline>
            <c:spPr>
              <a:ln w="38100" cmpd="sng">
                <a:solidFill>
                  <a:schemeClr val="accent6">
                    <a:lumMod val="50000"/>
                  </a:schemeClr>
                </a:solidFill>
                <a:prstDash val="dash"/>
              </a:ln>
            </c:spPr>
            <c:trendlineType val="poly"/>
            <c:order val="4"/>
            <c:dispRSqr val="0"/>
            <c:dispEq val="0"/>
          </c:trendline>
          <c:xVal>
            <c:numRef>
              <c:f>Sensitivities!$E$58:$J$58</c:f>
              <c:numCache>
                <c:formatCode>0</c:formatCode>
                <c:ptCount val="6"/>
                <c:pt idx="0">
                  <c:v>100</c:v>
                </c:pt>
                <c:pt idx="1">
                  <c:v>125</c:v>
                </c:pt>
                <c:pt idx="2">
                  <c:v>150</c:v>
                </c:pt>
                <c:pt idx="3">
                  <c:v>200</c:v>
                </c:pt>
                <c:pt idx="4">
                  <c:v>250</c:v>
                </c:pt>
                <c:pt idx="5">
                  <c:v>300</c:v>
                </c:pt>
              </c:numCache>
            </c:numRef>
          </c:xVal>
          <c:yVal>
            <c:numRef>
              <c:f>Sensitivities!$E$59:$J$59</c:f>
              <c:numCache>
                <c:formatCode>General</c:formatCode>
                <c:ptCount val="6"/>
                <c:pt idx="0">
                  <c:v>1.0561136602781689</c:v>
                </c:pt>
                <c:pt idx="1">
                  <c:v>1.0103710574579385</c:v>
                </c:pt>
                <c:pt idx="2">
                  <c:v>0.97717040347488759</c:v>
                </c:pt>
                <c:pt idx="3" formatCode="#,##0.00_);[Red]\(#,##0.00\)">
                  <c:v>0.93121527502252044</c:v>
                </c:pt>
                <c:pt idx="4">
                  <c:v>0.90016202084511954</c:v>
                </c:pt>
                <c:pt idx="5">
                  <c:v>0.87732232712612102</c:v>
                </c:pt>
              </c:numCache>
            </c:numRef>
          </c:yVal>
          <c:smooth val="0"/>
        </c:ser>
        <c:ser>
          <c:idx val="3"/>
          <c:order val="3"/>
          <c:tx>
            <c:strRef>
              <c:f>Sensitivities!$B$62</c:f>
              <c:strCache>
                <c:ptCount val="1"/>
                <c:pt idx="0">
                  <c:v>Wheat Standalone (Starch)</c:v>
                </c:pt>
              </c:strCache>
            </c:strRef>
          </c:tx>
          <c:spPr>
            <a:ln w="19050">
              <a:noFill/>
            </a:ln>
          </c:spPr>
          <c:marker>
            <c:symbol val="diamond"/>
            <c:size val="5"/>
            <c:spPr>
              <a:solidFill>
                <a:schemeClr val="accent2">
                  <a:lumMod val="75000"/>
                </a:schemeClr>
              </a:solidFill>
              <a:ln>
                <a:solidFill>
                  <a:schemeClr val="accent2">
                    <a:lumMod val="75000"/>
                  </a:schemeClr>
                </a:solidFill>
              </a:ln>
            </c:spPr>
          </c:marker>
          <c:dLbls>
            <c:dLbl>
              <c:idx val="3"/>
              <c:layout>
                <c:manualLayout>
                  <c:x val="-3.6923076923076927E-2"/>
                  <c:y val="3.937007874015748E-2"/>
                </c:manualLayout>
              </c:layout>
              <c:tx>
                <c:rich>
                  <a:bodyPr/>
                  <a:lstStyle/>
                  <a:p>
                    <a:pPr>
                      <a:defRPr/>
                    </a:pPr>
                    <a:r>
                      <a:rPr lang="en-US" b="1">
                        <a:solidFill>
                          <a:schemeClr val="bg1"/>
                        </a:solidFill>
                      </a:rPr>
                      <a:t>Wheat Standalone (Starch)</a:t>
                    </a:r>
                  </a:p>
                </c:rich>
              </c:tx>
              <c:spPr>
                <a:solidFill>
                  <a:schemeClr val="accent2">
                    <a:lumMod val="75000"/>
                  </a:schemeClr>
                </a:solidFill>
                <a:ln>
                  <a:solidFill>
                    <a:schemeClr val="accent2">
                      <a:lumMod val="75000"/>
                    </a:schemeClr>
                  </a:solidFill>
                </a:ln>
              </c:spPr>
              <c:dLblPos val="r"/>
              <c:showLegendKey val="0"/>
              <c:showVal val="0"/>
              <c:showCatName val="0"/>
              <c:showSerName val="1"/>
              <c:showPercent val="0"/>
              <c:showBubbleSize val="0"/>
            </c:dLbl>
            <c:spPr>
              <a:ln>
                <a:solidFill>
                  <a:schemeClr val="accent2">
                    <a:lumMod val="75000"/>
                  </a:schemeClr>
                </a:solidFill>
              </a:ln>
            </c:spPr>
            <c:showLegendKey val="0"/>
            <c:showVal val="0"/>
            <c:showCatName val="0"/>
            <c:showSerName val="0"/>
            <c:showPercent val="0"/>
            <c:showBubbleSize val="0"/>
          </c:dLbls>
          <c:trendline>
            <c:spPr>
              <a:ln w="38100">
                <a:solidFill>
                  <a:schemeClr val="accent2">
                    <a:lumMod val="75000"/>
                  </a:schemeClr>
                </a:solidFill>
                <a:prstDash val="dash"/>
              </a:ln>
            </c:spPr>
            <c:trendlineType val="poly"/>
            <c:order val="4"/>
            <c:dispRSqr val="0"/>
            <c:dispEq val="0"/>
          </c:trendline>
          <c:xVal>
            <c:numRef>
              <c:f>Sensitivities!$E$62:$J$62</c:f>
              <c:numCache>
                <c:formatCode>0</c:formatCode>
                <c:ptCount val="6"/>
                <c:pt idx="0">
                  <c:v>100</c:v>
                </c:pt>
                <c:pt idx="1">
                  <c:v>177</c:v>
                </c:pt>
                <c:pt idx="2">
                  <c:v>202</c:v>
                </c:pt>
                <c:pt idx="3">
                  <c:v>305</c:v>
                </c:pt>
                <c:pt idx="4">
                  <c:v>309</c:v>
                </c:pt>
                <c:pt idx="5">
                  <c:v>316</c:v>
                </c:pt>
              </c:numCache>
            </c:numRef>
          </c:xVal>
          <c:yVal>
            <c:numRef>
              <c:f>Sensitivities!$E$63:$J$63</c:f>
              <c:numCache>
                <c:formatCode>General</c:formatCode>
                <c:ptCount val="6"/>
                <c:pt idx="0">
                  <c:v>0.68187109818006619</c:v>
                </c:pt>
                <c:pt idx="1">
                  <c:v>0.61579535972582167</c:v>
                </c:pt>
                <c:pt idx="2">
                  <c:v>0.60398337709204364</c:v>
                </c:pt>
                <c:pt idx="3" formatCode="#,##0.00_);[Red]\(#,##0.00\)">
                  <c:v>0.57323521242263276</c:v>
                </c:pt>
                <c:pt idx="4">
                  <c:v>0.57239172471548772</c:v>
                </c:pt>
                <c:pt idx="5">
                  <c:v>0.57095784956964746</c:v>
                </c:pt>
              </c:numCache>
            </c:numRef>
          </c:yVal>
          <c:smooth val="0"/>
        </c:ser>
        <c:ser>
          <c:idx val="4"/>
          <c:order val="4"/>
          <c:tx>
            <c:strRef>
              <c:f>Sensitivities!$B$56</c:f>
              <c:strCache>
                <c:ptCount val="1"/>
                <c:pt idx="0">
                  <c:v>Sorghum (Starch)</c:v>
                </c:pt>
              </c:strCache>
            </c:strRef>
          </c:tx>
          <c:spPr>
            <a:ln w="19050">
              <a:noFill/>
            </a:ln>
          </c:spPr>
          <c:marker>
            <c:symbol val="diamond"/>
            <c:size val="5"/>
            <c:spPr>
              <a:solidFill>
                <a:srgbClr val="C00000"/>
              </a:solidFill>
              <a:ln>
                <a:solidFill>
                  <a:srgbClr val="C00000"/>
                </a:solidFill>
              </a:ln>
            </c:spPr>
          </c:marker>
          <c:dPt>
            <c:idx val="0"/>
            <c:bubble3D val="0"/>
          </c:dPt>
          <c:dLbls>
            <c:dLbl>
              <c:idx val="0"/>
              <c:delete val="1"/>
            </c:dLbl>
            <c:dLbl>
              <c:idx val="1"/>
              <c:delete val="1"/>
            </c:dLbl>
            <c:dLbl>
              <c:idx val="2"/>
              <c:delete val="1"/>
            </c:dLbl>
            <c:dLbl>
              <c:idx val="3"/>
              <c:layout>
                <c:manualLayout>
                  <c:x val="2.5982798304058148E-2"/>
                  <c:y val="-8.3989501312335957E-3"/>
                </c:manualLayout>
              </c:layout>
              <c:dLblPos val="r"/>
              <c:showLegendKey val="0"/>
              <c:showVal val="0"/>
              <c:showCatName val="0"/>
              <c:showSerName val="1"/>
              <c:showPercent val="0"/>
              <c:showBubbleSize val="0"/>
            </c:dLbl>
            <c:dLbl>
              <c:idx val="4"/>
              <c:delete val="1"/>
            </c:dLbl>
            <c:dLbl>
              <c:idx val="5"/>
              <c:delete val="1"/>
            </c:dLbl>
            <c:spPr>
              <a:solidFill>
                <a:srgbClr val="C00000"/>
              </a:solidFill>
              <a:ln>
                <a:solidFill>
                  <a:srgbClr val="C00000"/>
                </a:solidFill>
              </a:ln>
            </c:spPr>
            <c:txPr>
              <a:bodyPr/>
              <a:lstStyle/>
              <a:p>
                <a:pPr>
                  <a:defRPr b="1">
                    <a:solidFill>
                      <a:schemeClr val="bg1"/>
                    </a:solidFill>
                  </a:defRPr>
                </a:pPr>
                <a:endParaRPr lang="en-US"/>
              </a:p>
            </c:txPr>
            <c:dLblPos val="r"/>
            <c:showLegendKey val="0"/>
            <c:showVal val="0"/>
            <c:showCatName val="0"/>
            <c:showSerName val="1"/>
            <c:showPercent val="0"/>
            <c:showBubbleSize val="0"/>
            <c:showLeaderLines val="0"/>
          </c:dLbls>
          <c:trendline>
            <c:spPr>
              <a:ln w="38100">
                <a:solidFill>
                  <a:srgbClr val="C00000"/>
                </a:solidFill>
                <a:prstDash val="dash"/>
              </a:ln>
            </c:spPr>
            <c:trendlineType val="poly"/>
            <c:order val="4"/>
            <c:dispRSqr val="0"/>
            <c:dispEq val="0"/>
          </c:trendline>
          <c:xVal>
            <c:numRef>
              <c:f>Sensitivities!$E$56:$J$56</c:f>
              <c:numCache>
                <c:formatCode>General</c:formatCode>
                <c:ptCount val="6"/>
                <c:pt idx="0">
                  <c:v>76</c:v>
                </c:pt>
                <c:pt idx="1">
                  <c:v>60</c:v>
                </c:pt>
                <c:pt idx="2">
                  <c:v>90</c:v>
                </c:pt>
                <c:pt idx="3">
                  <c:v>100</c:v>
                </c:pt>
                <c:pt idx="4">
                  <c:v>120</c:v>
                </c:pt>
                <c:pt idx="5">
                  <c:v>140</c:v>
                </c:pt>
              </c:numCache>
            </c:numRef>
          </c:xVal>
          <c:yVal>
            <c:numRef>
              <c:f>Sensitivities!$E$57:$J$57</c:f>
              <c:numCache>
                <c:formatCode>General</c:formatCode>
                <c:ptCount val="6"/>
                <c:pt idx="0">
                  <c:v>0.82028502267109193</c:v>
                </c:pt>
                <c:pt idx="1">
                  <c:v>0.87579669985495201</c:v>
                </c:pt>
                <c:pt idx="2">
                  <c:v>0.78643004031784236</c:v>
                </c:pt>
                <c:pt idx="3">
                  <c:v>0.76744606237382851</c:v>
                </c:pt>
                <c:pt idx="4">
                  <c:v>0.73794173243123151</c:v>
                </c:pt>
                <c:pt idx="5">
                  <c:v>0.71590370599185094</c:v>
                </c:pt>
              </c:numCache>
            </c:numRef>
          </c:yVal>
          <c:smooth val="0"/>
        </c:ser>
        <c:ser>
          <c:idx val="5"/>
          <c:order val="5"/>
          <c:tx>
            <c:strRef>
              <c:f>Sensitivities!$B$64</c:f>
              <c:strCache>
                <c:ptCount val="1"/>
                <c:pt idx="0">
                  <c:v>Cane trash (Cellulosic)</c:v>
                </c:pt>
              </c:strCache>
            </c:strRef>
          </c:tx>
          <c:spPr>
            <a:ln w="19050">
              <a:noFill/>
            </a:ln>
          </c:spPr>
          <c:marker>
            <c:symbol val="diamond"/>
            <c:size val="5"/>
            <c:spPr>
              <a:solidFill>
                <a:schemeClr val="accent6">
                  <a:lumMod val="60000"/>
                  <a:lumOff val="40000"/>
                </a:schemeClr>
              </a:solidFill>
              <a:ln>
                <a:solidFill>
                  <a:schemeClr val="accent6">
                    <a:lumMod val="60000"/>
                    <a:lumOff val="40000"/>
                  </a:schemeClr>
                </a:solidFill>
              </a:ln>
            </c:spPr>
          </c:marker>
          <c:dLbls>
            <c:dLbl>
              <c:idx val="0"/>
              <c:delete val="1"/>
            </c:dLbl>
            <c:dLbl>
              <c:idx val="1"/>
              <c:delete val="1"/>
            </c:dLbl>
            <c:dLbl>
              <c:idx val="2"/>
              <c:delete val="1"/>
            </c:dLbl>
            <c:dLbl>
              <c:idx val="3"/>
              <c:layout>
                <c:manualLayout>
                  <c:x val="0.12218232720909886"/>
                  <c:y val="-9.7102444871556406E-2"/>
                </c:manualLayout>
              </c:layout>
              <c:spPr>
                <a:solidFill>
                  <a:schemeClr val="accent6">
                    <a:lumMod val="60000"/>
                    <a:lumOff val="40000"/>
                  </a:schemeClr>
                </a:solidFill>
              </c:spPr>
              <c:txPr>
                <a:bodyPr/>
                <a:lstStyle/>
                <a:p>
                  <a:pPr>
                    <a:defRPr b="1"/>
                  </a:pPr>
                  <a:endParaRPr lang="en-US"/>
                </a:p>
              </c:txPr>
              <c:dLblPos val="r"/>
              <c:showLegendKey val="0"/>
              <c:showVal val="0"/>
              <c:showCatName val="0"/>
              <c:showSerName val="1"/>
              <c:showPercent val="0"/>
              <c:showBubbleSize val="0"/>
            </c:dLbl>
            <c:dLbl>
              <c:idx val="4"/>
              <c:delete val="1"/>
            </c:dLbl>
            <c:dLbl>
              <c:idx val="5"/>
              <c:delete val="1"/>
            </c:dLbl>
            <c:txPr>
              <a:bodyPr/>
              <a:lstStyle/>
              <a:p>
                <a:pPr>
                  <a:defRPr b="1"/>
                </a:pPr>
                <a:endParaRPr lang="en-US"/>
              </a:p>
            </c:txPr>
            <c:dLblPos val="l"/>
            <c:showLegendKey val="0"/>
            <c:showVal val="0"/>
            <c:showCatName val="0"/>
            <c:showSerName val="1"/>
            <c:showPercent val="0"/>
            <c:showBubbleSize val="0"/>
            <c:showLeaderLines val="0"/>
          </c:dLbls>
          <c:trendline>
            <c:spPr>
              <a:ln w="34925">
                <a:solidFill>
                  <a:schemeClr val="accent6">
                    <a:lumMod val="60000"/>
                    <a:lumOff val="40000"/>
                  </a:schemeClr>
                </a:solidFill>
                <a:prstDash val="dash"/>
              </a:ln>
            </c:spPr>
            <c:trendlineType val="poly"/>
            <c:order val="4"/>
            <c:dispRSqr val="0"/>
            <c:dispEq val="0"/>
          </c:trendline>
          <c:xVal>
            <c:numRef>
              <c:f>Sensitivities!$E$64:$J$64</c:f>
              <c:numCache>
                <c:formatCode>#,##0_);[Red]\(#,##0\)</c:formatCode>
                <c:ptCount val="6"/>
                <c:pt idx="0">
                  <c:v>100</c:v>
                </c:pt>
                <c:pt idx="1">
                  <c:v>125</c:v>
                </c:pt>
                <c:pt idx="2">
                  <c:v>150</c:v>
                </c:pt>
                <c:pt idx="3">
                  <c:v>200</c:v>
                </c:pt>
                <c:pt idx="4">
                  <c:v>250</c:v>
                </c:pt>
                <c:pt idx="5">
                  <c:v>300</c:v>
                </c:pt>
              </c:numCache>
            </c:numRef>
          </c:xVal>
          <c:yVal>
            <c:numRef>
              <c:f>Sensitivities!$E$65:$J$65</c:f>
              <c:numCache>
                <c:formatCode>General</c:formatCode>
                <c:ptCount val="6"/>
                <c:pt idx="0">
                  <c:v>1.0447988685991174</c:v>
                </c:pt>
                <c:pt idx="1">
                  <c:v>0.99852380522485373</c:v>
                </c:pt>
                <c:pt idx="2">
                  <c:v>0.96491710921748119</c:v>
                </c:pt>
                <c:pt idx="3" formatCode="#,##0.00_);[Red]\(#,##0.00\)">
                  <c:v>0.91837035246227527</c:v>
                </c:pt>
                <c:pt idx="4">
                  <c:v>0.8868964324502504</c:v>
                </c:pt>
                <c:pt idx="5">
                  <c:v>0.86373594875768511</c:v>
                </c:pt>
              </c:numCache>
            </c:numRef>
          </c:yVal>
          <c:smooth val="0"/>
        </c:ser>
        <c:ser>
          <c:idx val="7"/>
          <c:order val="6"/>
          <c:tx>
            <c:strRef>
              <c:f>Sensitivities!$B$52</c:f>
              <c:strCache>
                <c:ptCount val="1"/>
                <c:pt idx="0">
                  <c:v>Wheat Integrated (Starch)</c:v>
                </c:pt>
              </c:strCache>
            </c:strRef>
          </c:tx>
          <c:spPr>
            <a:ln w="19050">
              <a:noFill/>
            </a:ln>
          </c:spPr>
          <c:marker>
            <c:symbol val="diamond"/>
            <c:size val="5"/>
            <c:spPr>
              <a:solidFill>
                <a:schemeClr val="accent2">
                  <a:lumMod val="60000"/>
                  <a:lumOff val="40000"/>
                </a:schemeClr>
              </a:solidFill>
              <a:ln>
                <a:solidFill>
                  <a:schemeClr val="accent2">
                    <a:lumMod val="60000"/>
                    <a:lumOff val="40000"/>
                  </a:schemeClr>
                </a:solidFill>
              </a:ln>
            </c:spPr>
          </c:marker>
          <c:dLbls>
            <c:dLbl>
              <c:idx val="0"/>
              <c:delete val="1"/>
            </c:dLbl>
            <c:dLbl>
              <c:idx val="1"/>
              <c:layout>
                <c:manualLayout>
                  <c:x val="9.5261538461538467E-2"/>
                  <c:y val="-6.4566929133858267E-2"/>
                </c:manualLayout>
              </c:layout>
              <c:spPr>
                <a:solidFill>
                  <a:schemeClr val="accent2">
                    <a:lumMod val="60000"/>
                    <a:lumOff val="40000"/>
                  </a:schemeClr>
                </a:solidFill>
              </c:spPr>
              <c:txPr>
                <a:bodyPr/>
                <a:lstStyle/>
                <a:p>
                  <a:pPr>
                    <a:defRPr b="1"/>
                  </a:pPr>
                  <a:endParaRPr lang="en-US"/>
                </a:p>
              </c:txPr>
              <c:dLblPos val="r"/>
              <c:showLegendKey val="0"/>
              <c:showVal val="0"/>
              <c:showCatName val="0"/>
              <c:showSerName val="1"/>
              <c:showPercent val="0"/>
              <c:showBubbleSize val="0"/>
            </c:dLbl>
            <c:dLblPos val="t"/>
            <c:showLegendKey val="0"/>
            <c:showVal val="0"/>
            <c:showCatName val="0"/>
            <c:showSerName val="0"/>
            <c:showPercent val="0"/>
            <c:showBubbleSize val="0"/>
          </c:dLbls>
          <c:trendline>
            <c:spPr>
              <a:ln w="38100">
                <a:solidFill>
                  <a:schemeClr val="accent2">
                    <a:lumMod val="60000"/>
                    <a:lumOff val="40000"/>
                  </a:schemeClr>
                </a:solidFill>
                <a:prstDash val="dash"/>
              </a:ln>
            </c:spPr>
            <c:trendlineType val="poly"/>
            <c:order val="4"/>
            <c:dispRSqr val="0"/>
            <c:dispEq val="0"/>
          </c:trendline>
          <c:xVal>
            <c:numRef>
              <c:f>Sensitivities!$E$52:$J$52</c:f>
              <c:numCache>
                <c:formatCode>General</c:formatCode>
                <c:ptCount val="6"/>
                <c:pt idx="0">
                  <c:v>100</c:v>
                </c:pt>
                <c:pt idx="1">
                  <c:v>177</c:v>
                </c:pt>
                <c:pt idx="2">
                  <c:v>202</c:v>
                </c:pt>
                <c:pt idx="3" formatCode="#,##0_);[Red]\(#,##0\)">
                  <c:v>305</c:v>
                </c:pt>
                <c:pt idx="4">
                  <c:v>309</c:v>
                </c:pt>
                <c:pt idx="5">
                  <c:v>316</c:v>
                </c:pt>
              </c:numCache>
            </c:numRef>
          </c:xVal>
          <c:yVal>
            <c:numRef>
              <c:f>Sensitivities!$E$53:$J$53</c:f>
              <c:numCache>
                <c:formatCode>General</c:formatCode>
                <c:ptCount val="6"/>
                <c:pt idx="0">
                  <c:v>0.63608976560445862</c:v>
                </c:pt>
                <c:pt idx="1">
                  <c:v>0.57202473888133909</c:v>
                </c:pt>
                <c:pt idx="2">
                  <c:v>0.56054512905215259</c:v>
                </c:pt>
                <c:pt idx="3" formatCode="#,##0.00_);[Red]\(#,##0.00\)">
                  <c:v>0.5306109814854767</c:v>
                </c:pt>
                <c:pt idx="4">
                  <c:v>0.52978864437470052</c:v>
                </c:pt>
                <c:pt idx="5">
                  <c:v>0.52839056493535597</c:v>
                </c:pt>
              </c:numCache>
            </c:numRef>
          </c:yVal>
          <c:smooth val="0"/>
        </c:ser>
        <c:ser>
          <c:idx val="6"/>
          <c:order val="7"/>
          <c:tx>
            <c:strRef>
              <c:f>Sensitivities!$B$60</c:f>
              <c:strCache>
                <c:ptCount val="1"/>
                <c:pt idx="0">
                  <c:v>Imported Starch</c:v>
                </c:pt>
              </c:strCache>
            </c:strRef>
          </c:tx>
          <c:spPr>
            <a:ln w="19050">
              <a:noFill/>
            </a:ln>
          </c:spPr>
          <c:marker>
            <c:symbol val="diamond"/>
            <c:size val="5"/>
            <c:spPr>
              <a:solidFill>
                <a:schemeClr val="accent2">
                  <a:lumMod val="50000"/>
                </a:schemeClr>
              </a:solidFill>
              <a:ln>
                <a:solidFill>
                  <a:schemeClr val="accent2">
                    <a:lumMod val="50000"/>
                  </a:schemeClr>
                </a:solidFill>
              </a:ln>
            </c:spPr>
          </c:marker>
          <c:dLbls>
            <c:dLbl>
              <c:idx val="0"/>
              <c:delete val="1"/>
            </c:dLbl>
            <c:dLbl>
              <c:idx val="1"/>
              <c:delete val="1"/>
            </c:dLbl>
            <c:dLbl>
              <c:idx val="2"/>
              <c:delete val="1"/>
            </c:dLbl>
            <c:dLbl>
              <c:idx val="4"/>
              <c:delete val="1"/>
            </c:dLbl>
            <c:dLbl>
              <c:idx val="5"/>
              <c:layout>
                <c:manualLayout>
                  <c:x val="-0.53322500841240994"/>
                  <c:y val="0.19441106082212165"/>
                </c:manualLayout>
              </c:layout>
              <c:showLegendKey val="0"/>
              <c:showVal val="0"/>
              <c:showCatName val="0"/>
              <c:showSerName val="1"/>
              <c:showPercent val="0"/>
              <c:showBubbleSize val="0"/>
            </c:dLbl>
            <c:spPr>
              <a:solidFill>
                <a:schemeClr val="accent2">
                  <a:lumMod val="50000"/>
                </a:schemeClr>
              </a:solidFill>
            </c:spPr>
            <c:txPr>
              <a:bodyPr/>
              <a:lstStyle/>
              <a:p>
                <a:pPr>
                  <a:defRPr b="1">
                    <a:solidFill>
                      <a:schemeClr val="bg1"/>
                    </a:solidFill>
                  </a:defRPr>
                </a:pPr>
                <a:endParaRPr lang="en-US"/>
              </a:p>
            </c:txPr>
            <c:dLblPos val="t"/>
            <c:showLegendKey val="0"/>
            <c:showVal val="0"/>
            <c:showCatName val="0"/>
            <c:showSerName val="1"/>
            <c:showPercent val="0"/>
            <c:showBubbleSize val="0"/>
            <c:showLeaderLines val="0"/>
          </c:dLbls>
          <c:trendline>
            <c:spPr>
              <a:ln w="31750">
                <a:solidFill>
                  <a:schemeClr val="accent2">
                    <a:lumMod val="50000"/>
                  </a:schemeClr>
                </a:solidFill>
                <a:prstDash val="dash"/>
              </a:ln>
            </c:spPr>
            <c:trendlineType val="poly"/>
            <c:order val="4"/>
            <c:dispRSqr val="0"/>
            <c:dispEq val="0"/>
          </c:trendline>
          <c:xVal>
            <c:numRef>
              <c:f>Sensitivities!$E$60:$I$60</c:f>
              <c:numCache>
                <c:formatCode>#,##0_);[Red]\(#,##0\)</c:formatCode>
                <c:ptCount val="5"/>
                <c:pt idx="0">
                  <c:v>100</c:v>
                </c:pt>
                <c:pt idx="1">
                  <c:v>150</c:v>
                </c:pt>
                <c:pt idx="2">
                  <c:v>200</c:v>
                </c:pt>
                <c:pt idx="3">
                  <c:v>250</c:v>
                </c:pt>
                <c:pt idx="4">
                  <c:v>300</c:v>
                </c:pt>
              </c:numCache>
            </c:numRef>
          </c:xVal>
          <c:yVal>
            <c:numRef>
              <c:f>Sensitivities!$E$61:$I$61</c:f>
              <c:numCache>
                <c:formatCode>General</c:formatCode>
                <c:ptCount val="5"/>
                <c:pt idx="0">
                  <c:v>0.89833258408233352</c:v>
                </c:pt>
                <c:pt idx="1">
                  <c:v>0.8492104752097146</c:v>
                </c:pt>
                <c:pt idx="2">
                  <c:v>0.8221418772518122</c:v>
                </c:pt>
                <c:pt idx="3" formatCode="#,##0.00_);[Red]\(#,##0.00\)">
                  <c:v>0.80455473320864679</c:v>
                </c:pt>
                <c:pt idx="4">
                  <c:v>0.79200326655900721</c:v>
                </c:pt>
              </c:numCache>
            </c:numRef>
          </c:yVal>
          <c:smooth val="0"/>
        </c:ser>
        <c:dLbls>
          <c:showLegendKey val="0"/>
          <c:showVal val="0"/>
          <c:showCatName val="0"/>
          <c:showSerName val="0"/>
          <c:showPercent val="0"/>
          <c:showBubbleSize val="0"/>
        </c:dLbls>
        <c:axId val="209080704"/>
        <c:axId val="209082624"/>
      </c:scatterChart>
      <c:valAx>
        <c:axId val="209080704"/>
        <c:scaling>
          <c:orientation val="minMax"/>
          <c:max val="320"/>
          <c:min val="0"/>
        </c:scaling>
        <c:delete val="0"/>
        <c:axPos val="b"/>
        <c:majorGridlines>
          <c:spPr>
            <a:ln>
              <a:solidFill>
                <a:schemeClr val="bg1">
                  <a:lumMod val="75000"/>
                </a:schemeClr>
              </a:solidFill>
            </a:ln>
          </c:spPr>
        </c:majorGridlines>
        <c:title>
          <c:tx>
            <c:rich>
              <a:bodyPr/>
              <a:lstStyle/>
              <a:p>
                <a:pPr>
                  <a:defRPr sz="1200"/>
                </a:pPr>
                <a:r>
                  <a:rPr lang="en-US" sz="1200"/>
                  <a:t>Ethanol Production Capacity (ML)</a:t>
                </a:r>
              </a:p>
            </c:rich>
          </c:tx>
          <c:layout>
            <c:manualLayout>
              <c:xMode val="edge"/>
              <c:yMode val="edge"/>
              <c:x val="9.5485845517748538E-2"/>
              <c:y val="0.95403897891866785"/>
            </c:manualLayout>
          </c:layout>
          <c:overlay val="0"/>
        </c:title>
        <c:numFmt formatCode="General" sourceLinked="1"/>
        <c:majorTickMark val="out"/>
        <c:minorTickMark val="cross"/>
        <c:tickLblPos val="nextTo"/>
        <c:spPr>
          <a:ln>
            <a:solidFill>
              <a:schemeClr val="tx1"/>
            </a:solidFill>
          </a:ln>
        </c:spPr>
        <c:txPr>
          <a:bodyPr/>
          <a:lstStyle/>
          <a:p>
            <a:pPr>
              <a:defRPr sz="1200" b="1"/>
            </a:pPr>
            <a:endParaRPr lang="en-US"/>
          </a:p>
        </c:txPr>
        <c:crossAx val="209082624"/>
        <c:crosses val="max"/>
        <c:crossBetween val="midCat"/>
        <c:majorUnit val="160"/>
        <c:minorUnit val="20"/>
      </c:valAx>
      <c:valAx>
        <c:axId val="209082624"/>
        <c:scaling>
          <c:orientation val="maxMin"/>
          <c:max val="1.05"/>
          <c:min val="0.45"/>
        </c:scaling>
        <c:delete val="0"/>
        <c:axPos val="l"/>
        <c:majorGridlines>
          <c:spPr>
            <a:ln>
              <a:solidFill>
                <a:schemeClr val="bg1">
                  <a:lumMod val="75000"/>
                </a:schemeClr>
              </a:solidFill>
              <a:prstDash val="sysDash"/>
            </a:ln>
          </c:spPr>
        </c:majorGridlines>
        <c:title>
          <c:tx>
            <c:rich>
              <a:bodyPr rot="0" vert="horz"/>
              <a:lstStyle/>
              <a:p>
                <a:pPr>
                  <a:defRPr sz="1100"/>
                </a:pPr>
                <a:r>
                  <a:rPr lang="en-AU" sz="1100"/>
                  <a:t>$/L</a:t>
                </a:r>
                <a:r>
                  <a:rPr lang="en-AU" sz="1100" baseline="0"/>
                  <a:t> ($real)</a:t>
                </a:r>
                <a:endParaRPr lang="en-AU" sz="1100"/>
              </a:p>
            </c:rich>
          </c:tx>
          <c:layout>
            <c:manualLayout>
              <c:xMode val="edge"/>
              <c:yMode val="edge"/>
              <c:x val="0"/>
              <c:y val="3.70998821997644E-2"/>
            </c:manualLayout>
          </c:layout>
          <c:overlay val="0"/>
        </c:title>
        <c:numFmt formatCode="&quot;$&quot;#,##0.00" sourceLinked="0"/>
        <c:majorTickMark val="out"/>
        <c:minorTickMark val="cross"/>
        <c:tickLblPos val="nextTo"/>
        <c:spPr>
          <a:ln>
            <a:solidFill>
              <a:schemeClr val="tx1"/>
            </a:solidFill>
          </a:ln>
        </c:spPr>
        <c:txPr>
          <a:bodyPr/>
          <a:lstStyle/>
          <a:p>
            <a:pPr>
              <a:defRPr sz="1200" b="1"/>
            </a:pPr>
            <a:endParaRPr lang="en-US"/>
          </a:p>
        </c:txPr>
        <c:crossAx val="209080704"/>
        <c:crosses val="autoZero"/>
        <c:crossBetween val="midCat"/>
        <c:majorUnit val="0.30000000000000004"/>
        <c:minorUnit val="5.000000000000001E-2"/>
      </c:valAx>
      <c:spPr>
        <a:noFill/>
      </c:spPr>
    </c:plotArea>
    <c:plotVisOnly val="1"/>
    <c:dispBlanksAs val="gap"/>
    <c:showDLblsOverMax val="0"/>
  </c:chart>
  <c:spPr>
    <a:solidFill>
      <a:schemeClr val="bg1"/>
    </a:solid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Assumptions!$U$8</c:f>
          <c:strCache>
            <c:ptCount val="1"/>
            <c:pt idx="0">
              <c:v>Impact of scale of production on ethanol production cost ($/L)
based on 100ML facility, using 6.9% post-tax real WACC</c:v>
            </c:pt>
          </c:strCache>
        </c:strRef>
      </c:tx>
      <c:layout>
        <c:manualLayout>
          <c:xMode val="edge"/>
          <c:yMode val="edge"/>
          <c:x val="0.24951633353523117"/>
          <c:y val="0"/>
        </c:manualLayout>
      </c:layout>
      <c:overlay val="0"/>
      <c:spPr>
        <a:noFill/>
      </c:spPr>
      <c:txPr>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3713817018420117E-2"/>
          <c:y val="8.7107495337646668E-2"/>
          <c:w val="0.84783829648007469"/>
          <c:h val="0.81242712101314418"/>
        </c:manualLayout>
      </c:layout>
      <c:lineChart>
        <c:grouping val="standard"/>
        <c:varyColors val="0"/>
        <c:ser>
          <c:idx val="0"/>
          <c:order val="0"/>
          <c:tx>
            <c:strRef>
              <c:f>Sensitivities!$E$6</c:f>
              <c:strCache>
                <c:ptCount val="1"/>
                <c:pt idx="0">
                  <c:v>100ML</c:v>
                </c:pt>
              </c:strCache>
            </c:strRef>
          </c:tx>
          <c:spPr>
            <a:ln>
              <a:noFill/>
            </a:ln>
          </c:spPr>
          <c:marker>
            <c:symbol val="diamond"/>
            <c:size val="12"/>
          </c:marker>
          <c:dPt>
            <c:idx val="0"/>
            <c:marker>
              <c:spPr>
                <a:solidFill>
                  <a:srgbClr val="ED7D31">
                    <a:lumMod val="20000"/>
                    <a:lumOff val="80000"/>
                  </a:srgbClr>
                </a:solidFill>
              </c:spPr>
            </c:marker>
            <c:bubble3D val="0"/>
          </c:dPt>
          <c:dPt>
            <c:idx val="1"/>
            <c:marker>
              <c:spPr>
                <a:solidFill>
                  <a:srgbClr val="ED7D31">
                    <a:lumMod val="60000"/>
                    <a:lumOff val="40000"/>
                  </a:srgbClr>
                </a:solidFill>
              </c:spPr>
            </c:marker>
            <c:bubble3D val="0"/>
          </c:dPt>
          <c:dPt>
            <c:idx val="2"/>
            <c:marker>
              <c:spPr>
                <a:solidFill>
                  <a:srgbClr val="ED7D31">
                    <a:lumMod val="75000"/>
                  </a:srgbClr>
                </a:solidFill>
              </c:spPr>
            </c:marker>
            <c:bubble3D val="0"/>
          </c:dPt>
          <c:dPt>
            <c:idx val="3"/>
            <c:marker>
              <c:spPr>
                <a:solidFill>
                  <a:srgbClr val="ED7D31">
                    <a:lumMod val="50000"/>
                  </a:srgbClr>
                </a:solidFill>
              </c:spPr>
            </c:marker>
            <c:bubble3D val="0"/>
          </c:dPt>
          <c:dPt>
            <c:idx val="4"/>
            <c:marker>
              <c:spPr>
                <a:solidFill>
                  <a:srgbClr val="5B9BD5"/>
                </a:solidFill>
              </c:spPr>
            </c:marker>
            <c:bubble3D val="0"/>
          </c:dPt>
          <c:dPt>
            <c:idx val="5"/>
            <c:marker>
              <c:spPr>
                <a:solidFill>
                  <a:srgbClr val="4472C4">
                    <a:lumMod val="50000"/>
                  </a:srgbClr>
                </a:solidFill>
              </c:spPr>
            </c:marker>
            <c:bubble3D val="0"/>
          </c:dPt>
          <c:dPt>
            <c:idx val="6"/>
            <c:marker>
              <c:spPr>
                <a:solidFill>
                  <a:srgbClr val="70AD47">
                    <a:lumMod val="60000"/>
                    <a:lumOff val="40000"/>
                  </a:srgbClr>
                </a:solidFill>
              </c:spPr>
            </c:marker>
            <c:bubble3D val="0"/>
          </c:dPt>
          <c:dPt>
            <c:idx val="7"/>
            <c:marker>
              <c:spPr>
                <a:solidFill>
                  <a:srgbClr val="70AD47">
                    <a:lumMod val="50000"/>
                  </a:srgbClr>
                </a:solidFill>
              </c:spPr>
            </c:marker>
            <c:bubble3D val="0"/>
          </c:dPt>
          <c:errBars>
            <c:errDir val="y"/>
            <c:errBarType val="both"/>
            <c:errValType val="cust"/>
            <c:noEndCap val="0"/>
            <c:plus>
              <c:numRef>
                <c:f>Sensitivities!$F$7:$F$14</c:f>
                <c:numCache>
                  <c:formatCode>General</c:formatCode>
                  <c:ptCount val="8"/>
                  <c:pt idx="0">
                    <c:v>0.13056174635138551</c:v>
                  </c:pt>
                  <c:pt idx="1">
                    <c:v>0.12610420470608519</c:v>
                  </c:pt>
                  <c:pt idx="2">
                    <c:v>0.12936078053528344</c:v>
                  </c:pt>
                  <c:pt idx="3">
                    <c:v>0.15895339809808717</c:v>
                  </c:pt>
                  <c:pt idx="4">
                    <c:v>0.13274044553204101</c:v>
                  </c:pt>
                  <c:pt idx="5">
                    <c:v>0.13274045078728003</c:v>
                  </c:pt>
                  <c:pt idx="6">
                    <c:v>0.19221143587083733</c:v>
                  </c:pt>
                  <c:pt idx="7">
                    <c:v>0.19027466261832826</c:v>
                  </c:pt>
                </c:numCache>
              </c:numRef>
            </c:plus>
            <c:minus>
              <c:numRef>
                <c:f>Sensitivities!$D$7:$D$14</c:f>
                <c:numCache>
                  <c:formatCode>General</c:formatCode>
                  <c:ptCount val="8"/>
                  <c:pt idx="0">
                    <c:v>7.7035105056310504E-2</c:v>
                  </c:pt>
                  <c:pt idx="1">
                    <c:v>7.4715678444019162E-2</c:v>
                  </c:pt>
                  <c:pt idx="2">
                    <c:v>7.6190706830521315E-2</c:v>
                  </c:pt>
                  <c:pt idx="3">
                    <c:v>9.4157926841142547E-2</c:v>
                  </c:pt>
                  <c:pt idx="4">
                    <c:v>7.786304017461132E-2</c:v>
                  </c:pt>
                  <c:pt idx="5">
                    <c:v>7.7863043837265167E-2</c:v>
                  </c:pt>
                  <c:pt idx="6">
                    <c:v>0.12642851613684214</c:v>
                  </c:pt>
                  <c:pt idx="7">
                    <c:v>0.12489838525564845</c:v>
                  </c:pt>
                </c:numCache>
              </c:numRef>
            </c:minus>
            <c:spPr>
              <a:ln w="25400" cmpd="sng">
                <a:solidFill>
                  <a:srgbClr val="44546A">
                    <a:lumMod val="75000"/>
                  </a:srgbClr>
                </a:solidFill>
                <a:headEnd w="lg" len="lg"/>
                <a:tailEnd w="lg" len="lg"/>
              </a:ln>
            </c:spPr>
          </c:errBars>
          <c:cat>
            <c:strRef>
              <c:f>Sensitivities!$B$7:$B$14</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Sensitivities!$E$7:$E$14</c:f>
              <c:numCache>
                <c:formatCode>#,##0.00_);[Red]\(#,##0.00\)</c:formatCode>
                <c:ptCount val="8"/>
                <c:pt idx="0">
                  <c:v>0.68187109818006619</c:v>
                </c:pt>
                <c:pt idx="1">
                  <c:v>0.63608976560445862</c:v>
                </c:pt>
                <c:pt idx="2">
                  <c:v>0.89833258408233352</c:v>
                </c:pt>
                <c:pt idx="3">
                  <c:v>0.76744606237382851</c:v>
                </c:pt>
                <c:pt idx="4">
                  <c:v>0.71680495123617016</c:v>
                </c:pt>
                <c:pt idx="5">
                  <c:v>1.0133352923374939</c:v>
                </c:pt>
                <c:pt idx="6">
                  <c:v>1.0447988685991174</c:v>
                </c:pt>
                <c:pt idx="7">
                  <c:v>1.0561136602781689</c:v>
                </c:pt>
              </c:numCache>
            </c:numRef>
          </c:val>
          <c:smooth val="0"/>
        </c:ser>
        <c:dLbls>
          <c:showLegendKey val="0"/>
          <c:showVal val="0"/>
          <c:showCatName val="0"/>
          <c:showSerName val="0"/>
          <c:showPercent val="0"/>
          <c:showBubbleSize val="0"/>
        </c:dLbls>
        <c:marker val="1"/>
        <c:smooth val="0"/>
        <c:axId val="210548608"/>
        <c:axId val="210550144"/>
      </c:lineChart>
      <c:catAx>
        <c:axId val="210548608"/>
        <c:scaling>
          <c:orientation val="minMax"/>
        </c:scaling>
        <c:delete val="0"/>
        <c:axPos val="b"/>
        <c:majorTickMark val="cross"/>
        <c:minorTickMark val="none"/>
        <c:tickLblPos val="nextTo"/>
        <c:spPr>
          <a:ln>
            <a:solidFill>
              <a:sysClr val="window" lastClr="FFFFFF">
                <a:lumMod val="50000"/>
              </a:sysClr>
            </a:solidFill>
          </a:ln>
        </c:spPr>
        <c:txPr>
          <a:bodyPr/>
          <a:lstStyle/>
          <a:p>
            <a:pPr>
              <a:defRPr sz="1100">
                <a:latin typeface="Arial" pitchFamily="34" charset="0"/>
                <a:cs typeface="Arial" pitchFamily="34" charset="0"/>
              </a:defRPr>
            </a:pPr>
            <a:endParaRPr lang="en-US"/>
          </a:p>
        </c:txPr>
        <c:crossAx val="210550144"/>
        <c:crosses val="autoZero"/>
        <c:auto val="1"/>
        <c:lblAlgn val="ctr"/>
        <c:lblOffset val="100"/>
        <c:noMultiLvlLbl val="0"/>
      </c:catAx>
      <c:valAx>
        <c:axId val="210550144"/>
        <c:scaling>
          <c:orientation val="minMax"/>
          <c:max val="1.35"/>
          <c:min val="0.4"/>
        </c:scaling>
        <c:delete val="0"/>
        <c:axPos val="l"/>
        <c:majorGridlines>
          <c:spPr>
            <a:ln>
              <a:solidFill>
                <a:sysClr val="window" lastClr="FFFFFF">
                  <a:lumMod val="75000"/>
                </a:sysClr>
              </a:solidFill>
              <a:prstDash val="solid"/>
            </a:ln>
          </c:spPr>
        </c:majorGridlines>
        <c:title>
          <c:tx>
            <c:rich>
              <a:bodyPr rot="0" vert="horz"/>
              <a:lstStyle/>
              <a:p>
                <a:pPr>
                  <a:defRPr sz="1100">
                    <a:latin typeface="Arial" pitchFamily="34" charset="0"/>
                    <a:cs typeface="Arial" pitchFamily="34" charset="0"/>
                  </a:defRPr>
                </a:pPr>
                <a:r>
                  <a:rPr lang="en-US" sz="1100">
                    <a:latin typeface="Arial" pitchFamily="34" charset="0"/>
                    <a:cs typeface="Arial" pitchFamily="34" charset="0"/>
                  </a:rPr>
                  <a:t>$/L</a:t>
                </a:r>
              </a:p>
            </c:rich>
          </c:tx>
          <c:layout>
            <c:manualLayout>
              <c:xMode val="edge"/>
              <c:yMode val="edge"/>
              <c:x val="4.2419005316643114E-3"/>
              <c:y val="6.9366400066133468E-2"/>
            </c:manualLayout>
          </c:layout>
          <c:overlay val="0"/>
        </c:title>
        <c:numFmt formatCode="0.00" sourceLinked="0"/>
        <c:majorTickMark val="out"/>
        <c:minorTickMark val="cross"/>
        <c:tickLblPos val="nextTo"/>
        <c:spPr>
          <a:ln>
            <a:noFill/>
          </a:ln>
        </c:spPr>
        <c:txPr>
          <a:bodyPr/>
          <a:lstStyle/>
          <a:p>
            <a:pPr>
              <a:defRPr sz="1200">
                <a:latin typeface="Arial" pitchFamily="34" charset="0"/>
                <a:cs typeface="Arial" pitchFamily="34" charset="0"/>
              </a:defRPr>
            </a:pPr>
            <a:endParaRPr lang="en-US"/>
          </a:p>
        </c:txPr>
        <c:crossAx val="210548608"/>
        <c:crosses val="autoZero"/>
        <c:crossBetween val="between"/>
        <c:majorUnit val="0.1"/>
        <c:minorUnit val="0.1"/>
      </c:valAx>
    </c:plotArea>
    <c:plotVisOnly val="1"/>
    <c:dispBlanksAs val="gap"/>
    <c:showDLblsOverMax val="0"/>
  </c:chart>
  <c:spPr>
    <a:ln>
      <a:noFill/>
    </a:ln>
  </c:spPr>
  <c:printSettings>
    <c:headerFooter/>
    <c:pageMargins b="0.75" l="0.7" r="0.7" t="0.75" header="0.3" footer="0.3"/>
    <c:pageSetup paperSize="9" orientation="landscape"/>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a:latin typeface="Arial" panose="020B0604020202020204" pitchFamily="34" charset="0"/>
                <a:cs typeface="Arial" panose="020B0604020202020204" pitchFamily="34" charset="0"/>
              </a:rPr>
              <a:t>Impact</a:t>
            </a:r>
            <a:r>
              <a:rPr lang="en-US" sz="1200" baseline="0">
                <a:latin typeface="Arial" panose="020B0604020202020204" pitchFamily="34" charset="0"/>
                <a:cs typeface="Arial" panose="020B0604020202020204" pitchFamily="34" charset="0"/>
              </a:rPr>
              <a:t> of facility location on ethanol production cost ($/L)</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200" b="1" i="0" baseline="0">
                <a:effectLst/>
              </a:rPr>
              <a:t>based on 100ML facility, using 6.9% post-tax real WACC</a:t>
            </a:r>
            <a:endParaRPr lang="en-US" sz="1200">
              <a:effectLst/>
            </a:endParaRP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sz="1200">
              <a:latin typeface="Arial" panose="020B0604020202020204" pitchFamily="34" charset="0"/>
              <a:cs typeface="Arial" panose="020B0604020202020204" pitchFamily="34" charset="0"/>
            </a:endParaRPr>
          </a:p>
        </c:rich>
      </c:tx>
      <c:layout>
        <c:manualLayout>
          <c:xMode val="edge"/>
          <c:yMode val="edge"/>
          <c:x val="0.26045650447540214"/>
          <c:y val="0"/>
        </c:manualLayout>
      </c:layout>
      <c:overlay val="0"/>
      <c:spPr>
        <a:solidFill>
          <a:sysClr val="window" lastClr="FFFFFF"/>
        </a:solidFill>
      </c:spPr>
    </c:title>
    <c:autoTitleDeleted val="0"/>
    <c:plotArea>
      <c:layout>
        <c:manualLayout>
          <c:layoutTarget val="inner"/>
          <c:xMode val="edge"/>
          <c:yMode val="edge"/>
          <c:x val="5.3713817018420117E-2"/>
          <c:y val="8.7107495337646668E-2"/>
          <c:w val="0.84783829648007469"/>
          <c:h val="0.81242712101314418"/>
        </c:manualLayout>
      </c:layout>
      <c:lineChart>
        <c:grouping val="standard"/>
        <c:varyColors val="0"/>
        <c:ser>
          <c:idx val="0"/>
          <c:order val="0"/>
          <c:tx>
            <c:strRef>
              <c:f>Sensitivities!$E$6</c:f>
              <c:strCache>
                <c:ptCount val="1"/>
                <c:pt idx="0">
                  <c:v>100ML</c:v>
                </c:pt>
              </c:strCache>
            </c:strRef>
          </c:tx>
          <c:spPr>
            <a:ln>
              <a:noFill/>
            </a:ln>
          </c:spPr>
          <c:marker>
            <c:symbol val="diamond"/>
            <c:size val="12"/>
          </c:marker>
          <c:dPt>
            <c:idx val="0"/>
            <c:marker>
              <c:spPr>
                <a:solidFill>
                  <a:srgbClr val="ED7D31">
                    <a:lumMod val="20000"/>
                    <a:lumOff val="80000"/>
                  </a:srgbClr>
                </a:solidFill>
              </c:spPr>
            </c:marker>
            <c:bubble3D val="0"/>
          </c:dPt>
          <c:dPt>
            <c:idx val="1"/>
            <c:marker>
              <c:spPr>
                <a:solidFill>
                  <a:srgbClr val="ED7D31">
                    <a:lumMod val="60000"/>
                    <a:lumOff val="40000"/>
                  </a:srgbClr>
                </a:solidFill>
              </c:spPr>
            </c:marker>
            <c:bubble3D val="0"/>
          </c:dPt>
          <c:dPt>
            <c:idx val="2"/>
            <c:marker>
              <c:spPr>
                <a:solidFill>
                  <a:srgbClr val="ED7D31">
                    <a:lumMod val="75000"/>
                  </a:srgbClr>
                </a:solidFill>
              </c:spPr>
            </c:marker>
            <c:bubble3D val="0"/>
          </c:dPt>
          <c:dPt>
            <c:idx val="3"/>
            <c:marker>
              <c:spPr>
                <a:solidFill>
                  <a:srgbClr val="ED7D31">
                    <a:lumMod val="50000"/>
                  </a:srgbClr>
                </a:solidFill>
              </c:spPr>
            </c:marker>
            <c:bubble3D val="0"/>
          </c:dPt>
          <c:dPt>
            <c:idx val="4"/>
            <c:marker>
              <c:spPr>
                <a:solidFill>
                  <a:srgbClr val="5B9BD5"/>
                </a:solidFill>
              </c:spPr>
            </c:marker>
            <c:bubble3D val="0"/>
          </c:dPt>
          <c:dPt>
            <c:idx val="5"/>
            <c:marker>
              <c:spPr>
                <a:solidFill>
                  <a:srgbClr val="4472C4">
                    <a:lumMod val="50000"/>
                  </a:srgbClr>
                </a:solidFill>
              </c:spPr>
            </c:marker>
            <c:bubble3D val="0"/>
          </c:dPt>
          <c:dPt>
            <c:idx val="6"/>
            <c:marker>
              <c:spPr>
                <a:solidFill>
                  <a:srgbClr val="70AD47">
                    <a:lumMod val="60000"/>
                    <a:lumOff val="40000"/>
                  </a:srgbClr>
                </a:solidFill>
              </c:spPr>
            </c:marker>
            <c:bubble3D val="0"/>
          </c:dPt>
          <c:dPt>
            <c:idx val="7"/>
            <c:marker>
              <c:spPr>
                <a:solidFill>
                  <a:srgbClr val="70AD47">
                    <a:lumMod val="50000"/>
                  </a:srgbClr>
                </a:solidFill>
              </c:spPr>
            </c:marker>
            <c:bubble3D val="0"/>
          </c:dPt>
          <c:errBars>
            <c:errDir val="y"/>
            <c:errBarType val="both"/>
            <c:errValType val="cust"/>
            <c:noEndCap val="0"/>
            <c:plus>
              <c:numRef>
                <c:f>Sensitivities!$F$19:$F$26</c:f>
                <c:numCache>
                  <c:formatCode>General</c:formatCode>
                  <c:ptCount val="8"/>
                  <c:pt idx="0">
                    <c:v>0</c:v>
                  </c:pt>
                  <c:pt idx="1">
                    <c:v>0</c:v>
                  </c:pt>
                  <c:pt idx="2">
                    <c:v>0</c:v>
                  </c:pt>
                  <c:pt idx="3">
                    <c:v>0</c:v>
                  </c:pt>
                  <c:pt idx="4">
                    <c:v>1.9365018750000074E-2</c:v>
                  </c:pt>
                  <c:pt idx="5">
                    <c:v>1.9365018749999852E-2</c:v>
                  </c:pt>
                  <c:pt idx="6">
                    <c:v>1.9365018749999852E-2</c:v>
                  </c:pt>
                  <c:pt idx="7">
                    <c:v>1.9853212500000161E-2</c:v>
                  </c:pt>
                </c:numCache>
              </c:numRef>
            </c:plus>
            <c:minus>
              <c:numRef>
                <c:f>Sensitivities!$D$19:$D$26</c:f>
                <c:numCache>
                  <c:formatCode>General</c:formatCode>
                  <c:ptCount val="8"/>
                  <c:pt idx="0">
                    <c:v>5.4243749999999924E-2</c:v>
                  </c:pt>
                  <c:pt idx="1">
                    <c:v>5.4243749999999924E-2</c:v>
                  </c:pt>
                  <c:pt idx="2">
                    <c:v>0</c:v>
                  </c:pt>
                  <c:pt idx="3">
                    <c:v>0</c:v>
                  </c:pt>
                  <c:pt idx="4">
                    <c:v>4.1930418750000031E-2</c:v>
                  </c:pt>
                  <c:pt idx="5">
                    <c:v>4.1930418750000142E-2</c:v>
                  </c:pt>
                  <c:pt idx="6">
                    <c:v>4.1930418750000031E-2</c:v>
                  </c:pt>
                  <c:pt idx="7">
                    <c:v>0</c:v>
                  </c:pt>
                </c:numCache>
              </c:numRef>
            </c:minus>
            <c:spPr>
              <a:ln w="25400" cmpd="sng">
                <a:solidFill>
                  <a:srgbClr val="44546A">
                    <a:lumMod val="75000"/>
                  </a:srgbClr>
                </a:solidFill>
                <a:headEnd w="lg" len="lg"/>
                <a:tailEnd w="lg" len="lg"/>
              </a:ln>
            </c:spPr>
          </c:errBars>
          <c:cat>
            <c:strRef>
              <c:f>Sensitivities!$B$19:$B$26</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Sensitivities!$E$19:$E$26</c:f>
              <c:numCache>
                <c:formatCode>#,##0.00_);[Red]\(#,##0.00\)</c:formatCode>
                <c:ptCount val="8"/>
                <c:pt idx="0">
                  <c:v>0.68187109818006619</c:v>
                </c:pt>
                <c:pt idx="1">
                  <c:v>0.63608976560445862</c:v>
                </c:pt>
                <c:pt idx="2">
                  <c:v>0.89833258408233352</c:v>
                </c:pt>
                <c:pt idx="3">
                  <c:v>0.76744606237382851</c:v>
                </c:pt>
                <c:pt idx="4">
                  <c:v>0.71680495123617016</c:v>
                </c:pt>
                <c:pt idx="5">
                  <c:v>1.0133352923374939</c:v>
                </c:pt>
                <c:pt idx="6">
                  <c:v>1.0447988685991174</c:v>
                </c:pt>
                <c:pt idx="7">
                  <c:v>1.0561136602781689</c:v>
                </c:pt>
              </c:numCache>
            </c:numRef>
          </c:val>
          <c:smooth val="0"/>
        </c:ser>
        <c:dLbls>
          <c:showLegendKey val="0"/>
          <c:showVal val="0"/>
          <c:showCatName val="0"/>
          <c:showSerName val="0"/>
          <c:showPercent val="0"/>
          <c:showBubbleSize val="0"/>
        </c:dLbls>
        <c:marker val="1"/>
        <c:smooth val="0"/>
        <c:axId val="210352768"/>
        <c:axId val="210362752"/>
      </c:lineChart>
      <c:catAx>
        <c:axId val="210352768"/>
        <c:scaling>
          <c:orientation val="minMax"/>
        </c:scaling>
        <c:delete val="0"/>
        <c:axPos val="b"/>
        <c:majorTickMark val="cross"/>
        <c:minorTickMark val="none"/>
        <c:tickLblPos val="nextTo"/>
        <c:spPr>
          <a:ln>
            <a:solidFill>
              <a:sysClr val="window" lastClr="FFFFFF">
                <a:lumMod val="50000"/>
              </a:sysClr>
            </a:solidFill>
          </a:ln>
        </c:spPr>
        <c:txPr>
          <a:bodyPr/>
          <a:lstStyle/>
          <a:p>
            <a:pPr>
              <a:defRPr sz="1100">
                <a:latin typeface="Arial" pitchFamily="34" charset="0"/>
                <a:cs typeface="Arial" pitchFamily="34" charset="0"/>
              </a:defRPr>
            </a:pPr>
            <a:endParaRPr lang="en-US"/>
          </a:p>
        </c:txPr>
        <c:crossAx val="210362752"/>
        <c:crosses val="autoZero"/>
        <c:auto val="1"/>
        <c:lblAlgn val="ctr"/>
        <c:lblOffset val="100"/>
        <c:noMultiLvlLbl val="0"/>
      </c:catAx>
      <c:valAx>
        <c:axId val="210362752"/>
        <c:scaling>
          <c:orientation val="minMax"/>
          <c:max val="1.35"/>
          <c:min val="0.4"/>
        </c:scaling>
        <c:delete val="0"/>
        <c:axPos val="l"/>
        <c:majorGridlines>
          <c:spPr>
            <a:ln>
              <a:solidFill>
                <a:sysClr val="window" lastClr="FFFFFF">
                  <a:lumMod val="75000"/>
                </a:sysClr>
              </a:solidFill>
              <a:prstDash val="solid"/>
            </a:ln>
          </c:spPr>
        </c:majorGridlines>
        <c:title>
          <c:tx>
            <c:rich>
              <a:bodyPr rot="0" vert="horz"/>
              <a:lstStyle/>
              <a:p>
                <a:pPr>
                  <a:defRPr sz="1100">
                    <a:latin typeface="Arial" pitchFamily="34" charset="0"/>
                    <a:cs typeface="Arial" pitchFamily="34" charset="0"/>
                  </a:defRPr>
                </a:pPr>
                <a:r>
                  <a:rPr lang="en-US" sz="1100">
                    <a:latin typeface="Arial" pitchFamily="34" charset="0"/>
                    <a:cs typeface="Arial" pitchFamily="34" charset="0"/>
                  </a:rPr>
                  <a:t>$/L</a:t>
                </a:r>
              </a:p>
            </c:rich>
          </c:tx>
          <c:layout>
            <c:manualLayout>
              <c:xMode val="edge"/>
              <c:yMode val="edge"/>
              <c:x val="4.2419005316643114E-3"/>
              <c:y val="6.9366400066133468E-2"/>
            </c:manualLayout>
          </c:layout>
          <c:overlay val="0"/>
        </c:title>
        <c:numFmt formatCode="0.00" sourceLinked="0"/>
        <c:majorTickMark val="out"/>
        <c:minorTickMark val="cross"/>
        <c:tickLblPos val="nextTo"/>
        <c:spPr>
          <a:ln>
            <a:noFill/>
          </a:ln>
        </c:spPr>
        <c:txPr>
          <a:bodyPr/>
          <a:lstStyle/>
          <a:p>
            <a:pPr>
              <a:defRPr sz="1200">
                <a:latin typeface="Arial" pitchFamily="34" charset="0"/>
                <a:cs typeface="Arial" pitchFamily="34" charset="0"/>
              </a:defRPr>
            </a:pPr>
            <a:endParaRPr lang="en-US"/>
          </a:p>
        </c:txPr>
        <c:crossAx val="210352768"/>
        <c:crosses val="autoZero"/>
        <c:crossBetween val="between"/>
        <c:majorUnit val="0.1"/>
        <c:minorUnit val="0.1"/>
      </c:valAx>
    </c:plotArea>
    <c:plotVisOnly val="1"/>
    <c:dispBlanksAs val="gap"/>
    <c:showDLblsOverMax val="0"/>
  </c:chart>
  <c:spPr>
    <a:ln>
      <a:noFill/>
    </a:ln>
  </c:spPr>
  <c:printSettings>
    <c:headerFooter/>
    <c:pageMargins b="0.75" l="0.7" r="0.7" t="0.75" header="0.3" footer="0.3"/>
    <c:pageSetup orientation="portrait"/>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Assumptions!$U$3</c:f>
          <c:strCache>
            <c:ptCount val="1"/>
            <c:pt idx="0">
              <c:v>Impact of feedstock price on ethanol production cost ($/L)
based on 100 ML facility, using 6.9% post-tax real WACC</c:v>
            </c:pt>
          </c:strCache>
        </c:strRef>
      </c:tx>
      <c:layout>
        <c:manualLayout>
          <c:xMode val="edge"/>
          <c:yMode val="edge"/>
          <c:x val="0.27549923951813715"/>
          <c:y val="0"/>
        </c:manualLayout>
      </c:layout>
      <c:overlay val="0"/>
      <c:spPr>
        <a:solidFill>
          <a:sysClr val="window" lastClr="FFFFFF"/>
        </a:solidFill>
      </c:spPr>
      <c:txPr>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3713817018420117E-2"/>
          <c:y val="8.7107495337646668E-2"/>
          <c:w val="0.84783829648007469"/>
          <c:h val="0.81242712101314418"/>
        </c:manualLayout>
      </c:layout>
      <c:lineChart>
        <c:grouping val="standard"/>
        <c:varyColors val="0"/>
        <c:ser>
          <c:idx val="0"/>
          <c:order val="0"/>
          <c:tx>
            <c:strRef>
              <c:f>Sensitivities!$E$6</c:f>
              <c:strCache>
                <c:ptCount val="1"/>
                <c:pt idx="0">
                  <c:v>100ML</c:v>
                </c:pt>
              </c:strCache>
            </c:strRef>
          </c:tx>
          <c:spPr>
            <a:ln>
              <a:noFill/>
            </a:ln>
          </c:spPr>
          <c:marker>
            <c:symbol val="diamond"/>
            <c:size val="12"/>
          </c:marker>
          <c:dPt>
            <c:idx val="0"/>
            <c:marker>
              <c:spPr>
                <a:solidFill>
                  <a:srgbClr val="ED7D31">
                    <a:lumMod val="20000"/>
                    <a:lumOff val="80000"/>
                  </a:srgbClr>
                </a:solidFill>
              </c:spPr>
            </c:marker>
            <c:bubble3D val="0"/>
          </c:dPt>
          <c:dPt>
            <c:idx val="1"/>
            <c:marker>
              <c:spPr>
                <a:solidFill>
                  <a:srgbClr val="ED7D31">
                    <a:lumMod val="60000"/>
                    <a:lumOff val="40000"/>
                  </a:srgbClr>
                </a:solidFill>
              </c:spPr>
            </c:marker>
            <c:bubble3D val="0"/>
          </c:dPt>
          <c:dPt>
            <c:idx val="2"/>
            <c:marker>
              <c:spPr>
                <a:solidFill>
                  <a:srgbClr val="ED7D31">
                    <a:lumMod val="75000"/>
                  </a:srgbClr>
                </a:solidFill>
              </c:spPr>
            </c:marker>
            <c:bubble3D val="0"/>
          </c:dPt>
          <c:dPt>
            <c:idx val="3"/>
            <c:marker>
              <c:spPr>
                <a:solidFill>
                  <a:srgbClr val="ED7D31">
                    <a:lumMod val="50000"/>
                  </a:srgbClr>
                </a:solidFill>
              </c:spPr>
            </c:marker>
            <c:bubble3D val="0"/>
          </c:dPt>
          <c:dPt>
            <c:idx val="4"/>
            <c:marker>
              <c:spPr>
                <a:solidFill>
                  <a:srgbClr val="5B9BD5"/>
                </a:solidFill>
              </c:spPr>
            </c:marker>
            <c:bubble3D val="0"/>
          </c:dPt>
          <c:dPt>
            <c:idx val="5"/>
            <c:marker>
              <c:spPr>
                <a:solidFill>
                  <a:srgbClr val="4472C4">
                    <a:lumMod val="50000"/>
                  </a:srgbClr>
                </a:solidFill>
              </c:spPr>
            </c:marker>
            <c:bubble3D val="0"/>
          </c:dPt>
          <c:dPt>
            <c:idx val="6"/>
            <c:marker>
              <c:spPr>
                <a:solidFill>
                  <a:srgbClr val="70AD47">
                    <a:lumMod val="60000"/>
                    <a:lumOff val="40000"/>
                  </a:srgbClr>
                </a:solidFill>
              </c:spPr>
            </c:marker>
            <c:bubble3D val="0"/>
          </c:dPt>
          <c:dPt>
            <c:idx val="7"/>
            <c:marker>
              <c:spPr>
                <a:solidFill>
                  <a:srgbClr val="70AD47">
                    <a:lumMod val="50000"/>
                  </a:srgbClr>
                </a:solidFill>
              </c:spPr>
            </c:marker>
            <c:bubble3D val="0"/>
          </c:dPt>
          <c:errBars>
            <c:errDir val="y"/>
            <c:errBarType val="both"/>
            <c:errValType val="cust"/>
            <c:noEndCap val="0"/>
            <c:plus>
              <c:numRef>
                <c:f>'Summary Tables'!$E$56:$L$56</c:f>
                <c:numCache>
                  <c:formatCode>General</c:formatCode>
                  <c:ptCount val="8"/>
                  <c:pt idx="0">
                    <c:v>0.11238953493224385</c:v>
                  </c:pt>
                  <c:pt idx="1">
                    <c:v>7.2828418636094058E-2</c:v>
                  </c:pt>
                  <c:pt idx="2">
                    <c:v>0.38202029181504316</c:v>
                  </c:pt>
                  <c:pt idx="3">
                    <c:v>0.14245249759185558</c:v>
                  </c:pt>
                  <c:pt idx="4">
                    <c:v>3.8033177425264381E-2</c:v>
                  </c:pt>
                  <c:pt idx="5">
                    <c:v>0.21018163545465157</c:v>
                  </c:pt>
                  <c:pt idx="6">
                    <c:v>2.5953539706713488E-2</c:v>
                  </c:pt>
                  <c:pt idx="7">
                    <c:v>5.7476244175293345E-2</c:v>
                  </c:pt>
                </c:numCache>
              </c:numRef>
            </c:plus>
            <c:minus>
              <c:numRef>
                <c:f>'Summary Tables'!$E$55:$L$55</c:f>
                <c:numCache>
                  <c:formatCode>General</c:formatCode>
                  <c:ptCount val="8"/>
                  <c:pt idx="0">
                    <c:v>4.4955813972897538E-2</c:v>
                  </c:pt>
                  <c:pt idx="1">
                    <c:v>7.2828418636094058E-2</c:v>
                  </c:pt>
                  <c:pt idx="2">
                    <c:v>0.2546801945433621</c:v>
                  </c:pt>
                  <c:pt idx="3">
                    <c:v>0.14245249759185558</c:v>
                  </c:pt>
                  <c:pt idx="4">
                    <c:v>7.6066354850528761E-2</c:v>
                  </c:pt>
                  <c:pt idx="5">
                    <c:v>0.21018163545465157</c:v>
                  </c:pt>
                  <c:pt idx="6">
                    <c:v>2.5953539706713488E-2</c:v>
                  </c:pt>
                  <c:pt idx="7">
                    <c:v>5.7476244175293345E-2</c:v>
                  </c:pt>
                </c:numCache>
              </c:numRef>
            </c:minus>
            <c:spPr>
              <a:ln w="25400" cmpd="sng">
                <a:solidFill>
                  <a:srgbClr val="44546A">
                    <a:lumMod val="75000"/>
                  </a:srgbClr>
                </a:solidFill>
                <a:headEnd w="lg" len="lg"/>
                <a:tailEnd w="lg" len="lg"/>
              </a:ln>
            </c:spPr>
          </c:errBars>
          <c:cat>
            <c:strRef>
              <c:f>'Summary Tables'!$E$51:$L$51</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Tables'!$E$52:$L$52</c:f>
              <c:numCache>
                <c:formatCode>#,##0.00_);[Red]\(#,##0.00\)</c:formatCode>
                <c:ptCount val="8"/>
                <c:pt idx="0">
                  <c:v>0.68187109818006619</c:v>
                </c:pt>
                <c:pt idx="1">
                  <c:v>0.63608976560445862</c:v>
                </c:pt>
                <c:pt idx="2">
                  <c:v>0.89833258408233352</c:v>
                </c:pt>
                <c:pt idx="3">
                  <c:v>0.76744606237382851</c:v>
                </c:pt>
                <c:pt idx="4">
                  <c:v>0.71680495123617016</c:v>
                </c:pt>
                <c:pt idx="5">
                  <c:v>1.0133352923374939</c:v>
                </c:pt>
                <c:pt idx="6">
                  <c:v>1.0447988685991174</c:v>
                </c:pt>
                <c:pt idx="7">
                  <c:v>1.0561136602781689</c:v>
                </c:pt>
              </c:numCache>
            </c:numRef>
          </c:val>
          <c:smooth val="0"/>
        </c:ser>
        <c:dLbls>
          <c:showLegendKey val="0"/>
          <c:showVal val="0"/>
          <c:showCatName val="0"/>
          <c:showSerName val="0"/>
          <c:showPercent val="0"/>
          <c:showBubbleSize val="0"/>
        </c:dLbls>
        <c:marker val="1"/>
        <c:smooth val="0"/>
        <c:axId val="210649088"/>
        <c:axId val="210650624"/>
      </c:lineChart>
      <c:lineChart>
        <c:grouping val="standard"/>
        <c:varyColors val="0"/>
        <c:ser>
          <c:idx val="1"/>
          <c:order val="1"/>
          <c:tx>
            <c:v>Upper</c:v>
          </c:tx>
          <c:spPr>
            <a:ln w="28575">
              <a:noFill/>
            </a:ln>
          </c:spPr>
          <c:marker>
            <c:symbol val="none"/>
          </c:marker>
          <c:cat>
            <c:strRef>
              <c:f>'Summary Tables'!$E$61:$L$61</c:f>
              <c:strCache>
                <c:ptCount val="8"/>
                <c:pt idx="0">
                  <c:v>+28% upper 
-11% lower</c:v>
                </c:pt>
                <c:pt idx="1">
                  <c:v>+20% upper 
-20% lower</c:v>
                </c:pt>
                <c:pt idx="2">
                  <c:v>+60% upper 
-40% lower</c:v>
                </c:pt>
                <c:pt idx="3">
                  <c:v>+30% upper 
-30% lower</c:v>
                </c:pt>
                <c:pt idx="4">
                  <c:v>+8% upper 
-17% lower</c:v>
                </c:pt>
                <c:pt idx="5">
                  <c:v>+30% upper 
-30% lower</c:v>
                </c:pt>
                <c:pt idx="6">
                  <c:v>+20% upper 
-20% lower</c:v>
                </c:pt>
                <c:pt idx="7">
                  <c:v>+20% upper 
-20% lower</c:v>
                </c:pt>
              </c:strCache>
            </c:strRef>
          </c:cat>
          <c:val>
            <c:numRef>
              <c:f>'Summary Tables'!$E$58:$L$58</c:f>
              <c:numCache>
                <c:formatCode>0.00</c:formatCode>
                <c:ptCount val="8"/>
                <c:pt idx="0">
                  <c:v>0.7942606331123101</c:v>
                </c:pt>
                <c:pt idx="1">
                  <c:v>0.70891818424055264</c:v>
                </c:pt>
                <c:pt idx="2">
                  <c:v>1.2803528758973766</c:v>
                </c:pt>
                <c:pt idx="3">
                  <c:v>0.90989855996568414</c:v>
                </c:pt>
                <c:pt idx="4">
                  <c:v>0.75483812866143452</c:v>
                </c:pt>
                <c:pt idx="5">
                  <c:v>1.2235169277921454</c:v>
                </c:pt>
                <c:pt idx="6">
                  <c:v>1.0707524083058308</c:v>
                </c:pt>
                <c:pt idx="7">
                  <c:v>1.1135899044534623</c:v>
                </c:pt>
              </c:numCache>
            </c:numRef>
          </c:val>
          <c:smooth val="0"/>
        </c:ser>
        <c:ser>
          <c:idx val="2"/>
          <c:order val="2"/>
          <c:tx>
            <c:v>Lower</c:v>
          </c:tx>
          <c:spPr>
            <a:ln w="28575">
              <a:noFill/>
            </a:ln>
          </c:spPr>
          <c:marker>
            <c:symbol val="none"/>
          </c:marker>
          <c:dLbls>
            <c:txPr>
              <a:bodyPr/>
              <a:lstStyle/>
              <a:p>
                <a:pPr>
                  <a:defRPr b="1">
                    <a:latin typeface="Arial" panose="020B0604020202020204" pitchFamily="34" charset="0"/>
                    <a:cs typeface="Arial" panose="020B0604020202020204" pitchFamily="34" charset="0"/>
                  </a:defRPr>
                </a:pPr>
                <a:endParaRPr lang="en-US"/>
              </a:p>
            </c:txPr>
            <c:dLblPos val="b"/>
            <c:showLegendKey val="0"/>
            <c:showVal val="0"/>
            <c:showCatName val="1"/>
            <c:showSerName val="0"/>
            <c:showPercent val="0"/>
            <c:showBubbleSize val="0"/>
            <c:showLeaderLines val="0"/>
          </c:dLbls>
          <c:cat>
            <c:strRef>
              <c:f>'Summary Tables'!$E$61:$L$61</c:f>
              <c:strCache>
                <c:ptCount val="8"/>
                <c:pt idx="0">
                  <c:v>+28% upper 
-11% lower</c:v>
                </c:pt>
                <c:pt idx="1">
                  <c:v>+20% upper 
-20% lower</c:v>
                </c:pt>
                <c:pt idx="2">
                  <c:v>+60% upper 
-40% lower</c:v>
                </c:pt>
                <c:pt idx="3">
                  <c:v>+30% upper 
-30% lower</c:v>
                </c:pt>
                <c:pt idx="4">
                  <c:v>+8% upper 
-17% lower</c:v>
                </c:pt>
                <c:pt idx="5">
                  <c:v>+30% upper 
-30% lower</c:v>
                </c:pt>
                <c:pt idx="6">
                  <c:v>+20% upper 
-20% lower</c:v>
                </c:pt>
                <c:pt idx="7">
                  <c:v>+20% upper 
-20% lower</c:v>
                </c:pt>
              </c:strCache>
            </c:strRef>
          </c:cat>
          <c:val>
            <c:numRef>
              <c:f>'Summary Tables'!$E$57:$L$57</c:f>
              <c:numCache>
                <c:formatCode>0.00</c:formatCode>
                <c:ptCount val="8"/>
                <c:pt idx="0">
                  <c:v>0.6369152842071687</c:v>
                </c:pt>
                <c:pt idx="1">
                  <c:v>0.56326134696836461</c:v>
                </c:pt>
                <c:pt idx="2">
                  <c:v>0.64365238953897141</c:v>
                </c:pt>
                <c:pt idx="3">
                  <c:v>0.62499356478197288</c:v>
                </c:pt>
                <c:pt idx="4">
                  <c:v>0.64073859638564135</c:v>
                </c:pt>
                <c:pt idx="5">
                  <c:v>0.80315365688284235</c:v>
                </c:pt>
                <c:pt idx="6">
                  <c:v>1.018845328892404</c:v>
                </c:pt>
                <c:pt idx="7">
                  <c:v>0.99863741610287549</c:v>
                </c:pt>
              </c:numCache>
            </c:numRef>
          </c:val>
          <c:smooth val="0"/>
        </c:ser>
        <c:dLbls>
          <c:showLegendKey val="0"/>
          <c:showVal val="0"/>
          <c:showCatName val="0"/>
          <c:showSerName val="0"/>
          <c:showPercent val="0"/>
          <c:showBubbleSize val="0"/>
        </c:dLbls>
        <c:marker val="1"/>
        <c:smooth val="0"/>
        <c:axId val="210670720"/>
        <c:axId val="210652544"/>
      </c:lineChart>
      <c:catAx>
        <c:axId val="210649088"/>
        <c:scaling>
          <c:orientation val="minMax"/>
        </c:scaling>
        <c:delete val="0"/>
        <c:axPos val="b"/>
        <c:numFmt formatCode="0%" sourceLinked="1"/>
        <c:majorTickMark val="cross"/>
        <c:minorTickMark val="none"/>
        <c:tickLblPos val="nextTo"/>
        <c:txPr>
          <a:bodyPr/>
          <a:lstStyle/>
          <a:p>
            <a:pPr>
              <a:defRPr sz="1100">
                <a:latin typeface="Arial" pitchFamily="34" charset="0"/>
                <a:cs typeface="Arial" pitchFamily="34" charset="0"/>
              </a:defRPr>
            </a:pPr>
            <a:endParaRPr lang="en-US"/>
          </a:p>
        </c:txPr>
        <c:crossAx val="210650624"/>
        <c:crosses val="autoZero"/>
        <c:auto val="1"/>
        <c:lblAlgn val="ctr"/>
        <c:lblOffset val="100"/>
        <c:noMultiLvlLbl val="0"/>
      </c:catAx>
      <c:valAx>
        <c:axId val="210650624"/>
        <c:scaling>
          <c:orientation val="minMax"/>
          <c:max val="1.35"/>
          <c:min val="0.4"/>
        </c:scaling>
        <c:delete val="0"/>
        <c:axPos val="l"/>
        <c:majorGridlines>
          <c:spPr>
            <a:ln>
              <a:solidFill>
                <a:sysClr val="window" lastClr="FFFFFF">
                  <a:lumMod val="75000"/>
                </a:sysClr>
              </a:solidFill>
              <a:prstDash val="solid"/>
            </a:ln>
          </c:spPr>
        </c:majorGridlines>
        <c:title>
          <c:tx>
            <c:rich>
              <a:bodyPr rot="0" vert="horz"/>
              <a:lstStyle/>
              <a:p>
                <a:pPr>
                  <a:defRPr sz="1100">
                    <a:latin typeface="Arial" pitchFamily="34" charset="0"/>
                    <a:cs typeface="Arial" pitchFamily="34" charset="0"/>
                  </a:defRPr>
                </a:pPr>
                <a:r>
                  <a:rPr lang="en-US" sz="1100">
                    <a:latin typeface="Arial" pitchFamily="34" charset="0"/>
                    <a:cs typeface="Arial" pitchFamily="34" charset="0"/>
                  </a:rPr>
                  <a:t>$/L</a:t>
                </a:r>
              </a:p>
            </c:rich>
          </c:tx>
          <c:layout>
            <c:manualLayout>
              <c:xMode val="edge"/>
              <c:yMode val="edge"/>
              <c:x val="4.2419005316643114E-3"/>
              <c:y val="6.5166925000516671E-2"/>
            </c:manualLayout>
          </c:layout>
          <c:overlay val="0"/>
        </c:title>
        <c:numFmt formatCode="0.00" sourceLinked="0"/>
        <c:majorTickMark val="out"/>
        <c:minorTickMark val="cross"/>
        <c:tickLblPos val="nextTo"/>
        <c:spPr>
          <a:ln>
            <a:noFill/>
          </a:ln>
        </c:spPr>
        <c:txPr>
          <a:bodyPr/>
          <a:lstStyle/>
          <a:p>
            <a:pPr>
              <a:defRPr sz="1200">
                <a:latin typeface="Arial" pitchFamily="34" charset="0"/>
                <a:cs typeface="Arial" pitchFamily="34" charset="0"/>
              </a:defRPr>
            </a:pPr>
            <a:endParaRPr lang="en-US"/>
          </a:p>
        </c:txPr>
        <c:crossAx val="210649088"/>
        <c:crosses val="autoZero"/>
        <c:crossBetween val="between"/>
        <c:majorUnit val="0.1"/>
        <c:minorUnit val="0.1"/>
      </c:valAx>
      <c:valAx>
        <c:axId val="210652544"/>
        <c:scaling>
          <c:orientation val="minMax"/>
          <c:max val="1.3"/>
          <c:min val="0.4"/>
        </c:scaling>
        <c:delete val="1"/>
        <c:axPos val="r"/>
        <c:numFmt formatCode="0.00" sourceLinked="1"/>
        <c:majorTickMark val="out"/>
        <c:minorTickMark val="none"/>
        <c:tickLblPos val="nextTo"/>
        <c:crossAx val="210670720"/>
        <c:crosses val="max"/>
        <c:crossBetween val="between"/>
      </c:valAx>
      <c:catAx>
        <c:axId val="210670720"/>
        <c:scaling>
          <c:orientation val="minMax"/>
        </c:scaling>
        <c:delete val="1"/>
        <c:axPos val="b"/>
        <c:numFmt formatCode="0%" sourceLinked="1"/>
        <c:majorTickMark val="out"/>
        <c:minorTickMark val="none"/>
        <c:tickLblPos val="nextTo"/>
        <c:crossAx val="210652544"/>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c:f>
          <c:strCache>
            <c:ptCount val="1"/>
            <c:pt idx="0">
              <c:v>Production Cost of Ethanol per Litre for 100 ML facility ($/L)</c:v>
            </c:pt>
          </c:strCache>
        </c:strRef>
      </c:tx>
      <c:layout>
        <c:manualLayout>
          <c:xMode val="edge"/>
          <c:yMode val="edge"/>
          <c:x val="0.21399742140139685"/>
          <c:y val="7.0803149606299225E-4"/>
        </c:manualLayout>
      </c:layout>
      <c:overlay val="1"/>
      <c:txPr>
        <a:bodyPr/>
        <a:lstStyle/>
        <a:p>
          <a:pPr algn="ctr">
            <a:defRPr sz="1100"/>
          </a:pPr>
          <a:endParaRPr lang="en-US"/>
        </a:p>
      </c:txPr>
    </c:title>
    <c:autoTitleDeleted val="0"/>
    <c:plotArea>
      <c:layout>
        <c:manualLayout>
          <c:layoutTarget val="inner"/>
          <c:xMode val="edge"/>
          <c:yMode val="edge"/>
          <c:x val="7.2253511198273682E-2"/>
          <c:y val="0.11162750164041994"/>
          <c:w val="0.8696107463772329"/>
          <c:h val="0.75342614049700951"/>
        </c:manualLayout>
      </c:layout>
      <c:barChart>
        <c:barDir val="col"/>
        <c:grouping val="clustered"/>
        <c:varyColors val="0"/>
        <c:ser>
          <c:idx val="5"/>
          <c:order val="0"/>
          <c:tx>
            <c:strRef>
              <c:f>'Summary Tables'!$D$14</c:f>
              <c:strCache>
                <c:ptCount val="1"/>
                <c:pt idx="0">
                  <c:v>Total Production Cost with Margin</c:v>
                </c:pt>
              </c:strCache>
            </c:strRef>
          </c:tx>
          <c:spPr>
            <a:solidFill>
              <a:schemeClr val="accent6"/>
            </a:solidFill>
          </c:spPr>
          <c:invertIfNegative val="0"/>
          <c:dPt>
            <c:idx val="0"/>
            <c:invertIfNegative val="0"/>
            <c:bubble3D val="0"/>
            <c:spPr>
              <a:solidFill>
                <a:schemeClr val="accent2">
                  <a:lumMod val="20000"/>
                  <a:lumOff val="80000"/>
                </a:schemeClr>
              </a:solidFill>
            </c:spPr>
          </c:dPt>
          <c:dPt>
            <c:idx val="1"/>
            <c:invertIfNegative val="0"/>
            <c:bubble3D val="0"/>
            <c:spPr>
              <a:solidFill>
                <a:schemeClr val="accent2">
                  <a:lumMod val="60000"/>
                  <a:lumOff val="40000"/>
                </a:schemeClr>
              </a:solidFill>
            </c:spPr>
          </c:dPt>
          <c:dPt>
            <c:idx val="2"/>
            <c:invertIfNegative val="0"/>
            <c:bubble3D val="0"/>
            <c:spPr>
              <a:solidFill>
                <a:schemeClr val="accent2">
                  <a:lumMod val="75000"/>
                </a:schemeClr>
              </a:solidFill>
            </c:spPr>
          </c:dPt>
          <c:dPt>
            <c:idx val="3"/>
            <c:invertIfNegative val="0"/>
            <c:bubble3D val="0"/>
            <c:spPr>
              <a:solidFill>
                <a:schemeClr val="accent2">
                  <a:lumMod val="50000"/>
                </a:schemeClr>
              </a:solidFill>
            </c:spPr>
          </c:dPt>
          <c:dPt>
            <c:idx val="4"/>
            <c:invertIfNegative val="0"/>
            <c:bubble3D val="0"/>
            <c:spPr>
              <a:solidFill>
                <a:schemeClr val="accent1"/>
              </a:solidFill>
            </c:spPr>
          </c:dPt>
          <c:dPt>
            <c:idx val="5"/>
            <c:invertIfNegative val="0"/>
            <c:bubble3D val="0"/>
            <c:spPr>
              <a:solidFill>
                <a:schemeClr val="accent5">
                  <a:lumMod val="50000"/>
                </a:schemeClr>
              </a:solidFill>
            </c:spPr>
          </c:dPt>
          <c:dPt>
            <c:idx val="6"/>
            <c:invertIfNegative val="0"/>
            <c:bubble3D val="0"/>
            <c:spPr>
              <a:solidFill>
                <a:schemeClr val="accent6">
                  <a:lumMod val="60000"/>
                  <a:lumOff val="40000"/>
                </a:schemeClr>
              </a:solidFill>
            </c:spPr>
          </c:dPt>
          <c:dPt>
            <c:idx val="7"/>
            <c:invertIfNegative val="0"/>
            <c:bubble3D val="0"/>
            <c:spPr>
              <a:solidFill>
                <a:schemeClr val="accent6">
                  <a:lumMod val="50000"/>
                </a:schemeClr>
              </a:solidFill>
            </c:spPr>
          </c:dPt>
          <c:dLbls>
            <c:numFmt formatCode="&quot;$&quot;#,##0.00" sourceLinked="0"/>
            <c:txPr>
              <a:bodyPr/>
              <a:lstStyle/>
              <a:p>
                <a:pPr>
                  <a:defRPr sz="1200" b="1"/>
                </a:pPr>
                <a:endParaRPr lang="en-US"/>
              </a:p>
            </c:txPr>
            <c:showLegendKey val="0"/>
            <c:showVal val="1"/>
            <c:showCatName val="0"/>
            <c:showSerName val="0"/>
            <c:showPercent val="0"/>
            <c:showBubbleSize val="0"/>
            <c:showLeaderLines val="0"/>
          </c:dLbls>
          <c:cat>
            <c:strRef>
              <c:f>'Summary Tables'!$E$5:$L$5</c:f>
              <c:strCache>
                <c:ptCount val="8"/>
                <c:pt idx="0">
                  <c:v>Wheat Standalone (Starch)</c:v>
                </c:pt>
                <c:pt idx="1">
                  <c:v>Wheat Integrated (Starch)</c:v>
                </c:pt>
                <c:pt idx="2">
                  <c:v>Imported Starch</c:v>
                </c:pt>
                <c:pt idx="3">
                  <c:v>Sorghum (Starch)</c:v>
                </c:pt>
                <c:pt idx="4">
                  <c:v>C-Syrup (Sucrosic)</c:v>
                </c:pt>
                <c:pt idx="5">
                  <c:v>B-Syrup (Sucrosic)</c:v>
                </c:pt>
                <c:pt idx="6">
                  <c:v>Cane trash (Cellulosic)</c:v>
                </c:pt>
                <c:pt idx="7">
                  <c:v>Forest Residues (Cellulosic)</c:v>
                </c:pt>
              </c:strCache>
            </c:strRef>
          </c:cat>
          <c:val>
            <c:numRef>
              <c:f>'Summary Tables'!$E$14:$L$14</c:f>
              <c:numCache>
                <c:formatCode>#,##0.00_);[Red]\(#,##0.00\)</c:formatCode>
                <c:ptCount val="8"/>
                <c:pt idx="0">
                  <c:v>0.68187109818006619</c:v>
                </c:pt>
                <c:pt idx="1">
                  <c:v>0.63608976560445862</c:v>
                </c:pt>
                <c:pt idx="2">
                  <c:v>0.89833258408233352</c:v>
                </c:pt>
                <c:pt idx="3">
                  <c:v>0.76744606237382851</c:v>
                </c:pt>
                <c:pt idx="4">
                  <c:v>0.71680495123617016</c:v>
                </c:pt>
                <c:pt idx="5">
                  <c:v>1.0133352923374939</c:v>
                </c:pt>
                <c:pt idx="6">
                  <c:v>1.0447988685991174</c:v>
                </c:pt>
                <c:pt idx="7">
                  <c:v>1.0561136602781689</c:v>
                </c:pt>
              </c:numCache>
            </c:numRef>
          </c:val>
        </c:ser>
        <c:dLbls>
          <c:showLegendKey val="0"/>
          <c:showVal val="0"/>
          <c:showCatName val="0"/>
          <c:showSerName val="0"/>
          <c:showPercent val="0"/>
          <c:showBubbleSize val="0"/>
        </c:dLbls>
        <c:gapWidth val="25"/>
        <c:axId val="210699776"/>
        <c:axId val="210701312"/>
      </c:barChart>
      <c:catAx>
        <c:axId val="210699776"/>
        <c:scaling>
          <c:orientation val="minMax"/>
        </c:scaling>
        <c:delete val="0"/>
        <c:axPos val="b"/>
        <c:numFmt formatCode="General" sourceLinked="1"/>
        <c:majorTickMark val="out"/>
        <c:minorTickMark val="none"/>
        <c:tickLblPos val="nextTo"/>
        <c:txPr>
          <a:bodyPr/>
          <a:lstStyle/>
          <a:p>
            <a:pPr>
              <a:defRPr sz="1100"/>
            </a:pPr>
            <a:endParaRPr lang="en-US"/>
          </a:p>
        </c:txPr>
        <c:crossAx val="210701312"/>
        <c:crosses val="autoZero"/>
        <c:auto val="1"/>
        <c:lblAlgn val="ctr"/>
        <c:lblOffset val="100"/>
        <c:noMultiLvlLbl val="0"/>
      </c:catAx>
      <c:valAx>
        <c:axId val="210701312"/>
        <c:scaling>
          <c:orientation val="minMax"/>
          <c:max val="1.1000000000000001"/>
          <c:min val="0"/>
        </c:scaling>
        <c:delete val="0"/>
        <c:axPos val="l"/>
        <c:majorGridlines>
          <c:spPr>
            <a:ln>
              <a:solidFill>
                <a:schemeClr val="bg1">
                  <a:lumMod val="75000"/>
                </a:schemeClr>
              </a:solidFill>
              <a:prstDash val="sysDash"/>
            </a:ln>
          </c:spPr>
        </c:majorGridlines>
        <c:title>
          <c:tx>
            <c:rich>
              <a:bodyPr rot="0" vert="horz"/>
              <a:lstStyle/>
              <a:p>
                <a:pPr>
                  <a:defRPr/>
                </a:pPr>
                <a:r>
                  <a:rPr lang="en-AU"/>
                  <a:t>$/L</a:t>
                </a:r>
                <a:r>
                  <a:rPr lang="en-AU" baseline="0"/>
                  <a:t> (real)</a:t>
                </a:r>
                <a:endParaRPr lang="en-AU"/>
              </a:p>
            </c:rich>
          </c:tx>
          <c:layout>
            <c:manualLayout>
              <c:xMode val="edge"/>
              <c:yMode val="edge"/>
              <c:x val="0"/>
              <c:y val="5.7569921920957542E-2"/>
            </c:manualLayout>
          </c:layout>
          <c:overlay val="0"/>
        </c:title>
        <c:numFmt formatCode="&quot;$&quot;#,##0.00" sourceLinked="0"/>
        <c:majorTickMark val="out"/>
        <c:minorTickMark val="none"/>
        <c:tickLblPos val="nextTo"/>
        <c:spPr>
          <a:ln>
            <a:noFill/>
          </a:ln>
        </c:spPr>
        <c:txPr>
          <a:bodyPr/>
          <a:lstStyle/>
          <a:p>
            <a:pPr>
              <a:defRPr sz="1200"/>
            </a:pPr>
            <a:endParaRPr lang="en-US"/>
          </a:p>
        </c:txPr>
        <c:crossAx val="210699776"/>
        <c:crosses val="autoZero"/>
        <c:crossBetween val="between"/>
        <c:majorUnit val="0.2"/>
        <c:minorUnit val="0.1"/>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8" Type="http://schemas.openxmlformats.org/officeDocument/2006/relationships/hyperlink" Target="#Interactive!D1"/><Relationship Id="rId13" Type="http://schemas.openxmlformats.org/officeDocument/2006/relationships/hyperlink" Target="#ScaleImpact!J4"/><Relationship Id="rId3" Type="http://schemas.openxmlformats.org/officeDocument/2006/relationships/hyperlink" Target="#'B-Syrup (Sucrosic)'!A1"/><Relationship Id="rId7" Type="http://schemas.openxmlformats.org/officeDocument/2006/relationships/hyperlink" Target="#'Wheat Standalone (Starch)'!A1"/><Relationship Id="rId12" Type="http://schemas.openxmlformats.org/officeDocument/2006/relationships/hyperlink" Target="#LevelisedCost!F3"/><Relationship Id="rId2" Type="http://schemas.openxmlformats.org/officeDocument/2006/relationships/hyperlink" Target="#'Wheat Integrated (Starch)'!H3"/><Relationship Id="rId16" Type="http://schemas.openxmlformats.org/officeDocument/2006/relationships/hyperlink" Target="#Charts!C2"/><Relationship Id="rId1" Type="http://schemas.openxmlformats.org/officeDocument/2006/relationships/hyperlink" Target="#'C-Syrup (Sucrosic)'!A1"/><Relationship Id="rId6" Type="http://schemas.openxmlformats.org/officeDocument/2006/relationships/hyperlink" Target="#'Imported Starch'!A1"/><Relationship Id="rId11" Type="http://schemas.openxmlformats.org/officeDocument/2006/relationships/hyperlink" Target="#ProductionCurve!F3"/><Relationship Id="rId5" Type="http://schemas.openxmlformats.org/officeDocument/2006/relationships/hyperlink" Target="#'Forest Residues (Cellulosic)'!H3"/><Relationship Id="rId15" Type="http://schemas.openxmlformats.org/officeDocument/2006/relationships/hyperlink" Target="#'Price Impact'!C2"/><Relationship Id="rId10" Type="http://schemas.openxmlformats.org/officeDocument/2006/relationships/hyperlink" Target="#'Cane trash (Cellulosic)'!A1"/><Relationship Id="rId4" Type="http://schemas.openxmlformats.org/officeDocument/2006/relationships/hyperlink" Target="#'Sorgum (Starch)'!H3"/><Relationship Id="rId9" Type="http://schemas.openxmlformats.org/officeDocument/2006/relationships/hyperlink" Target="#Assumptions!A1"/><Relationship Id="rId14" Type="http://schemas.openxmlformats.org/officeDocument/2006/relationships/hyperlink" Target="#LocationImpact!C2"/></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6391275</xdr:colOff>
      <xdr:row>0</xdr:row>
      <xdr:rowOff>123825</xdr:rowOff>
    </xdr:from>
    <xdr:to>
      <xdr:col>1</xdr:col>
      <xdr:colOff>7898605</xdr:colOff>
      <xdr:row>3</xdr:row>
      <xdr:rowOff>47625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29400" y="123825"/>
          <a:ext cx="1507330"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3143250" y="371475"/>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0.91193</cdr:x>
      <cdr:y>0.13389</cdr:y>
    </cdr:from>
    <cdr:to>
      <cdr:x>0.98648</cdr:x>
      <cdr:y>0.86411</cdr:y>
    </cdr:to>
    <cdr:sp macro="" textlink="">
      <cdr:nvSpPr>
        <cdr:cNvPr id="3" name="Down Arrow 2"/>
        <cdr:cNvSpPr/>
      </cdr:nvSpPr>
      <cdr:spPr>
        <a:xfrm xmlns:a="http://schemas.openxmlformats.org/drawingml/2006/main">
          <a:off x="8467565" y="809626"/>
          <a:ext cx="692222" cy="4415482"/>
        </a:xfrm>
        <a:prstGeom xmlns:a="http://schemas.openxmlformats.org/drawingml/2006/main" prst="downArrow">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0.87809</cdr:x>
      <cdr:y>0.49449</cdr:y>
    </cdr:from>
    <cdr:to>
      <cdr:x>1</cdr:x>
      <cdr:y>0.5811</cdr:y>
    </cdr:to>
    <cdr:sp macro="" textlink="">
      <cdr:nvSpPr>
        <cdr:cNvPr id="4" name="TextBox 3"/>
        <cdr:cNvSpPr txBox="1"/>
      </cdr:nvSpPr>
      <cdr:spPr>
        <a:xfrm xmlns:a="http://schemas.openxmlformats.org/drawingml/2006/main">
          <a:off x="8154712" y="2990850"/>
          <a:ext cx="1132163" cy="5238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Distance to Sydney</a:t>
          </a:r>
        </a:p>
      </cdr:txBody>
    </cdr:sp>
  </cdr:relSizeAnchor>
  <cdr:relSizeAnchor xmlns:cdr="http://schemas.openxmlformats.org/drawingml/2006/chartDrawing">
    <cdr:from>
      <cdr:x>0.48212</cdr:x>
      <cdr:y>0.67989</cdr:y>
    </cdr:from>
    <cdr:to>
      <cdr:x>0.57845</cdr:x>
      <cdr:y>0.74331</cdr:y>
    </cdr:to>
    <cdr:sp macro="" textlink="">
      <cdr:nvSpPr>
        <cdr:cNvPr id="7" name="TextBox 14"/>
        <cdr:cNvSpPr txBox="1"/>
      </cdr:nvSpPr>
      <cdr:spPr>
        <a:xfrm xmlns:a="http://schemas.openxmlformats.org/drawingml/2006/main">
          <a:off x="4477400" y="4112248"/>
          <a:ext cx="894605" cy="383551"/>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Closest Location</a:t>
          </a:r>
          <a:endParaRPr lang="en-US" sz="1100"/>
        </a:p>
      </cdr:txBody>
    </cdr:sp>
  </cdr:relSizeAnchor>
  <cdr:relSizeAnchor xmlns:cdr="http://schemas.openxmlformats.org/drawingml/2006/chartDrawing">
    <cdr:from>
      <cdr:x>0.48239</cdr:x>
      <cdr:y>0.52756</cdr:y>
    </cdr:from>
    <cdr:to>
      <cdr:x>0.57872</cdr:x>
      <cdr:y>0.5917</cdr:y>
    </cdr:to>
    <cdr:sp macro="" textlink="">
      <cdr:nvSpPr>
        <cdr:cNvPr id="8" name="TextBox 14"/>
        <cdr:cNvSpPr txBox="1"/>
      </cdr:nvSpPr>
      <cdr:spPr>
        <a:xfrm xmlns:a="http://schemas.openxmlformats.org/drawingml/2006/main">
          <a:off x="4479925" y="3190875"/>
          <a:ext cx="894605" cy="387965"/>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Furthest</a:t>
          </a:r>
        </a:p>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Location</a:t>
          </a:r>
          <a:endParaRPr lang="en-US" sz="1100"/>
        </a:p>
      </cdr:txBody>
    </cdr:sp>
  </cdr:relSizeAnchor>
  <cdr:relSizeAnchor xmlns:cdr="http://schemas.openxmlformats.org/drawingml/2006/chartDrawing">
    <cdr:from>
      <cdr:x>0.55829</cdr:x>
      <cdr:y>0.6084</cdr:y>
    </cdr:from>
    <cdr:to>
      <cdr:x>0.65462</cdr:x>
      <cdr:y>0.66257</cdr:y>
    </cdr:to>
    <cdr:sp macro="" textlink="">
      <cdr:nvSpPr>
        <cdr:cNvPr id="12" name="TextBox 14"/>
        <cdr:cNvSpPr txBox="1"/>
      </cdr:nvSpPr>
      <cdr:spPr>
        <a:xfrm xmlns:a="http://schemas.openxmlformats.org/drawingml/2006/main">
          <a:off x="5184775" y="3679825"/>
          <a:ext cx="894605" cy="327640"/>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Base Case</a:t>
          </a:r>
          <a:endParaRPr lang="en-US" sz="1100"/>
        </a:p>
      </cdr:txBody>
    </cdr:sp>
  </cdr:relSizeAnchor>
</c:userShapes>
</file>

<file path=xl/drawings/drawing12.xml><?xml version="1.0" encoding="utf-8"?>
<xdr:wsDr xmlns:xdr="http://schemas.openxmlformats.org/drawingml/2006/spreadsheetDrawing" xmlns:a="http://schemas.openxmlformats.org/drawingml/2006/main">
  <xdr:absoluteAnchor>
    <xdr:pos x="3143250" y="38735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0.91193</cdr:x>
      <cdr:y>0.13389</cdr:y>
    </cdr:from>
    <cdr:to>
      <cdr:x>0.98648</cdr:x>
      <cdr:y>0.86411</cdr:y>
    </cdr:to>
    <cdr:sp macro="" textlink="">
      <cdr:nvSpPr>
        <cdr:cNvPr id="3" name="Down Arrow 2"/>
        <cdr:cNvSpPr/>
      </cdr:nvSpPr>
      <cdr:spPr>
        <a:xfrm xmlns:a="http://schemas.openxmlformats.org/drawingml/2006/main">
          <a:off x="8467565" y="809626"/>
          <a:ext cx="692222" cy="4415482"/>
        </a:xfrm>
        <a:prstGeom xmlns:a="http://schemas.openxmlformats.org/drawingml/2006/main" prst="downArrow">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0.87706</cdr:x>
      <cdr:y>0.47297</cdr:y>
    </cdr:from>
    <cdr:to>
      <cdr:x>0.99897</cdr:x>
      <cdr:y>0.59855</cdr:y>
    </cdr:to>
    <cdr:sp macro="" textlink="">
      <cdr:nvSpPr>
        <cdr:cNvPr id="8" name="TextBox 1"/>
        <cdr:cNvSpPr txBox="1"/>
      </cdr:nvSpPr>
      <cdr:spPr>
        <a:xfrm xmlns:a="http://schemas.openxmlformats.org/drawingml/2006/main">
          <a:off x="8145187" y="2860675"/>
          <a:ext cx="1132163" cy="75958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Reducing</a:t>
          </a:r>
          <a:r>
            <a:rPr lang="en-US" sz="1400" b="1" baseline="0">
              <a:latin typeface="Arial" panose="020B0604020202020204" pitchFamily="34" charset="0"/>
              <a:cs typeface="Arial" panose="020B0604020202020204" pitchFamily="34" charset="0"/>
            </a:rPr>
            <a:t> production cost</a:t>
          </a:r>
          <a:endParaRPr lang="en-US" sz="1400" b="1">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23</xdr:col>
      <xdr:colOff>238124</xdr:colOff>
      <xdr:row>279</xdr:row>
      <xdr:rowOff>142875</xdr:rowOff>
    </xdr:from>
    <xdr:to>
      <xdr:col>24</xdr:col>
      <xdr:colOff>503191</xdr:colOff>
      <xdr:row>281</xdr:row>
      <xdr:rowOff>102580</xdr:rowOff>
    </xdr:to>
    <xdr:sp macro="" textlink="">
      <xdr:nvSpPr>
        <xdr:cNvPr id="20" name="TextBox 14"/>
        <xdr:cNvSpPr txBox="1"/>
      </xdr:nvSpPr>
      <xdr:spPr>
        <a:xfrm>
          <a:off x="10215562" y="16561594"/>
          <a:ext cx="872285" cy="293080"/>
        </a:xfrm>
        <a:prstGeom prst="rect">
          <a:avLst/>
        </a:prstGeom>
        <a:solidFill>
          <a:schemeClr val="accent2">
            <a:lumMod val="20000"/>
            <a:lumOff val="80000"/>
          </a:schemeClr>
        </a:solidFill>
        <a:ln w="9525" cmpd="sng">
          <a:solidFill>
            <a:schemeClr val="bg1">
              <a:lumMod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aseline="0">
              <a:solidFill>
                <a:schemeClr val="dk1"/>
              </a:solidFill>
              <a:effectLst/>
              <a:latin typeface="Arial" panose="020B0604020202020204" pitchFamily="34" charset="0"/>
              <a:ea typeface="+mn-ea"/>
              <a:cs typeface="Arial" panose="020B0604020202020204" pitchFamily="34" charset="0"/>
            </a:rPr>
            <a:t>50ML pa</a:t>
          </a:r>
          <a:endParaRPr lang="en-US" sz="1100"/>
        </a:p>
      </xdr:txBody>
    </xdr:sp>
    <xdr:clientData/>
  </xdr:twoCellAnchor>
  <xdr:twoCellAnchor>
    <xdr:from>
      <xdr:col>23</xdr:col>
      <xdr:colOff>285750</xdr:colOff>
      <xdr:row>288</xdr:row>
      <xdr:rowOff>59532</xdr:rowOff>
    </xdr:from>
    <xdr:to>
      <xdr:col>24</xdr:col>
      <xdr:colOff>550815</xdr:colOff>
      <xdr:row>290</xdr:row>
      <xdr:rowOff>19237</xdr:rowOff>
    </xdr:to>
    <xdr:sp macro="" textlink="">
      <xdr:nvSpPr>
        <xdr:cNvPr id="23" name="TextBox 14"/>
        <xdr:cNvSpPr txBox="1"/>
      </xdr:nvSpPr>
      <xdr:spPr>
        <a:xfrm>
          <a:off x="10263188" y="17978438"/>
          <a:ext cx="872283" cy="293080"/>
        </a:xfrm>
        <a:prstGeom prst="rect">
          <a:avLst/>
        </a:prstGeom>
        <a:solidFill>
          <a:schemeClr val="accent2">
            <a:lumMod val="20000"/>
            <a:lumOff val="80000"/>
          </a:schemeClr>
        </a:solidFill>
        <a:ln w="9525" cmpd="sng">
          <a:solidFill>
            <a:schemeClr val="bg1">
              <a:lumMod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100" baseline="0">
              <a:solidFill>
                <a:schemeClr val="dk1"/>
              </a:solidFill>
              <a:effectLst/>
              <a:latin typeface="Arial" panose="020B0604020202020204" pitchFamily="34" charset="0"/>
              <a:ea typeface="+mn-ea"/>
              <a:cs typeface="Arial" panose="020B0604020202020204" pitchFamily="34" charset="0"/>
            </a:rPr>
            <a:t>100ML pa</a:t>
          </a:r>
          <a:endParaRPr lang="en-US" sz="1100"/>
        </a:p>
      </xdr:txBody>
    </xdr:sp>
    <xdr:clientData/>
  </xdr:twoCellAnchor>
  <xdr:twoCellAnchor>
    <xdr:from>
      <xdr:col>2</xdr:col>
      <xdr:colOff>19794</xdr:colOff>
      <xdr:row>0</xdr:row>
      <xdr:rowOff>45771</xdr:rowOff>
    </xdr:from>
    <xdr:to>
      <xdr:col>3</xdr:col>
      <xdr:colOff>3289424</xdr:colOff>
      <xdr:row>32</xdr:row>
      <xdr:rowOff>129888</xdr:rowOff>
    </xdr:to>
    <xdr:graphicFrame macro="">
      <xdr:nvGraphicFramePr>
        <xdr:cNvPr id="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340179</xdr:colOff>
      <xdr:row>0</xdr:row>
      <xdr:rowOff>29688</xdr:rowOff>
    </xdr:from>
    <xdr:to>
      <xdr:col>8</xdr:col>
      <xdr:colOff>3225841</xdr:colOff>
      <xdr:row>32</xdr:row>
      <xdr:rowOff>39714</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503465</xdr:colOff>
      <xdr:row>35</xdr:row>
      <xdr:rowOff>68036</xdr:rowOff>
    </xdr:from>
    <xdr:to>
      <xdr:col>3</xdr:col>
      <xdr:colOff>3157806</xdr:colOff>
      <xdr:row>67</xdr:row>
      <xdr:rowOff>105274</xdr:rowOff>
    </xdr:to>
    <xdr:graphicFrame macro="">
      <xdr:nvGraphicFramePr>
        <xdr:cNvPr id="4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489857</xdr:colOff>
      <xdr:row>69</xdr:row>
      <xdr:rowOff>54429</xdr:rowOff>
    </xdr:from>
    <xdr:to>
      <xdr:col>3</xdr:col>
      <xdr:colOff>3144198</xdr:colOff>
      <xdr:row>100</xdr:row>
      <xdr:rowOff>92906</xdr:rowOff>
    </xdr:to>
    <xdr:graphicFrame macro="">
      <xdr:nvGraphicFramePr>
        <xdr:cNvPr id="4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27214</xdr:colOff>
      <xdr:row>69</xdr:row>
      <xdr:rowOff>122464</xdr:rowOff>
    </xdr:from>
    <xdr:to>
      <xdr:col>8</xdr:col>
      <xdr:colOff>2912876</xdr:colOff>
      <xdr:row>101</xdr:row>
      <xdr:rowOff>11262</xdr:rowOff>
    </xdr:to>
    <xdr:graphicFrame macro="">
      <xdr:nvGraphicFramePr>
        <xdr:cNvPr id="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394606</xdr:colOff>
      <xdr:row>102</xdr:row>
      <xdr:rowOff>0</xdr:rowOff>
    </xdr:from>
    <xdr:to>
      <xdr:col>3</xdr:col>
      <xdr:colOff>3048947</xdr:colOff>
      <xdr:row>133</xdr:row>
      <xdr:rowOff>38477</xdr:rowOff>
    </xdr:to>
    <xdr:graphicFrame macro="">
      <xdr:nvGraphicFramePr>
        <xdr:cNvPr id="5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312964</xdr:colOff>
      <xdr:row>102</xdr:row>
      <xdr:rowOff>95250</xdr:rowOff>
    </xdr:from>
    <xdr:to>
      <xdr:col>8</xdr:col>
      <xdr:colOff>2817626</xdr:colOff>
      <xdr:row>133</xdr:row>
      <xdr:rowOff>133727</xdr:rowOff>
    </xdr:to>
    <xdr:graphicFrame macro="">
      <xdr:nvGraphicFramePr>
        <xdr:cNvPr id="5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449035</xdr:colOff>
      <xdr:row>134</xdr:row>
      <xdr:rowOff>136072</xdr:rowOff>
    </xdr:from>
    <xdr:to>
      <xdr:col>3</xdr:col>
      <xdr:colOff>3103376</xdr:colOff>
      <xdr:row>163</xdr:row>
      <xdr:rowOff>106513</xdr:rowOff>
    </xdr:to>
    <xdr:graphicFrame macro="">
      <xdr:nvGraphicFramePr>
        <xdr:cNvPr id="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217713</xdr:colOff>
      <xdr:row>36</xdr:row>
      <xdr:rowOff>0</xdr:rowOff>
    </xdr:from>
    <xdr:to>
      <xdr:col>8</xdr:col>
      <xdr:colOff>3103375</xdr:colOff>
      <xdr:row>67</xdr:row>
      <xdr:rowOff>14973</xdr:rowOff>
    </xdr:to>
    <xdr:graphicFrame macro="">
      <xdr:nvGraphicFramePr>
        <xdr:cNvPr id="4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99049</xdr:colOff>
      <xdr:row>25</xdr:row>
      <xdr:rowOff>52918</xdr:rowOff>
    </xdr:from>
    <xdr:to>
      <xdr:col>3</xdr:col>
      <xdr:colOff>2842249</xdr:colOff>
      <xdr:row>27</xdr:row>
      <xdr:rowOff>65021</xdr:rowOff>
    </xdr:to>
    <xdr:sp macro="" textlink="">
      <xdr:nvSpPr>
        <xdr:cNvPr id="125" name="Rounded Rectangle 124">
          <a:hlinkClick xmlns:r="http://schemas.openxmlformats.org/officeDocument/2006/relationships" r:id="rId1"/>
        </xdr:cNvPr>
        <xdr:cNvSpPr/>
      </xdr:nvSpPr>
      <xdr:spPr>
        <a:xfrm>
          <a:off x="4469966" y="4582585"/>
          <a:ext cx="2743200" cy="329603"/>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C-Syrup (Sucrosic) Model</a:t>
          </a:r>
        </a:p>
      </xdr:txBody>
    </xdr:sp>
    <xdr:clientData/>
  </xdr:twoCellAnchor>
  <xdr:twoCellAnchor>
    <xdr:from>
      <xdr:col>3</xdr:col>
      <xdr:colOff>91268</xdr:colOff>
      <xdr:row>18</xdr:row>
      <xdr:rowOff>78093</xdr:rowOff>
    </xdr:from>
    <xdr:to>
      <xdr:col>3</xdr:col>
      <xdr:colOff>2834468</xdr:colOff>
      <xdr:row>20</xdr:row>
      <xdr:rowOff>87395</xdr:rowOff>
    </xdr:to>
    <xdr:sp macro="" textlink="">
      <xdr:nvSpPr>
        <xdr:cNvPr id="126" name="Rounded Rectangle 125">
          <a:hlinkClick xmlns:r="http://schemas.openxmlformats.org/officeDocument/2006/relationships" r:id="rId2"/>
        </xdr:cNvPr>
        <xdr:cNvSpPr/>
      </xdr:nvSpPr>
      <xdr:spPr>
        <a:xfrm>
          <a:off x="4462185" y="3496510"/>
          <a:ext cx="2743200" cy="326802"/>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Wheat Integrated (Starch) Model</a:t>
          </a:r>
        </a:p>
      </xdr:txBody>
    </xdr:sp>
    <xdr:clientData/>
  </xdr:twoCellAnchor>
  <xdr:twoCellAnchor>
    <xdr:from>
      <xdr:col>3</xdr:col>
      <xdr:colOff>91266</xdr:colOff>
      <xdr:row>27</xdr:row>
      <xdr:rowOff>110154</xdr:rowOff>
    </xdr:from>
    <xdr:to>
      <xdr:col>3</xdr:col>
      <xdr:colOff>2834466</xdr:colOff>
      <xdr:row>29</xdr:row>
      <xdr:rowOff>122258</xdr:rowOff>
    </xdr:to>
    <xdr:sp macro="" textlink="">
      <xdr:nvSpPr>
        <xdr:cNvPr id="127" name="Rounded Rectangle 126">
          <a:hlinkClick xmlns:r="http://schemas.openxmlformats.org/officeDocument/2006/relationships" r:id="rId3"/>
        </xdr:cNvPr>
        <xdr:cNvSpPr/>
      </xdr:nvSpPr>
      <xdr:spPr>
        <a:xfrm>
          <a:off x="4462183" y="4957321"/>
          <a:ext cx="2743200" cy="329604"/>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B-Syrup</a:t>
          </a:r>
          <a:r>
            <a:rPr lang="en-AU" sz="1400" b="1" baseline="0">
              <a:solidFill>
                <a:sysClr val="windowText" lastClr="000000"/>
              </a:solidFill>
            </a:rPr>
            <a:t> (Sucrosic) Model</a:t>
          </a:r>
          <a:endParaRPr lang="en-AU" sz="1400" b="1">
            <a:solidFill>
              <a:sysClr val="windowText" lastClr="000000"/>
            </a:solidFill>
          </a:endParaRPr>
        </a:p>
      </xdr:txBody>
    </xdr:sp>
    <xdr:clientData/>
  </xdr:twoCellAnchor>
  <xdr:twoCellAnchor>
    <xdr:from>
      <xdr:col>3</xdr:col>
      <xdr:colOff>89150</xdr:colOff>
      <xdr:row>22</xdr:row>
      <xdr:rowOff>157467</xdr:rowOff>
    </xdr:from>
    <xdr:to>
      <xdr:col>3</xdr:col>
      <xdr:colOff>2832350</xdr:colOff>
      <xdr:row>25</xdr:row>
      <xdr:rowOff>13622</xdr:rowOff>
    </xdr:to>
    <xdr:sp macro="" textlink="">
      <xdr:nvSpPr>
        <xdr:cNvPr id="128" name="Rounded Rectangle 127">
          <a:hlinkClick xmlns:r="http://schemas.openxmlformats.org/officeDocument/2006/relationships" r:id="rId4"/>
        </xdr:cNvPr>
        <xdr:cNvSpPr/>
      </xdr:nvSpPr>
      <xdr:spPr>
        <a:xfrm>
          <a:off x="4460067" y="4210884"/>
          <a:ext cx="2743200" cy="33240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Sorgum (Starch) Model</a:t>
          </a:r>
        </a:p>
      </xdr:txBody>
    </xdr:sp>
    <xdr:clientData/>
  </xdr:twoCellAnchor>
  <xdr:twoCellAnchor>
    <xdr:from>
      <xdr:col>3</xdr:col>
      <xdr:colOff>101851</xdr:colOff>
      <xdr:row>32</xdr:row>
      <xdr:rowOff>99882</xdr:rowOff>
    </xdr:from>
    <xdr:to>
      <xdr:col>3</xdr:col>
      <xdr:colOff>2845051</xdr:colOff>
      <xdr:row>34</xdr:row>
      <xdr:rowOff>111985</xdr:rowOff>
    </xdr:to>
    <xdr:sp macro="" textlink="">
      <xdr:nvSpPr>
        <xdr:cNvPr id="129" name="Rounded Rectangle 128">
          <a:hlinkClick xmlns:r="http://schemas.openxmlformats.org/officeDocument/2006/relationships" r:id="rId5"/>
        </xdr:cNvPr>
        <xdr:cNvSpPr/>
      </xdr:nvSpPr>
      <xdr:spPr>
        <a:xfrm>
          <a:off x="4472768" y="5740799"/>
          <a:ext cx="2743200" cy="329603"/>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Forest Residues (Cellulosic) Model</a:t>
          </a:r>
        </a:p>
      </xdr:txBody>
    </xdr:sp>
    <xdr:clientData/>
  </xdr:twoCellAnchor>
  <xdr:twoCellAnchor>
    <xdr:from>
      <xdr:col>3</xdr:col>
      <xdr:colOff>91266</xdr:colOff>
      <xdr:row>20</xdr:row>
      <xdr:rowOff>113579</xdr:rowOff>
    </xdr:from>
    <xdr:to>
      <xdr:col>3</xdr:col>
      <xdr:colOff>2834466</xdr:colOff>
      <xdr:row>22</xdr:row>
      <xdr:rowOff>117837</xdr:rowOff>
    </xdr:to>
    <xdr:sp macro="" textlink="">
      <xdr:nvSpPr>
        <xdr:cNvPr id="130" name="Rounded Rectangle 129">
          <a:hlinkClick xmlns:r="http://schemas.openxmlformats.org/officeDocument/2006/relationships" r:id="rId6"/>
        </xdr:cNvPr>
        <xdr:cNvSpPr/>
      </xdr:nvSpPr>
      <xdr:spPr>
        <a:xfrm>
          <a:off x="4462183" y="3849496"/>
          <a:ext cx="2743200" cy="321758"/>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Imported</a:t>
          </a:r>
          <a:r>
            <a:rPr lang="en-AU" sz="1400" b="1" baseline="0">
              <a:solidFill>
                <a:sysClr val="windowText" lastClr="000000"/>
              </a:solidFill>
            </a:rPr>
            <a:t> Model</a:t>
          </a:r>
          <a:endParaRPr lang="en-AU" sz="1400" b="1">
            <a:solidFill>
              <a:sysClr val="windowText" lastClr="000000"/>
            </a:solidFill>
          </a:endParaRPr>
        </a:p>
      </xdr:txBody>
    </xdr:sp>
    <xdr:clientData/>
  </xdr:twoCellAnchor>
  <xdr:twoCellAnchor>
    <xdr:from>
      <xdr:col>3</xdr:col>
      <xdr:colOff>91266</xdr:colOff>
      <xdr:row>16</xdr:row>
      <xdr:rowOff>4881</xdr:rowOff>
    </xdr:from>
    <xdr:to>
      <xdr:col>3</xdr:col>
      <xdr:colOff>2834466</xdr:colOff>
      <xdr:row>18</xdr:row>
      <xdr:rowOff>6899</xdr:rowOff>
    </xdr:to>
    <xdr:sp macro="" textlink="">
      <xdr:nvSpPr>
        <xdr:cNvPr id="131" name="Rounded Rectangle 130">
          <a:hlinkClick xmlns:r="http://schemas.openxmlformats.org/officeDocument/2006/relationships" r:id="rId7"/>
        </xdr:cNvPr>
        <xdr:cNvSpPr/>
      </xdr:nvSpPr>
      <xdr:spPr>
        <a:xfrm>
          <a:off x="4462183" y="3105798"/>
          <a:ext cx="2743200" cy="319518"/>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Wheat Standalone (Starch) Model</a:t>
          </a:r>
        </a:p>
      </xdr:txBody>
    </xdr:sp>
    <xdr:clientData/>
  </xdr:twoCellAnchor>
  <xdr:twoCellAnchor>
    <xdr:from>
      <xdr:col>1</xdr:col>
      <xdr:colOff>67570</xdr:colOff>
      <xdr:row>22</xdr:row>
      <xdr:rowOff>87108</xdr:rowOff>
    </xdr:from>
    <xdr:to>
      <xdr:col>1</xdr:col>
      <xdr:colOff>1539754</xdr:colOff>
      <xdr:row>28</xdr:row>
      <xdr:rowOff>113016</xdr:rowOff>
    </xdr:to>
    <xdr:sp macro="" textlink="">
      <xdr:nvSpPr>
        <xdr:cNvPr id="140" name="Rounded Rectangle 139">
          <a:hlinkClick xmlns:r="http://schemas.openxmlformats.org/officeDocument/2006/relationships" r:id="rId8"/>
        </xdr:cNvPr>
        <xdr:cNvSpPr/>
      </xdr:nvSpPr>
      <xdr:spPr>
        <a:xfrm>
          <a:off x="2279487" y="4140525"/>
          <a:ext cx="1472184" cy="978408"/>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Interactive</a:t>
          </a:r>
        </a:p>
      </xdr:txBody>
    </xdr:sp>
    <xdr:clientData/>
  </xdr:twoCellAnchor>
  <xdr:twoCellAnchor>
    <xdr:from>
      <xdr:col>1</xdr:col>
      <xdr:colOff>64881</xdr:colOff>
      <xdr:row>16</xdr:row>
      <xdr:rowOff>3680</xdr:rowOff>
    </xdr:from>
    <xdr:to>
      <xdr:col>1</xdr:col>
      <xdr:colOff>1540720</xdr:colOff>
      <xdr:row>22</xdr:row>
      <xdr:rowOff>32988</xdr:rowOff>
    </xdr:to>
    <xdr:sp macro="" textlink="">
      <xdr:nvSpPr>
        <xdr:cNvPr id="159" name="Rounded Rectangle 158">
          <a:hlinkClick xmlns:r="http://schemas.openxmlformats.org/officeDocument/2006/relationships" r:id="rId9"/>
        </xdr:cNvPr>
        <xdr:cNvSpPr/>
      </xdr:nvSpPr>
      <xdr:spPr>
        <a:xfrm>
          <a:off x="2276798" y="3104597"/>
          <a:ext cx="1475839" cy="981808"/>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Assumptions</a:t>
          </a:r>
        </a:p>
      </xdr:txBody>
    </xdr:sp>
    <xdr:clientData/>
  </xdr:twoCellAnchor>
  <xdr:twoCellAnchor>
    <xdr:from>
      <xdr:col>3</xdr:col>
      <xdr:colOff>95249</xdr:colOff>
      <xdr:row>30</xdr:row>
      <xdr:rowOff>21166</xdr:rowOff>
    </xdr:from>
    <xdr:to>
      <xdr:col>3</xdr:col>
      <xdr:colOff>2838449</xdr:colOff>
      <xdr:row>32</xdr:row>
      <xdr:rowOff>33270</xdr:rowOff>
    </xdr:to>
    <xdr:sp macro="" textlink="">
      <xdr:nvSpPr>
        <xdr:cNvPr id="35" name="Rounded Rectangle 34">
          <a:hlinkClick xmlns:r="http://schemas.openxmlformats.org/officeDocument/2006/relationships" r:id="rId10"/>
        </xdr:cNvPr>
        <xdr:cNvSpPr/>
      </xdr:nvSpPr>
      <xdr:spPr>
        <a:xfrm>
          <a:off x="4466166" y="5344583"/>
          <a:ext cx="2743200" cy="329604"/>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AU" sz="1400" b="1">
              <a:solidFill>
                <a:sysClr val="windowText" lastClr="000000"/>
              </a:solidFill>
            </a:rPr>
            <a:t>Cane</a:t>
          </a:r>
          <a:r>
            <a:rPr lang="en-AU" sz="1400" b="1" baseline="0">
              <a:solidFill>
                <a:sysClr val="windowText" lastClr="000000"/>
              </a:solidFill>
            </a:rPr>
            <a:t> trash (Cellulosic) Model</a:t>
          </a:r>
          <a:endParaRPr lang="en-AU" sz="1400" b="1">
            <a:solidFill>
              <a:sysClr val="windowText" lastClr="000000"/>
            </a:solidFill>
          </a:endParaRPr>
        </a:p>
      </xdr:txBody>
    </xdr:sp>
    <xdr:clientData/>
  </xdr:twoCellAnchor>
  <xdr:twoCellAnchor>
    <xdr:from>
      <xdr:col>5</xdr:col>
      <xdr:colOff>63500</xdr:colOff>
      <xdr:row>15</xdr:row>
      <xdr:rowOff>158748</xdr:rowOff>
    </xdr:from>
    <xdr:to>
      <xdr:col>5</xdr:col>
      <xdr:colOff>2115500</xdr:colOff>
      <xdr:row>18</xdr:row>
      <xdr:rowOff>78823</xdr:rowOff>
    </xdr:to>
    <xdr:sp macro="" textlink="">
      <xdr:nvSpPr>
        <xdr:cNvPr id="13" name="Rounded Rectangle 12">
          <a:hlinkClick xmlns:r="http://schemas.openxmlformats.org/officeDocument/2006/relationships" r:id="rId11"/>
        </xdr:cNvPr>
        <xdr:cNvSpPr/>
      </xdr:nvSpPr>
      <xdr:spPr>
        <a:xfrm>
          <a:off x="5080000" y="3069165"/>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Production Curve</a:t>
          </a:r>
        </a:p>
      </xdr:txBody>
    </xdr:sp>
    <xdr:clientData/>
  </xdr:twoCellAnchor>
  <xdr:twoCellAnchor>
    <xdr:from>
      <xdr:col>5</xdr:col>
      <xdr:colOff>52916</xdr:colOff>
      <xdr:row>18</xdr:row>
      <xdr:rowOff>137583</xdr:rowOff>
    </xdr:from>
    <xdr:to>
      <xdr:col>5</xdr:col>
      <xdr:colOff>2104916</xdr:colOff>
      <xdr:row>21</xdr:row>
      <xdr:rowOff>57658</xdr:rowOff>
    </xdr:to>
    <xdr:sp macro="" textlink="">
      <xdr:nvSpPr>
        <xdr:cNvPr id="14" name="Rounded Rectangle 13">
          <a:hlinkClick xmlns:r="http://schemas.openxmlformats.org/officeDocument/2006/relationships" r:id="rId12"/>
        </xdr:cNvPr>
        <xdr:cNvSpPr/>
      </xdr:nvSpPr>
      <xdr:spPr>
        <a:xfrm>
          <a:off x="5069416" y="3524250"/>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Levelised Cost</a:t>
          </a:r>
        </a:p>
      </xdr:txBody>
    </xdr:sp>
    <xdr:clientData/>
  </xdr:twoCellAnchor>
  <xdr:twoCellAnchor>
    <xdr:from>
      <xdr:col>5</xdr:col>
      <xdr:colOff>52916</xdr:colOff>
      <xdr:row>21</xdr:row>
      <xdr:rowOff>105834</xdr:rowOff>
    </xdr:from>
    <xdr:to>
      <xdr:col>5</xdr:col>
      <xdr:colOff>2104916</xdr:colOff>
      <xdr:row>24</xdr:row>
      <xdr:rowOff>25909</xdr:rowOff>
    </xdr:to>
    <xdr:sp macro="" textlink="">
      <xdr:nvSpPr>
        <xdr:cNvPr id="15" name="Rounded Rectangle 14">
          <a:hlinkClick xmlns:r="http://schemas.openxmlformats.org/officeDocument/2006/relationships" r:id="rId13"/>
        </xdr:cNvPr>
        <xdr:cNvSpPr/>
      </xdr:nvSpPr>
      <xdr:spPr>
        <a:xfrm>
          <a:off x="5069416" y="3968751"/>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Scale</a:t>
          </a:r>
          <a:r>
            <a:rPr lang="en-AU" sz="1400" b="1" baseline="0">
              <a:solidFill>
                <a:sysClr val="windowText" lastClr="000000"/>
              </a:solidFill>
            </a:rPr>
            <a:t> Impact</a:t>
          </a:r>
          <a:endParaRPr lang="en-AU" sz="1400" b="1">
            <a:solidFill>
              <a:sysClr val="windowText" lastClr="000000"/>
            </a:solidFill>
          </a:endParaRPr>
        </a:p>
      </xdr:txBody>
    </xdr:sp>
    <xdr:clientData/>
  </xdr:twoCellAnchor>
  <xdr:twoCellAnchor>
    <xdr:from>
      <xdr:col>5</xdr:col>
      <xdr:colOff>63500</xdr:colOff>
      <xdr:row>24</xdr:row>
      <xdr:rowOff>84667</xdr:rowOff>
    </xdr:from>
    <xdr:to>
      <xdr:col>5</xdr:col>
      <xdr:colOff>2115500</xdr:colOff>
      <xdr:row>27</xdr:row>
      <xdr:rowOff>4742</xdr:rowOff>
    </xdr:to>
    <xdr:sp macro="" textlink="">
      <xdr:nvSpPr>
        <xdr:cNvPr id="16" name="Rounded Rectangle 15">
          <a:hlinkClick xmlns:r="http://schemas.openxmlformats.org/officeDocument/2006/relationships" r:id="rId14"/>
        </xdr:cNvPr>
        <xdr:cNvSpPr/>
      </xdr:nvSpPr>
      <xdr:spPr>
        <a:xfrm>
          <a:off x="5080000" y="4423834"/>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Location Impact</a:t>
          </a:r>
        </a:p>
      </xdr:txBody>
    </xdr:sp>
    <xdr:clientData/>
  </xdr:twoCellAnchor>
  <xdr:twoCellAnchor>
    <xdr:from>
      <xdr:col>5</xdr:col>
      <xdr:colOff>63500</xdr:colOff>
      <xdr:row>27</xdr:row>
      <xdr:rowOff>52916</xdr:rowOff>
    </xdr:from>
    <xdr:to>
      <xdr:col>5</xdr:col>
      <xdr:colOff>2115500</xdr:colOff>
      <xdr:row>29</xdr:row>
      <xdr:rowOff>131741</xdr:rowOff>
    </xdr:to>
    <xdr:sp macro="" textlink="">
      <xdr:nvSpPr>
        <xdr:cNvPr id="17" name="Rounded Rectangle 16">
          <a:hlinkClick xmlns:r="http://schemas.openxmlformats.org/officeDocument/2006/relationships" r:id="rId15"/>
        </xdr:cNvPr>
        <xdr:cNvSpPr/>
      </xdr:nvSpPr>
      <xdr:spPr>
        <a:xfrm>
          <a:off x="5080000" y="4868333"/>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Feedstock price  Impact</a:t>
          </a:r>
        </a:p>
      </xdr:txBody>
    </xdr:sp>
    <xdr:clientData/>
  </xdr:twoCellAnchor>
  <xdr:twoCellAnchor>
    <xdr:from>
      <xdr:col>5</xdr:col>
      <xdr:colOff>74084</xdr:colOff>
      <xdr:row>30</xdr:row>
      <xdr:rowOff>21166</xdr:rowOff>
    </xdr:from>
    <xdr:to>
      <xdr:col>5</xdr:col>
      <xdr:colOff>2126084</xdr:colOff>
      <xdr:row>32</xdr:row>
      <xdr:rowOff>99991</xdr:rowOff>
    </xdr:to>
    <xdr:sp macro="" textlink="">
      <xdr:nvSpPr>
        <xdr:cNvPr id="18" name="Rounded Rectangle 17">
          <a:hlinkClick xmlns:r="http://schemas.openxmlformats.org/officeDocument/2006/relationships" r:id="rId16"/>
        </xdr:cNvPr>
        <xdr:cNvSpPr/>
      </xdr:nvSpPr>
      <xdr:spPr>
        <a:xfrm>
          <a:off x="5090584" y="5312833"/>
          <a:ext cx="2052000" cy="396325"/>
        </a:xfrm>
        <a:prstGeom prst="roundRect">
          <a:avLst/>
        </a:prstGeom>
        <a:solidFill>
          <a:srgbClr val="FFFF9A"/>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ysClr val="windowText" lastClr="000000"/>
              </a:solidFill>
            </a:rPr>
            <a:t>Charts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11205</xdr:colOff>
      <xdr:row>1</xdr:row>
      <xdr:rowOff>136141</xdr:rowOff>
    </xdr:from>
    <xdr:to>
      <xdr:col>16</xdr:col>
      <xdr:colOff>1885950</xdr:colOff>
      <xdr:row>30</xdr:row>
      <xdr:rowOff>12326</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600195</xdr:colOff>
      <xdr:row>2</xdr:row>
      <xdr:rowOff>0</xdr:rowOff>
    </xdr:from>
    <xdr:to>
      <xdr:col>16</xdr:col>
      <xdr:colOff>2172545</xdr:colOff>
      <xdr:row>30</xdr:row>
      <xdr:rowOff>248</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1095375</xdr:colOff>
      <xdr:row>2</xdr:row>
      <xdr:rowOff>0</xdr:rowOff>
    </xdr:from>
    <xdr:to>
      <xdr:col>18</xdr:col>
      <xdr:colOff>772250</xdr:colOff>
      <xdr:row>30</xdr:row>
      <xdr:rowOff>248</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3228975" y="504825"/>
    <xdr:ext cx="9286875" cy="6048375"/>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0.10701</cdr:x>
      <cdr:y>0.1895</cdr:y>
    </cdr:from>
    <cdr:to>
      <cdr:x>0.27815</cdr:x>
      <cdr:y>0.28697</cdr:y>
    </cdr:to>
    <cdr:sp macro="" textlink="">
      <cdr:nvSpPr>
        <cdr:cNvPr id="2" name="TextBox 4"/>
        <cdr:cNvSpPr txBox="1"/>
      </cdr:nvSpPr>
      <cdr:spPr>
        <a:xfrm xmlns:a="http://schemas.openxmlformats.org/drawingml/2006/main">
          <a:off x="993775" y="1146175"/>
          <a:ext cx="1589355" cy="589535"/>
        </a:xfrm>
        <a:prstGeom xmlns:a="http://schemas.openxmlformats.org/drawingml/2006/main" prst="rect">
          <a:avLst/>
        </a:prstGeom>
        <a:solidFill xmlns:a="http://schemas.openxmlformats.org/drawingml/2006/main">
          <a:schemeClr val="accent2">
            <a:lumMod val="5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200" b="1">
              <a:solidFill>
                <a:schemeClr val="bg1"/>
              </a:solidFill>
              <a:latin typeface="Arial" panose="020B0604020202020204" pitchFamily="34" charset="0"/>
              <a:cs typeface="Arial" panose="020B0604020202020204" pitchFamily="34" charset="0"/>
            </a:rPr>
            <a:t>Imported Starch</a:t>
          </a:r>
          <a:r>
            <a:rPr lang="en-AU" sz="1200" b="1" baseline="0">
              <a:solidFill>
                <a:schemeClr val="bg1"/>
              </a:solidFill>
              <a:latin typeface="Arial" panose="020B0604020202020204" pitchFamily="34" charset="0"/>
              <a:cs typeface="Arial" panose="020B0604020202020204" pitchFamily="34" charset="0"/>
            </a:rPr>
            <a:t> not shown (no  current feedstock source)</a:t>
          </a:r>
          <a:endParaRPr lang="en-AU" sz="1200" b="1">
            <a:solidFill>
              <a:schemeClr val="bg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absoluteAnchor>
    <xdr:pos x="3219450" y="333375"/>
    <xdr:ext cx="9286875" cy="6048375"/>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0.00776</cdr:x>
      <cdr:y>0.1486</cdr:y>
    </cdr:from>
    <cdr:to>
      <cdr:x>0.04707</cdr:x>
      <cdr:y>0.47246</cdr:y>
    </cdr:to>
    <cdr:sp macro="" textlink="">
      <cdr:nvSpPr>
        <cdr:cNvPr id="3" name="Up Arrow 2"/>
        <cdr:cNvSpPr/>
      </cdr:nvSpPr>
      <cdr:spPr>
        <a:xfrm xmlns:a="http://schemas.openxmlformats.org/drawingml/2006/main">
          <a:off x="50800" y="690034"/>
          <a:ext cx="257175" cy="1503891"/>
        </a:xfrm>
        <a:prstGeom xmlns:a="http://schemas.openxmlformats.org/drawingml/2006/main" prst="upArrow">
          <a:avLst>
            <a:gd name="adj1" fmla="val 50000"/>
            <a:gd name="adj2" fmla="val 38889"/>
          </a:avLst>
        </a:prstGeom>
        <a:solidFill xmlns:a="http://schemas.openxmlformats.org/drawingml/2006/main">
          <a:schemeClr val="bg1">
            <a:lumMod val="50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0.59285</cdr:x>
      <cdr:y>0.93233</cdr:y>
    </cdr:from>
    <cdr:to>
      <cdr:x>0.91199</cdr:x>
      <cdr:y>0.98812</cdr:y>
    </cdr:to>
    <cdr:sp macro="" textlink="">
      <cdr:nvSpPr>
        <cdr:cNvPr id="5" name="Up Arrow 4"/>
        <cdr:cNvSpPr/>
      </cdr:nvSpPr>
      <cdr:spPr>
        <a:xfrm xmlns:a="http://schemas.openxmlformats.org/drawingml/2006/main" rot="5400000">
          <a:off x="6818911" y="4325880"/>
          <a:ext cx="337439" cy="2963813"/>
        </a:xfrm>
        <a:prstGeom xmlns:a="http://schemas.openxmlformats.org/drawingml/2006/main" prst="upArrow">
          <a:avLst>
            <a:gd name="adj1" fmla="val 50000"/>
            <a:gd name="adj2" fmla="val 38889"/>
          </a:avLst>
        </a:prstGeom>
        <a:solidFill xmlns:a="http://schemas.openxmlformats.org/drawingml/2006/main">
          <a:schemeClr val="bg1">
            <a:lumMod val="50000"/>
          </a:schemeClr>
        </a:solidFill>
        <a:ln xmlns:a="http://schemas.openxmlformats.org/drawingml/2006/main">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0.69231</cdr:x>
      <cdr:y>0.92907</cdr:y>
    </cdr:from>
    <cdr:to>
      <cdr:x>0.82013</cdr:x>
      <cdr:y>0.98898</cdr:y>
    </cdr:to>
    <cdr:sp macro="" textlink="">
      <cdr:nvSpPr>
        <cdr:cNvPr id="6" name="TextBox 14"/>
        <cdr:cNvSpPr txBox="1"/>
      </cdr:nvSpPr>
      <cdr:spPr>
        <a:xfrm xmlns:a="http://schemas.openxmlformats.org/drawingml/2006/main">
          <a:off x="6429376" y="5619365"/>
          <a:ext cx="1187070" cy="3623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200">
              <a:latin typeface="Arial" panose="020B0604020202020204" pitchFamily="34" charset="0"/>
              <a:cs typeface="Arial" panose="020B0604020202020204" pitchFamily="34" charset="0"/>
            </a:rPr>
            <a:t>Increasing Plant Size</a:t>
          </a:r>
        </a:p>
      </cdr:txBody>
    </cdr:sp>
  </cdr:relSizeAnchor>
  <cdr:relSizeAnchor xmlns:cdr="http://schemas.openxmlformats.org/drawingml/2006/chartDrawing">
    <cdr:from>
      <cdr:x>0.52205</cdr:x>
      <cdr:y>0.09606</cdr:y>
    </cdr:from>
    <cdr:to>
      <cdr:x>0.96821</cdr:x>
      <cdr:y>0.51024</cdr:y>
    </cdr:to>
    <cdr:sp macro="" textlink="">
      <cdr:nvSpPr>
        <cdr:cNvPr id="2" name="Rectangle 1"/>
        <cdr:cNvSpPr/>
      </cdr:nvSpPr>
      <cdr:spPr>
        <a:xfrm xmlns:a="http://schemas.openxmlformats.org/drawingml/2006/main">
          <a:off x="4848213" y="581005"/>
          <a:ext cx="4143387" cy="2505115"/>
        </a:xfrm>
        <a:prstGeom xmlns:a="http://schemas.openxmlformats.org/drawingml/2006/main" prst="rect">
          <a:avLst/>
        </a:prstGeom>
        <a:solidFill xmlns:a="http://schemas.openxmlformats.org/drawingml/2006/main">
          <a:schemeClr val="bg1">
            <a:lumMod val="7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0.00911</cdr:x>
      <cdr:y>0.274</cdr:y>
    </cdr:from>
    <cdr:to>
      <cdr:x>0.08821</cdr:x>
      <cdr:y>0.36823</cdr:y>
    </cdr:to>
    <cdr:sp macro="" textlink="">
      <cdr:nvSpPr>
        <cdr:cNvPr id="4" name="TextBox 15"/>
        <cdr:cNvSpPr txBox="1"/>
      </cdr:nvSpPr>
      <cdr:spPr>
        <a:xfrm xmlns:a="http://schemas.openxmlformats.org/drawingml/2006/main">
          <a:off x="84599" y="1657226"/>
          <a:ext cx="734591" cy="56993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200">
              <a:latin typeface="Arial" panose="020B0604020202020204" pitchFamily="34" charset="0"/>
              <a:cs typeface="Arial" panose="020B0604020202020204" pitchFamily="34" charset="0"/>
            </a:rPr>
            <a:t>Reducing Production Cost</a:t>
          </a:r>
        </a:p>
      </cdr:txBody>
    </cdr:sp>
  </cdr:relSizeAnchor>
  <cdr:relSizeAnchor xmlns:cdr="http://schemas.openxmlformats.org/drawingml/2006/chartDrawing">
    <cdr:from>
      <cdr:x>0.35179</cdr:x>
      <cdr:y>0.09606</cdr:y>
    </cdr:from>
    <cdr:to>
      <cdr:x>0.35385</cdr:x>
      <cdr:y>0.91339</cdr:y>
    </cdr:to>
    <cdr:cxnSp macro="">
      <cdr:nvCxnSpPr>
        <cdr:cNvPr id="8" name="Straight Connector 7"/>
        <cdr:cNvCxnSpPr/>
      </cdr:nvCxnSpPr>
      <cdr:spPr>
        <a:xfrm xmlns:a="http://schemas.openxmlformats.org/drawingml/2006/main" flipH="1" flipV="1">
          <a:off x="3267075" y="581026"/>
          <a:ext cx="19050" cy="4943474"/>
        </a:xfrm>
        <a:prstGeom xmlns:a="http://schemas.openxmlformats.org/drawingml/2006/main" prst="line">
          <a:avLst/>
        </a:prstGeom>
        <a:ln xmlns:a="http://schemas.openxmlformats.org/drawingml/2006/main" w="508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0.27316</cdr:x>
      <cdr:y>0.11549</cdr:y>
    </cdr:from>
    <cdr:to>
      <cdr:x>0.42769</cdr:x>
      <cdr:y>0.18984</cdr:y>
    </cdr:to>
    <cdr:sp macro="" textlink="">
      <cdr:nvSpPr>
        <cdr:cNvPr id="9" name="TextBox 8"/>
        <cdr:cNvSpPr txBox="1"/>
      </cdr:nvSpPr>
      <cdr:spPr>
        <a:xfrm xmlns:a="http://schemas.openxmlformats.org/drawingml/2006/main">
          <a:off x="2536825" y="698500"/>
          <a:ext cx="1435100" cy="44974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200" b="1">
              <a:latin typeface="Arial" panose="020B0604020202020204" pitchFamily="34" charset="0"/>
              <a:cs typeface="Arial" panose="020B0604020202020204" pitchFamily="34" charset="0"/>
            </a:rPr>
            <a:t>Base Case</a:t>
          </a:r>
        </a:p>
        <a:p xmlns:a="http://schemas.openxmlformats.org/drawingml/2006/main">
          <a:pPr algn="ctr"/>
          <a:r>
            <a:rPr lang="en-AU" sz="1200" b="1">
              <a:latin typeface="Arial" panose="020B0604020202020204" pitchFamily="34" charset="0"/>
              <a:cs typeface="Arial" panose="020B0604020202020204" pitchFamily="34" charset="0"/>
            </a:rPr>
            <a:t>(100ML capacity) </a:t>
          </a:r>
        </a:p>
      </cdr:txBody>
    </cdr:sp>
  </cdr:relSizeAnchor>
</c:userShapes>
</file>

<file path=xl/drawings/drawing8.xml><?xml version="1.0" encoding="utf-8"?>
<xdr:wsDr xmlns:xdr="http://schemas.openxmlformats.org/drawingml/2006/spreadsheetDrawing" xmlns:a="http://schemas.openxmlformats.org/drawingml/2006/main">
  <xdr:absoluteAnchor>
    <xdr:pos x="3076575" y="371475"/>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0.91193</cdr:x>
      <cdr:y>0.13389</cdr:y>
    </cdr:from>
    <cdr:to>
      <cdr:x>0.98648</cdr:x>
      <cdr:y>0.86411</cdr:y>
    </cdr:to>
    <cdr:sp macro="" textlink="">
      <cdr:nvSpPr>
        <cdr:cNvPr id="3" name="Down Arrow 2"/>
        <cdr:cNvSpPr/>
      </cdr:nvSpPr>
      <cdr:spPr>
        <a:xfrm xmlns:a="http://schemas.openxmlformats.org/drawingml/2006/main">
          <a:off x="8467565" y="809626"/>
          <a:ext cx="692222" cy="4415482"/>
        </a:xfrm>
        <a:prstGeom xmlns:a="http://schemas.openxmlformats.org/drawingml/2006/main" prst="downArrow">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0.87809</cdr:x>
      <cdr:y>0.49449</cdr:y>
    </cdr:from>
    <cdr:to>
      <cdr:x>1</cdr:x>
      <cdr:y>0.5811</cdr:y>
    </cdr:to>
    <cdr:sp macro="" textlink="">
      <cdr:nvSpPr>
        <cdr:cNvPr id="4" name="TextBox 3"/>
        <cdr:cNvSpPr txBox="1"/>
      </cdr:nvSpPr>
      <cdr:spPr>
        <a:xfrm xmlns:a="http://schemas.openxmlformats.org/drawingml/2006/main">
          <a:off x="8154712" y="2990850"/>
          <a:ext cx="1132163" cy="5238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Increasing Plant Size</a:t>
          </a:r>
        </a:p>
      </cdr:txBody>
    </cdr:sp>
  </cdr:relSizeAnchor>
  <cdr:relSizeAnchor xmlns:cdr="http://schemas.openxmlformats.org/drawingml/2006/chartDrawing">
    <cdr:from>
      <cdr:x>0.48007</cdr:x>
      <cdr:y>0.70509</cdr:y>
    </cdr:from>
    <cdr:to>
      <cdr:x>0.5764</cdr:x>
      <cdr:y>0.75926</cdr:y>
    </cdr:to>
    <cdr:sp macro="" textlink="">
      <cdr:nvSpPr>
        <cdr:cNvPr id="7" name="TextBox 14"/>
        <cdr:cNvSpPr txBox="1"/>
      </cdr:nvSpPr>
      <cdr:spPr>
        <a:xfrm xmlns:a="http://schemas.openxmlformats.org/drawingml/2006/main">
          <a:off x="4458367" y="4264639"/>
          <a:ext cx="894604" cy="327641"/>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200ML pa</a:t>
          </a:r>
          <a:endParaRPr lang="en-US" sz="1100"/>
        </a:p>
      </cdr:txBody>
    </cdr:sp>
  </cdr:relSizeAnchor>
  <cdr:relSizeAnchor xmlns:cdr="http://schemas.openxmlformats.org/drawingml/2006/chartDrawing">
    <cdr:from>
      <cdr:x>0.54892</cdr:x>
      <cdr:y>0.59772</cdr:y>
    </cdr:from>
    <cdr:to>
      <cdr:x>0.64513</cdr:x>
      <cdr:y>0.64936</cdr:y>
    </cdr:to>
    <cdr:sp macro="" textlink="">
      <cdr:nvSpPr>
        <cdr:cNvPr id="9" name="TextBox 14"/>
        <cdr:cNvSpPr txBox="1"/>
      </cdr:nvSpPr>
      <cdr:spPr>
        <a:xfrm xmlns:a="http://schemas.openxmlformats.org/drawingml/2006/main">
          <a:off x="5097723" y="3615220"/>
          <a:ext cx="893490" cy="312339"/>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aseline="0">
              <a:solidFill>
                <a:schemeClr val="dk1"/>
              </a:solidFill>
              <a:effectLst/>
              <a:latin typeface="Arial" panose="020B0604020202020204" pitchFamily="34" charset="0"/>
              <a:ea typeface="+mn-ea"/>
              <a:cs typeface="Arial" panose="020B0604020202020204" pitchFamily="34" charset="0"/>
            </a:rPr>
            <a:t>100ML pa</a:t>
          </a:r>
          <a:endParaRPr lang="en-US" sz="1100"/>
        </a:p>
      </cdr:txBody>
    </cdr:sp>
  </cdr:relSizeAnchor>
  <cdr:relSizeAnchor xmlns:cdr="http://schemas.openxmlformats.org/drawingml/2006/chartDrawing">
    <cdr:from>
      <cdr:x>0.48214</cdr:x>
      <cdr:y>0.44752</cdr:y>
    </cdr:from>
    <cdr:to>
      <cdr:x>0.57713</cdr:x>
      <cdr:y>0.49291</cdr:y>
    </cdr:to>
    <cdr:sp macro="" textlink="">
      <cdr:nvSpPr>
        <cdr:cNvPr id="10" name="TextBox 14"/>
        <cdr:cNvSpPr txBox="1"/>
      </cdr:nvSpPr>
      <cdr:spPr>
        <a:xfrm xmlns:a="http://schemas.openxmlformats.org/drawingml/2006/main">
          <a:off x="4477533" y="2706793"/>
          <a:ext cx="882161" cy="274536"/>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cmpd="sng">
          <a:solidFill>
            <a:schemeClr val="bg1">
              <a:lumMod val="50000"/>
            </a:schemeClr>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baseline="0">
              <a:solidFill>
                <a:schemeClr val="dk1"/>
              </a:solidFill>
              <a:effectLst/>
              <a:latin typeface="Arial" panose="020B0604020202020204" pitchFamily="34" charset="0"/>
              <a:ea typeface="+mn-ea"/>
              <a:cs typeface="Arial" panose="020B0604020202020204" pitchFamily="34" charset="0"/>
            </a:rPr>
            <a:t>50ML pa</a:t>
          </a:r>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bba\shared\Transport\Reviews\ethanol\publications\draft%20report\from%20IPART\60515181-MOD-003-Efficent%20Cost%20of%20New%20Entrant%20-Draft%20Model%20(BT)_JD%20e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Disclaimer"/>
      <sheetName val="Navigation"/>
      <sheetName val="Interactive"/>
      <sheetName val="Assumptions"/>
      <sheetName val="WACC parameters "/>
      <sheetName val="ProductionCurve"/>
      <sheetName val="LevelisedCost"/>
      <sheetName val="ScaleImpact"/>
      <sheetName val="Sensitivities"/>
      <sheetName val="Charts"/>
      <sheetName val="Summary Tables"/>
      <sheetName val="Feedstock Locations"/>
      <sheetName val="Wheat Integrated (Starch)_SS"/>
      <sheetName val="Costs per L"/>
      <sheetName val="Starch"/>
      <sheetName val="Wheat Integrated (Starch)"/>
      <sheetName val="Cassava (Starch)"/>
      <sheetName val="Sorgum (Starch)"/>
      <sheetName val="C-Syrup (Sucrosic)"/>
      <sheetName val="B-Syrup (Sucrosic)"/>
      <sheetName val="Forest Residues (Cellulosic)"/>
      <sheetName val="Cane trash (Cellulosic)"/>
      <sheetName val="Cost Basis"/>
      <sheetName val="Loan Repayments"/>
      <sheetName val="Depreciation"/>
      <sheetName val="Allocators"/>
      <sheetName val="WACC"/>
    </sheetNames>
    <sheetDataSet>
      <sheetData sheetId="0"/>
      <sheetData sheetId="1"/>
      <sheetData sheetId="2"/>
      <sheetData sheetId="3"/>
      <sheetData sheetId="4">
        <row r="5">
          <cell r="C5">
            <v>100</v>
          </cell>
        </row>
      </sheetData>
      <sheetData sheetId="5"/>
      <sheetData sheetId="6"/>
      <sheetData sheetId="7"/>
      <sheetData sheetId="8"/>
      <sheetData sheetId="9"/>
      <sheetData sheetId="10"/>
      <sheetData sheetId="11">
        <row r="5">
          <cell r="E5" t="str">
            <v>Wheat Standalone (Starch)</v>
          </cell>
        </row>
      </sheetData>
      <sheetData sheetId="12">
        <row r="3">
          <cell r="C3">
            <v>2</v>
          </cell>
          <cell r="E3">
            <v>32</v>
          </cell>
        </row>
        <row r="5">
          <cell r="E5" t="str">
            <v>Location</v>
          </cell>
        </row>
      </sheetData>
      <sheetData sheetId="13"/>
      <sheetData sheetId="14"/>
      <sheetData sheetId="15">
        <row r="267">
          <cell r="L267">
            <v>1.4718</v>
          </cell>
        </row>
      </sheetData>
      <sheetData sheetId="16">
        <row r="268">
          <cell r="L268">
            <v>1.4718</v>
          </cell>
        </row>
      </sheetData>
      <sheetData sheetId="17">
        <row r="270">
          <cell r="L270">
            <v>1.4445749999999999</v>
          </cell>
        </row>
      </sheetData>
      <sheetData sheetId="18">
        <row r="268">
          <cell r="L268">
            <v>1.7985000000000002</v>
          </cell>
        </row>
      </sheetData>
      <sheetData sheetId="19">
        <row r="220">
          <cell r="K220">
            <v>1.4636062500000002</v>
          </cell>
        </row>
      </sheetData>
      <sheetData sheetId="20">
        <row r="220">
          <cell r="K220">
            <v>1.4636062500000002</v>
          </cell>
        </row>
      </sheetData>
      <sheetData sheetId="21">
        <row r="289">
          <cell r="L289">
            <v>2.8694875000000004</v>
          </cell>
        </row>
      </sheetData>
      <sheetData sheetId="22">
        <row r="289">
          <cell r="L289">
            <v>2.9171312500000002</v>
          </cell>
        </row>
      </sheetData>
      <sheetData sheetId="23"/>
      <sheetData sheetId="24"/>
      <sheetData sheetId="25">
        <row r="8">
          <cell r="B8" t="str">
            <v>Depreciation Projections ($'000, Real FY2017)</v>
          </cell>
        </row>
      </sheetData>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19"/>
  <sheetViews>
    <sheetView tabSelected="1" workbookViewId="0">
      <selection activeCell="B6" sqref="B6"/>
    </sheetView>
  </sheetViews>
  <sheetFormatPr defaultRowHeight="12.75" x14ac:dyDescent="0.2"/>
  <cols>
    <col min="1" max="1" width="3.5703125" style="156" customWidth="1"/>
    <col min="2" max="2" width="119.140625" style="156" customWidth="1"/>
    <col min="3" max="16384" width="9.140625" style="156"/>
  </cols>
  <sheetData>
    <row r="1" spans="1:2" ht="15" x14ac:dyDescent="0.25">
      <c r="A1" s="684"/>
      <c r="B1" s="685"/>
    </row>
    <row r="2" spans="1:2" x14ac:dyDescent="0.2">
      <c r="A2" s="1586" t="s">
        <v>730</v>
      </c>
      <c r="B2" s="1586"/>
    </row>
    <row r="3" spans="1:2" x14ac:dyDescent="0.2">
      <c r="A3" s="1586"/>
      <c r="B3" s="1586"/>
    </row>
    <row r="4" spans="1:2" ht="15" x14ac:dyDescent="0.25">
      <c r="A4" s="684"/>
      <c r="B4" s="685"/>
    </row>
    <row r="5" spans="1:2" x14ac:dyDescent="0.2">
      <c r="A5" s="102"/>
      <c r="B5" s="686"/>
    </row>
    <row r="6" spans="1:2" x14ac:dyDescent="0.2">
      <c r="A6" s="102"/>
      <c r="B6" s="686"/>
    </row>
    <row r="7" spans="1:2" ht="51" x14ac:dyDescent="0.2">
      <c r="A7" s="687">
        <v>1</v>
      </c>
      <c r="B7" s="689" t="s">
        <v>736</v>
      </c>
    </row>
    <row r="8" spans="1:2" x14ac:dyDescent="0.2">
      <c r="A8" s="687"/>
      <c r="B8" s="688"/>
    </row>
    <row r="9" spans="1:2" ht="25.5" x14ac:dyDescent="0.2">
      <c r="A9" s="687">
        <v>2</v>
      </c>
      <c r="B9" s="689" t="s">
        <v>731</v>
      </c>
    </row>
    <row r="10" spans="1:2" x14ac:dyDescent="0.2">
      <c r="A10" s="687"/>
      <c r="B10" s="688"/>
    </row>
    <row r="11" spans="1:2" ht="102" x14ac:dyDescent="0.2">
      <c r="A11" s="687">
        <v>3</v>
      </c>
      <c r="B11" s="689" t="s">
        <v>732</v>
      </c>
    </row>
    <row r="12" spans="1:2" x14ac:dyDescent="0.2">
      <c r="A12" s="687"/>
      <c r="B12" s="688"/>
    </row>
    <row r="13" spans="1:2" ht="76.5" x14ac:dyDescent="0.2">
      <c r="A13" s="687">
        <v>4</v>
      </c>
      <c r="B13" s="689" t="s">
        <v>733</v>
      </c>
    </row>
    <row r="14" spans="1:2" x14ac:dyDescent="0.2">
      <c r="A14" s="687"/>
      <c r="B14" s="688"/>
    </row>
    <row r="15" spans="1:2" ht="25.5" x14ac:dyDescent="0.2">
      <c r="A15" s="687">
        <v>5</v>
      </c>
      <c r="B15" s="689" t="s">
        <v>734</v>
      </c>
    </row>
    <row r="16" spans="1:2" x14ac:dyDescent="0.2">
      <c r="A16" s="687"/>
      <c r="B16" s="688"/>
    </row>
    <row r="17" spans="1:2" ht="38.25" x14ac:dyDescent="0.2">
      <c r="A17" s="687">
        <v>6</v>
      </c>
      <c r="B17" s="689" t="s">
        <v>735</v>
      </c>
    </row>
    <row r="18" spans="1:2" x14ac:dyDescent="0.2">
      <c r="A18" s="687"/>
      <c r="B18" s="688"/>
    </row>
    <row r="19" spans="1:2" ht="36" customHeight="1" x14ac:dyDescent="0.2">
      <c r="A19" s="687">
        <v>7</v>
      </c>
      <c r="B19" s="689" t="s">
        <v>1005</v>
      </c>
    </row>
  </sheetData>
  <sheetProtection password="C82C" sheet="1" objects="1" scenarios="1" selectLockedCells="1" selectUnlockedCells="1"/>
  <mergeCells count="1">
    <mergeCell ref="A2:B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fitToPage="1"/>
  </sheetPr>
  <dimension ref="A1:N284"/>
  <sheetViews>
    <sheetView showGridLines="0" zoomScale="90" zoomScaleNormal="90" workbookViewId="0">
      <selection activeCell="F15" sqref="F15"/>
    </sheetView>
  </sheetViews>
  <sheetFormatPr defaultRowHeight="12.75" x14ac:dyDescent="0.2"/>
  <cols>
    <col min="1" max="1" width="3" style="921" customWidth="1"/>
    <col min="2" max="2" width="9.140625" style="922" customWidth="1"/>
    <col min="3" max="4" width="49.85546875" style="922" customWidth="1"/>
    <col min="5" max="7" width="5.7109375" style="922" customWidth="1"/>
    <col min="8" max="10" width="49.85546875" style="922" customWidth="1"/>
    <col min="11" max="14" width="10.5703125" style="922" customWidth="1"/>
    <col min="15" max="15" width="2.85546875" style="922" customWidth="1"/>
    <col min="16" max="16384" width="9.140625" style="922"/>
  </cols>
  <sheetData>
    <row r="1" spans="1:14" ht="15" x14ac:dyDescent="0.2">
      <c r="A1" s="1015" t="str">
        <f>"Production Cost of Ethanol per Litre for "&amp;Interactive!C10&amp;" ML facility ($/L)"</f>
        <v>Production Cost of Ethanol per Litre for 100 ML facility ($/L)</v>
      </c>
      <c r="C1" s="1016"/>
      <c r="D1" s="1016"/>
      <c r="E1" s="1016"/>
      <c r="F1" s="1016"/>
      <c r="G1" s="1016"/>
      <c r="H1" s="1016"/>
      <c r="I1" s="1016"/>
      <c r="J1" s="1016"/>
      <c r="K1" s="1016"/>
      <c r="L1" s="1016"/>
      <c r="M1" s="1016"/>
      <c r="N1" s="1017"/>
    </row>
    <row r="2" spans="1:14" ht="15" x14ac:dyDescent="0.2">
      <c r="A2" s="1015" t="str">
        <f>"Capital Cost of Ethanol per Litre for "&amp;Interactive!C10&amp;" ML facility ($/L)"</f>
        <v>Capital Cost of Ethanol per Litre for 100 ML facility ($/L)</v>
      </c>
      <c r="C2" s="1016"/>
      <c r="D2" s="1016"/>
      <c r="E2" s="1016"/>
      <c r="F2" s="1016"/>
      <c r="G2" s="1016"/>
      <c r="H2" s="1016"/>
      <c r="I2" s="1016"/>
      <c r="J2" s="1016"/>
      <c r="K2" s="1016"/>
      <c r="L2" s="1016"/>
      <c r="M2" s="1016"/>
      <c r="N2" s="1017"/>
    </row>
    <row r="3" spans="1:14" ht="11.25" customHeight="1" x14ac:dyDescent="0.2">
      <c r="C3" s="1016"/>
      <c r="D3" s="1016"/>
      <c r="E3" s="1016"/>
      <c r="F3" s="1016"/>
      <c r="G3" s="1016"/>
      <c r="H3" s="1016"/>
      <c r="I3" s="1016"/>
      <c r="J3" s="1016"/>
      <c r="K3" s="1016"/>
      <c r="L3" s="1016"/>
      <c r="M3" s="1016"/>
      <c r="N3" s="1017"/>
    </row>
    <row r="4" spans="1:14" ht="11.25" customHeight="1" x14ac:dyDescent="0.2">
      <c r="C4" s="1016"/>
      <c r="D4" s="1016"/>
      <c r="E4" s="1016"/>
      <c r="F4" s="1016"/>
      <c r="G4" s="1016"/>
      <c r="H4" s="1016"/>
      <c r="I4" s="1016"/>
      <c r="J4" s="1016"/>
      <c r="K4" s="1016"/>
      <c r="L4" s="1016"/>
      <c r="M4" s="1016"/>
      <c r="N4" s="1017"/>
    </row>
    <row r="5" spans="1:14" ht="11.25" customHeight="1" x14ac:dyDescent="0.2">
      <c r="C5" s="1016"/>
      <c r="D5" s="1016"/>
      <c r="E5" s="1016"/>
      <c r="F5" s="1016"/>
      <c r="G5" s="1016"/>
      <c r="H5" s="1016"/>
      <c r="I5" s="1016"/>
      <c r="J5" s="1016"/>
      <c r="K5" s="1016"/>
      <c r="L5" s="1016"/>
      <c r="M5" s="1016"/>
      <c r="N5" s="1017"/>
    </row>
    <row r="6" spans="1:14" ht="11.25" customHeight="1" x14ac:dyDescent="0.2">
      <c r="C6" s="1016"/>
      <c r="D6" s="1016"/>
      <c r="E6" s="1016"/>
      <c r="F6" s="1016"/>
      <c r="G6" s="1016"/>
      <c r="H6" s="1016"/>
      <c r="I6" s="1016"/>
      <c r="J6" s="1016"/>
      <c r="K6" s="1016"/>
      <c r="L6" s="1016"/>
      <c r="M6" s="1016"/>
      <c r="N6" s="1017"/>
    </row>
    <row r="7" spans="1:14" ht="11.25" customHeight="1" x14ac:dyDescent="0.2">
      <c r="C7" s="1016"/>
      <c r="D7" s="1016"/>
      <c r="E7" s="1016"/>
      <c r="F7" s="1016"/>
      <c r="G7" s="1016"/>
      <c r="H7" s="1016"/>
      <c r="I7" s="1016"/>
      <c r="J7" s="1016"/>
      <c r="K7" s="1016"/>
      <c r="L7" s="1016"/>
      <c r="M7" s="1016"/>
      <c r="N7" s="1017"/>
    </row>
    <row r="8" spans="1:14" ht="11.25" customHeight="1" x14ac:dyDescent="0.2">
      <c r="C8" s="1016"/>
      <c r="D8" s="1016"/>
      <c r="E8" s="1016"/>
      <c r="F8" s="1016"/>
      <c r="G8" s="1016"/>
      <c r="H8" s="1016"/>
      <c r="I8" s="1016"/>
      <c r="J8" s="1016"/>
      <c r="K8" s="1016"/>
      <c r="L8" s="1016"/>
      <c r="M8" s="1016"/>
      <c r="N8" s="1017"/>
    </row>
    <row r="9" spans="1:14" ht="11.25" customHeight="1" x14ac:dyDescent="0.2">
      <c r="C9" s="1016"/>
      <c r="D9" s="1016"/>
      <c r="E9" s="1016"/>
      <c r="F9" s="1016"/>
      <c r="G9" s="1016"/>
      <c r="H9" s="1016"/>
      <c r="I9" s="1016"/>
      <c r="J9" s="1016"/>
      <c r="K9" s="1016"/>
      <c r="L9" s="1016"/>
      <c r="M9" s="1016"/>
      <c r="N9" s="1017"/>
    </row>
    <row r="10" spans="1:14" ht="11.25" customHeight="1" x14ac:dyDescent="0.2">
      <c r="C10" s="1016"/>
      <c r="D10" s="1016"/>
      <c r="E10" s="1016"/>
      <c r="F10" s="1016"/>
      <c r="G10" s="1016"/>
      <c r="H10" s="1016"/>
      <c r="I10" s="1016"/>
      <c r="J10" s="1016"/>
      <c r="K10" s="1016"/>
      <c r="L10" s="1016"/>
      <c r="M10" s="1016"/>
      <c r="N10" s="1017"/>
    </row>
    <row r="11" spans="1:14" ht="11.25" customHeight="1" x14ac:dyDescent="0.2">
      <c r="C11" s="1016"/>
      <c r="D11" s="1016"/>
      <c r="E11" s="1016"/>
      <c r="F11" s="1016"/>
      <c r="G11" s="1016"/>
      <c r="H11" s="1016"/>
      <c r="I11" s="1016"/>
      <c r="J11" s="1016"/>
      <c r="K11" s="1016"/>
      <c r="L11" s="1016"/>
      <c r="M11" s="1016"/>
      <c r="N11" s="1017"/>
    </row>
    <row r="12" spans="1:14" ht="11.25" customHeight="1" x14ac:dyDescent="0.2">
      <c r="C12" s="1016"/>
      <c r="D12" s="1016"/>
      <c r="E12" s="1016"/>
      <c r="F12" s="1016"/>
      <c r="G12" s="1016"/>
      <c r="H12" s="1016"/>
      <c r="I12" s="1016"/>
      <c r="J12" s="1016"/>
      <c r="K12" s="1016"/>
      <c r="L12" s="1016"/>
      <c r="M12" s="1016"/>
      <c r="N12" s="1017"/>
    </row>
    <row r="13" spans="1:14" ht="11.25" customHeight="1" x14ac:dyDescent="0.2">
      <c r="C13" s="1016"/>
      <c r="D13" s="1016"/>
      <c r="E13" s="1016"/>
      <c r="F13" s="1016"/>
      <c r="G13" s="1016"/>
      <c r="H13" s="1016"/>
      <c r="I13" s="1016"/>
      <c r="J13" s="1016"/>
      <c r="K13" s="1016"/>
      <c r="L13" s="1016"/>
      <c r="M13" s="1016"/>
      <c r="N13" s="1017"/>
    </row>
    <row r="14" spans="1:14" ht="11.25" customHeight="1" x14ac:dyDescent="0.2">
      <c r="C14" s="1016"/>
      <c r="D14" s="1016"/>
      <c r="E14" s="1016"/>
      <c r="F14" s="1016"/>
      <c r="G14" s="1016"/>
      <c r="H14" s="1016"/>
      <c r="I14" s="1016"/>
      <c r="J14" s="1016"/>
      <c r="K14" s="1016"/>
      <c r="L14" s="1016"/>
      <c r="M14" s="1016"/>
      <c r="N14" s="1017"/>
    </row>
    <row r="15" spans="1:14" ht="11.25" customHeight="1" x14ac:dyDescent="0.2">
      <c r="C15" s="1016"/>
      <c r="D15" s="1016"/>
      <c r="E15" s="1016"/>
      <c r="F15" s="1016"/>
      <c r="G15" s="1016"/>
      <c r="H15" s="1016"/>
      <c r="I15" s="1016"/>
      <c r="J15" s="1016"/>
      <c r="K15" s="1016"/>
      <c r="L15" s="1016"/>
      <c r="M15" s="1016"/>
      <c r="N15" s="1017"/>
    </row>
    <row r="16" spans="1:14" ht="11.25" customHeight="1" x14ac:dyDescent="0.2">
      <c r="C16" s="1016"/>
      <c r="D16" s="1016"/>
      <c r="E16" s="1016"/>
      <c r="F16" s="1016"/>
      <c r="G16" s="1016"/>
      <c r="H16" s="1016"/>
      <c r="I16" s="1016"/>
      <c r="J16" s="1016"/>
      <c r="K16" s="1016"/>
      <c r="L16" s="1016"/>
      <c r="M16" s="1016"/>
      <c r="N16" s="1017"/>
    </row>
    <row r="17" spans="3:14" ht="11.25" customHeight="1" x14ac:dyDescent="0.2">
      <c r="C17" s="1016"/>
      <c r="D17" s="1016"/>
      <c r="E17" s="1016"/>
      <c r="F17" s="1016"/>
      <c r="G17" s="1016"/>
      <c r="H17" s="1016"/>
      <c r="I17" s="1016"/>
      <c r="J17" s="1016"/>
      <c r="K17" s="1016"/>
      <c r="L17" s="1016"/>
      <c r="M17" s="1016"/>
      <c r="N17" s="1017"/>
    </row>
    <row r="18" spans="3:14" ht="11.25" customHeight="1" x14ac:dyDescent="0.2">
      <c r="C18" s="1016"/>
      <c r="D18" s="1016"/>
      <c r="E18" s="1016"/>
      <c r="F18" s="1016"/>
      <c r="G18" s="1016"/>
      <c r="H18" s="1016"/>
      <c r="I18" s="1016"/>
      <c r="J18" s="1016"/>
      <c r="K18" s="1016"/>
      <c r="L18" s="1016"/>
      <c r="M18" s="1016"/>
      <c r="N18" s="1017"/>
    </row>
    <row r="19" spans="3:14" ht="11.25" customHeight="1" x14ac:dyDescent="0.2">
      <c r="C19" s="1016"/>
      <c r="D19" s="1016"/>
      <c r="E19" s="1016"/>
      <c r="F19" s="1016"/>
      <c r="G19" s="1016"/>
      <c r="H19" s="1016"/>
      <c r="I19" s="1016"/>
      <c r="J19" s="1016"/>
      <c r="K19" s="1016"/>
      <c r="L19" s="1016"/>
      <c r="M19" s="1016"/>
      <c r="N19" s="1017"/>
    </row>
    <row r="20" spans="3:14" ht="11.25" customHeight="1" x14ac:dyDescent="0.2">
      <c r="C20" s="1016"/>
      <c r="D20" s="1016"/>
      <c r="E20" s="1016"/>
      <c r="F20" s="1016"/>
      <c r="G20" s="1016"/>
      <c r="H20" s="1016"/>
      <c r="I20" s="1016"/>
      <c r="J20" s="1016"/>
      <c r="K20" s="1016"/>
      <c r="L20" s="1016"/>
      <c r="M20" s="1016"/>
      <c r="N20" s="1017"/>
    </row>
    <row r="21" spans="3:14" ht="11.25" customHeight="1" x14ac:dyDescent="0.2">
      <c r="C21" s="1016"/>
      <c r="D21" s="1016"/>
      <c r="E21" s="1016"/>
      <c r="F21" s="1016"/>
      <c r="G21" s="1016"/>
      <c r="H21" s="1016"/>
      <c r="I21" s="1016"/>
      <c r="J21" s="1016"/>
      <c r="K21" s="1016"/>
      <c r="L21" s="1016"/>
      <c r="M21" s="1016"/>
      <c r="N21" s="1017"/>
    </row>
    <row r="22" spans="3:14" ht="11.25" customHeight="1" x14ac:dyDescent="0.2">
      <c r="C22" s="1016"/>
      <c r="D22" s="1016"/>
      <c r="E22" s="1016"/>
      <c r="F22" s="1016"/>
      <c r="G22" s="1016"/>
      <c r="H22" s="1016"/>
      <c r="I22" s="1016"/>
      <c r="J22" s="1016"/>
      <c r="K22" s="1016"/>
      <c r="L22" s="1016"/>
      <c r="M22" s="1016"/>
      <c r="N22" s="1017"/>
    </row>
    <row r="23" spans="3:14" ht="11.25" customHeight="1" x14ac:dyDescent="0.2">
      <c r="C23" s="1016"/>
      <c r="D23" s="1016"/>
      <c r="E23" s="1016"/>
      <c r="F23" s="1016"/>
      <c r="G23" s="1016"/>
      <c r="H23" s="1016"/>
      <c r="I23" s="1016"/>
      <c r="J23" s="1016"/>
      <c r="K23" s="1016"/>
      <c r="L23" s="1016"/>
      <c r="M23" s="1016"/>
      <c r="N23" s="1017"/>
    </row>
    <row r="24" spans="3:14" ht="11.25" customHeight="1" x14ac:dyDescent="0.2">
      <c r="C24" s="1016"/>
      <c r="D24" s="1016"/>
      <c r="E24" s="1016"/>
      <c r="F24" s="1016"/>
      <c r="G24" s="1016"/>
      <c r="H24" s="1016"/>
      <c r="I24" s="1016"/>
      <c r="J24" s="1016"/>
      <c r="K24" s="1016"/>
      <c r="L24" s="1016"/>
      <c r="M24" s="1016"/>
      <c r="N24" s="1017"/>
    </row>
    <row r="25" spans="3:14" ht="11.25" customHeight="1" x14ac:dyDescent="0.2">
      <c r="C25" s="1016"/>
      <c r="D25" s="1016"/>
      <c r="E25" s="1016"/>
      <c r="F25" s="1016"/>
      <c r="G25" s="1016"/>
      <c r="H25" s="1016"/>
      <c r="I25" s="1016"/>
      <c r="J25" s="1016"/>
      <c r="K25" s="1016"/>
      <c r="L25" s="1016"/>
      <c r="M25" s="1016"/>
      <c r="N25" s="1017"/>
    </row>
    <row r="26" spans="3:14" ht="11.25" customHeight="1" x14ac:dyDescent="0.2">
      <c r="C26" s="1016"/>
      <c r="D26" s="1016"/>
      <c r="E26" s="1016"/>
      <c r="F26" s="1016"/>
      <c r="G26" s="1016"/>
      <c r="H26" s="1016"/>
      <c r="I26" s="1016"/>
      <c r="J26" s="1016"/>
      <c r="K26" s="1016"/>
      <c r="L26" s="1016"/>
      <c r="M26" s="1016"/>
      <c r="N26" s="1017"/>
    </row>
    <row r="27" spans="3:14" ht="11.25" customHeight="1" x14ac:dyDescent="0.2">
      <c r="C27" s="1016"/>
      <c r="D27" s="1016"/>
      <c r="E27" s="1016"/>
      <c r="F27" s="1016"/>
      <c r="G27" s="1016"/>
      <c r="H27" s="1016"/>
      <c r="I27" s="1016"/>
      <c r="J27" s="1016"/>
      <c r="K27" s="1016"/>
      <c r="L27" s="1016"/>
      <c r="M27" s="1016"/>
      <c r="N27" s="1017"/>
    </row>
    <row r="28" spans="3:14" ht="11.25" customHeight="1" x14ac:dyDescent="0.2">
      <c r="C28" s="1016"/>
      <c r="D28" s="1016"/>
      <c r="E28" s="1016"/>
      <c r="F28" s="1016"/>
      <c r="G28" s="1016"/>
      <c r="H28" s="1016"/>
      <c r="I28" s="1016"/>
      <c r="J28" s="1016"/>
      <c r="K28" s="1016"/>
      <c r="L28" s="1016"/>
      <c r="M28" s="1016"/>
      <c r="N28" s="1017"/>
    </row>
    <row r="29" spans="3:14" ht="11.25" customHeight="1" x14ac:dyDescent="0.2">
      <c r="C29" s="1016"/>
      <c r="D29" s="1016"/>
      <c r="E29" s="1016"/>
      <c r="F29" s="1016"/>
      <c r="G29" s="1016"/>
      <c r="H29" s="1016"/>
      <c r="I29" s="1016"/>
      <c r="J29" s="1016"/>
      <c r="K29" s="1016"/>
      <c r="L29" s="1016"/>
      <c r="M29" s="1016"/>
      <c r="N29" s="1017"/>
    </row>
    <row r="30" spans="3:14" ht="11.25" customHeight="1" x14ac:dyDescent="0.2">
      <c r="C30" s="1016"/>
      <c r="D30" s="1016"/>
      <c r="E30" s="1016"/>
      <c r="F30" s="1016"/>
      <c r="G30" s="1016"/>
      <c r="H30" s="1016"/>
      <c r="I30" s="1016"/>
      <c r="J30" s="1016"/>
      <c r="K30" s="1016"/>
      <c r="L30" s="1016"/>
      <c r="M30" s="1016"/>
      <c r="N30" s="1017"/>
    </row>
    <row r="31" spans="3:14" ht="11.25" customHeight="1" x14ac:dyDescent="0.2">
      <c r="C31" s="1016"/>
      <c r="D31" s="1016"/>
      <c r="E31" s="1016"/>
      <c r="F31" s="1016"/>
      <c r="G31" s="1016"/>
      <c r="H31" s="1016"/>
      <c r="I31" s="1016"/>
      <c r="J31" s="1016"/>
      <c r="K31" s="1016"/>
      <c r="L31" s="1016"/>
      <c r="M31" s="1016"/>
      <c r="N31" s="1017"/>
    </row>
    <row r="32" spans="3:14" ht="11.25" customHeight="1" x14ac:dyDescent="0.2">
      <c r="C32" s="1016"/>
      <c r="D32" s="1016"/>
      <c r="E32" s="1016"/>
      <c r="F32" s="1016"/>
      <c r="G32" s="1016"/>
      <c r="H32" s="1016"/>
      <c r="I32" s="1016"/>
      <c r="J32" s="1016"/>
      <c r="K32" s="1016"/>
      <c r="L32" s="1016"/>
      <c r="M32" s="1016"/>
      <c r="N32" s="1017"/>
    </row>
    <row r="33" spans="1:14" ht="11.25" customHeight="1" x14ac:dyDescent="0.2">
      <c r="C33" s="1016"/>
      <c r="D33" s="1016"/>
      <c r="E33" s="1016"/>
      <c r="F33" s="1016"/>
      <c r="G33" s="1016"/>
      <c r="H33" s="1016"/>
      <c r="I33" s="1016"/>
      <c r="J33" s="1016"/>
      <c r="K33" s="1016"/>
      <c r="L33" s="1016"/>
      <c r="M33" s="1016"/>
      <c r="N33" s="1017"/>
    </row>
    <row r="34" spans="1:14" ht="11.25" customHeight="1" x14ac:dyDescent="0.2">
      <c r="A34" s="1015" t="str">
        <f>"Feedstock cost per Litre for "&amp;Interactive!C10&amp;" ML facility ($/L)"</f>
        <v>Feedstock cost per Litre for 100 ML facility ($/L)</v>
      </c>
      <c r="C34" s="1016"/>
      <c r="D34" s="1016"/>
      <c r="E34" s="1016"/>
      <c r="F34" s="1016"/>
      <c r="G34" s="1016"/>
      <c r="H34" s="1016"/>
      <c r="I34" s="1016"/>
      <c r="J34" s="1016"/>
      <c r="K34" s="1016"/>
      <c r="L34" s="1016"/>
      <c r="M34" s="1016"/>
      <c r="N34" s="1017"/>
    </row>
    <row r="35" spans="1:14" ht="11.25" customHeight="1" x14ac:dyDescent="0.2">
      <c r="A35" s="1018" t="str">
        <f>"Direct costs per Litre for "&amp;Interactive!C10&amp;" ML facility ($/L)"</f>
        <v>Direct costs per Litre for 100 ML facility ($/L)</v>
      </c>
      <c r="C35" s="1016"/>
      <c r="D35" s="1016"/>
      <c r="E35" s="1016"/>
      <c r="F35" s="1016"/>
      <c r="G35" s="1016"/>
      <c r="H35" s="1016"/>
      <c r="I35" s="1016"/>
      <c r="J35" s="1016"/>
      <c r="K35" s="1016"/>
      <c r="L35" s="1016"/>
      <c r="M35" s="1016"/>
      <c r="N35" s="1017"/>
    </row>
    <row r="36" spans="1:14" ht="11.25" customHeight="1" x14ac:dyDescent="0.2">
      <c r="C36" s="982" t="str">
        <f>'Summary Tables'!$E$5&amp;" Production Costs ($/L) based on 100 ML production plant"</f>
        <v>Wheat Standalone (Starch) Production Costs ($/L) based on 100 ML production plant</v>
      </c>
      <c r="D36" s="1016"/>
      <c r="E36" s="1016"/>
      <c r="F36" s="1016"/>
      <c r="G36" s="1016"/>
      <c r="H36" s="1016"/>
      <c r="I36" s="1016"/>
      <c r="J36" s="1016"/>
      <c r="K36" s="1016"/>
      <c r="L36" s="1016"/>
      <c r="M36" s="1016"/>
      <c r="N36" s="1017"/>
    </row>
    <row r="37" spans="1:14" ht="11.25" customHeight="1" x14ac:dyDescent="0.2">
      <c r="C37" s="1016"/>
      <c r="D37" s="1016"/>
      <c r="E37" s="1016"/>
      <c r="F37" s="1016"/>
      <c r="G37" s="1016"/>
      <c r="H37" s="1016"/>
      <c r="I37" s="1016"/>
      <c r="J37" s="1016"/>
      <c r="K37" s="1016"/>
      <c r="L37" s="1016"/>
      <c r="M37" s="1016"/>
      <c r="N37" s="1017"/>
    </row>
    <row r="38" spans="1:14" ht="11.25" customHeight="1" x14ac:dyDescent="0.2">
      <c r="C38" s="1016"/>
      <c r="D38" s="1016"/>
      <c r="E38" s="1016"/>
      <c r="F38" s="1016"/>
      <c r="G38" s="1016"/>
      <c r="H38" s="1016"/>
      <c r="I38" s="1016"/>
      <c r="J38" s="1016"/>
      <c r="K38" s="1016"/>
      <c r="L38" s="1016"/>
      <c r="M38" s="1016"/>
      <c r="N38" s="1017"/>
    </row>
    <row r="39" spans="1:14" ht="11.25" customHeight="1" x14ac:dyDescent="0.2">
      <c r="C39" s="1016"/>
      <c r="D39" s="1016"/>
      <c r="E39" s="1016"/>
      <c r="F39" s="1016"/>
      <c r="G39" s="1016"/>
      <c r="H39" s="1016"/>
      <c r="I39" s="1016"/>
      <c r="J39" s="1016"/>
      <c r="K39" s="1016"/>
      <c r="L39" s="1016"/>
      <c r="M39" s="1016"/>
      <c r="N39" s="1017"/>
    </row>
    <row r="40" spans="1:14" ht="11.25" customHeight="1" x14ac:dyDescent="0.2">
      <c r="C40" s="1016"/>
      <c r="D40" s="1016"/>
      <c r="E40" s="1016"/>
      <c r="F40" s="1016"/>
      <c r="G40" s="1016"/>
      <c r="H40" s="1016"/>
      <c r="I40" s="1016"/>
      <c r="J40" s="1016"/>
      <c r="K40" s="1016"/>
      <c r="L40" s="1016"/>
      <c r="M40" s="1016"/>
      <c r="N40" s="1017"/>
    </row>
    <row r="41" spans="1:14" ht="11.25" customHeight="1" x14ac:dyDescent="0.2">
      <c r="C41" s="1016"/>
      <c r="D41" s="1016"/>
      <c r="E41" s="1016"/>
      <c r="F41" s="1016"/>
      <c r="G41" s="1016"/>
      <c r="H41" s="1016"/>
      <c r="I41" s="1016"/>
      <c r="J41" s="1016"/>
      <c r="K41" s="1016"/>
      <c r="L41" s="1016"/>
      <c r="M41" s="1016"/>
      <c r="N41" s="1017"/>
    </row>
    <row r="42" spans="1:14" ht="11.25" customHeight="1" x14ac:dyDescent="0.2">
      <c r="C42" s="1016"/>
      <c r="D42" s="1016"/>
      <c r="E42" s="1016"/>
      <c r="F42" s="1016"/>
      <c r="G42" s="1016"/>
      <c r="H42" s="1016"/>
      <c r="I42" s="1016"/>
      <c r="J42" s="1016"/>
      <c r="K42" s="1016"/>
      <c r="L42" s="1016"/>
      <c r="M42" s="1016"/>
      <c r="N42" s="1017"/>
    </row>
    <row r="43" spans="1:14" ht="11.25" customHeight="1" x14ac:dyDescent="0.2">
      <c r="C43" s="1016"/>
      <c r="D43" s="1016"/>
      <c r="E43" s="1016"/>
      <c r="F43" s="1016"/>
      <c r="G43" s="1016"/>
      <c r="H43" s="1016"/>
      <c r="I43" s="1016"/>
      <c r="J43" s="1016"/>
      <c r="K43" s="1016"/>
      <c r="L43" s="1016"/>
      <c r="M43" s="1016"/>
      <c r="N43" s="1017"/>
    </row>
    <row r="44" spans="1:14" ht="11.25" customHeight="1" x14ac:dyDescent="0.2">
      <c r="C44" s="1016"/>
      <c r="D44" s="1016"/>
      <c r="E44" s="1016"/>
      <c r="F44" s="1016"/>
      <c r="G44" s="1016"/>
      <c r="H44" s="1016"/>
      <c r="I44" s="1016"/>
      <c r="J44" s="1016"/>
      <c r="K44" s="1016"/>
      <c r="L44" s="1016"/>
      <c r="M44" s="1016"/>
      <c r="N44" s="1017"/>
    </row>
    <row r="45" spans="1:14" ht="11.25" customHeight="1" x14ac:dyDescent="0.2">
      <c r="C45" s="1016"/>
      <c r="D45" s="1016"/>
      <c r="E45" s="1016"/>
      <c r="F45" s="1016"/>
      <c r="G45" s="1016"/>
      <c r="H45" s="1016"/>
      <c r="I45" s="1016"/>
      <c r="J45" s="1016"/>
      <c r="K45" s="1016"/>
      <c r="L45" s="1016"/>
      <c r="M45" s="1016"/>
      <c r="N45" s="1017"/>
    </row>
    <row r="46" spans="1:14" ht="11.25" customHeight="1" x14ac:dyDescent="0.2">
      <c r="C46" s="1016"/>
      <c r="D46" s="1016"/>
      <c r="E46" s="1016"/>
      <c r="F46" s="1016"/>
      <c r="G46" s="1016"/>
      <c r="H46" s="1016"/>
      <c r="I46" s="1016"/>
      <c r="J46" s="1016"/>
      <c r="K46" s="1016"/>
      <c r="L46" s="1016"/>
      <c r="M46" s="1016"/>
      <c r="N46" s="1017"/>
    </row>
    <row r="47" spans="1:14" ht="11.25" customHeight="1" x14ac:dyDescent="0.2">
      <c r="C47" s="1016"/>
      <c r="D47" s="1016"/>
      <c r="E47" s="1016"/>
      <c r="F47" s="1016"/>
      <c r="G47" s="1016"/>
      <c r="H47" s="1016"/>
      <c r="I47" s="1016"/>
      <c r="J47" s="1016"/>
      <c r="K47" s="1016"/>
      <c r="L47" s="1016"/>
      <c r="M47" s="1016"/>
      <c r="N47" s="1017"/>
    </row>
    <row r="48" spans="1:14" ht="11.25" customHeight="1" x14ac:dyDescent="0.2">
      <c r="C48" s="1016"/>
      <c r="D48" s="1016"/>
      <c r="E48" s="1016"/>
      <c r="F48" s="1016"/>
      <c r="G48" s="1016"/>
      <c r="H48" s="1016"/>
      <c r="I48" s="1016"/>
      <c r="J48" s="1016"/>
      <c r="K48" s="1016"/>
      <c r="L48" s="1016"/>
      <c r="M48" s="1016"/>
      <c r="N48" s="1017"/>
    </row>
    <row r="49" spans="3:14" ht="11.25" customHeight="1" x14ac:dyDescent="0.2">
      <c r="C49" s="1016"/>
      <c r="D49" s="1016"/>
      <c r="E49" s="1016"/>
      <c r="F49" s="1016"/>
      <c r="G49" s="1016"/>
      <c r="H49" s="1016"/>
      <c r="I49" s="1016"/>
      <c r="J49" s="1016"/>
      <c r="K49" s="1016"/>
      <c r="L49" s="1016"/>
      <c r="M49" s="1016"/>
      <c r="N49" s="1017"/>
    </row>
    <row r="50" spans="3:14" ht="11.25" customHeight="1" x14ac:dyDescent="0.2">
      <c r="C50" s="1016"/>
      <c r="D50" s="1016"/>
      <c r="E50" s="1016"/>
      <c r="F50" s="1016"/>
      <c r="G50" s="1016"/>
      <c r="H50" s="1016"/>
      <c r="I50" s="1016"/>
      <c r="J50" s="1016"/>
      <c r="K50" s="1016"/>
      <c r="L50" s="1016"/>
      <c r="M50" s="1016"/>
      <c r="N50" s="1017"/>
    </row>
    <row r="51" spans="3:14" ht="11.25" customHeight="1" x14ac:dyDescent="0.2">
      <c r="C51" s="1016"/>
      <c r="D51" s="1016"/>
      <c r="E51" s="1016"/>
      <c r="F51" s="1016"/>
      <c r="G51" s="1016"/>
      <c r="H51" s="1016"/>
      <c r="I51" s="1016"/>
      <c r="J51" s="1016"/>
      <c r="K51" s="1016"/>
      <c r="L51" s="1016"/>
      <c r="M51" s="1016"/>
      <c r="N51" s="1017"/>
    </row>
    <row r="52" spans="3:14" ht="11.25" customHeight="1" x14ac:dyDescent="0.2">
      <c r="C52" s="1016"/>
      <c r="D52" s="1016"/>
      <c r="E52" s="1016"/>
      <c r="F52" s="1016"/>
      <c r="G52" s="1016"/>
      <c r="H52" s="1016"/>
      <c r="I52" s="1016"/>
      <c r="J52" s="1016"/>
      <c r="K52" s="1016"/>
      <c r="L52" s="1016"/>
      <c r="M52" s="1016"/>
      <c r="N52" s="1017"/>
    </row>
    <row r="53" spans="3:14" ht="11.25" customHeight="1" x14ac:dyDescent="0.2">
      <c r="C53" s="1016"/>
      <c r="D53" s="1016"/>
      <c r="E53" s="1016"/>
      <c r="F53" s="1016"/>
      <c r="G53" s="1016"/>
      <c r="H53" s="1016"/>
      <c r="I53" s="1016"/>
      <c r="J53" s="1016"/>
      <c r="K53" s="1016"/>
      <c r="L53" s="1016"/>
      <c r="M53" s="1016"/>
      <c r="N53" s="1017"/>
    </row>
    <row r="54" spans="3:14" ht="11.25" customHeight="1" x14ac:dyDescent="0.2">
      <c r="C54" s="1016"/>
      <c r="D54" s="1016"/>
      <c r="E54" s="1016"/>
      <c r="F54" s="1016"/>
      <c r="G54" s="1016"/>
      <c r="H54" s="1016"/>
      <c r="I54" s="1016"/>
      <c r="J54" s="1016"/>
      <c r="K54" s="1016"/>
      <c r="L54" s="1016"/>
      <c r="M54" s="1016"/>
      <c r="N54" s="1017"/>
    </row>
    <row r="55" spans="3:14" ht="11.25" customHeight="1" x14ac:dyDescent="0.2">
      <c r="C55" s="1016"/>
      <c r="D55" s="1016"/>
      <c r="E55" s="1016"/>
      <c r="F55" s="1016"/>
      <c r="G55" s="1016"/>
      <c r="H55" s="1016"/>
      <c r="I55" s="1016"/>
      <c r="J55" s="1016"/>
      <c r="K55" s="1016"/>
      <c r="L55" s="1016"/>
      <c r="M55" s="1016"/>
      <c r="N55" s="1017"/>
    </row>
    <row r="56" spans="3:14" ht="11.25" customHeight="1" x14ac:dyDescent="0.2">
      <c r="C56" s="1016"/>
      <c r="D56" s="1016"/>
      <c r="E56" s="1016"/>
      <c r="F56" s="1016"/>
      <c r="G56" s="1016"/>
      <c r="H56" s="1016"/>
      <c r="I56" s="1016"/>
      <c r="J56" s="1016"/>
      <c r="K56" s="1016"/>
      <c r="L56" s="1016"/>
      <c r="M56" s="1016"/>
      <c r="N56" s="1017"/>
    </row>
    <row r="57" spans="3:14" ht="11.25" customHeight="1" x14ac:dyDescent="0.2">
      <c r="C57" s="1016"/>
      <c r="D57" s="1016"/>
      <c r="E57" s="1016"/>
      <c r="F57" s="1016"/>
      <c r="G57" s="1016"/>
      <c r="H57" s="1016"/>
      <c r="I57" s="1016"/>
      <c r="J57" s="1016"/>
      <c r="K57" s="1016"/>
      <c r="L57" s="1016"/>
      <c r="M57" s="1016"/>
      <c r="N57" s="1017"/>
    </row>
    <row r="58" spans="3:14" ht="11.25" customHeight="1" x14ac:dyDescent="0.2">
      <c r="C58" s="1016"/>
      <c r="D58" s="1016"/>
      <c r="E58" s="1016"/>
      <c r="F58" s="1016"/>
      <c r="G58" s="1016"/>
      <c r="H58" s="1016"/>
      <c r="I58" s="1016"/>
      <c r="J58" s="1016"/>
      <c r="K58" s="1016"/>
      <c r="L58" s="1016"/>
      <c r="M58" s="1016"/>
      <c r="N58" s="1017"/>
    </row>
    <row r="59" spans="3:14" ht="11.25" customHeight="1" x14ac:dyDescent="0.2">
      <c r="C59" s="1016"/>
      <c r="D59" s="1016"/>
      <c r="E59" s="1016"/>
      <c r="F59" s="1016"/>
      <c r="G59" s="1016"/>
      <c r="H59" s="1016"/>
      <c r="I59" s="1016"/>
      <c r="J59" s="1016"/>
      <c r="K59" s="1016"/>
      <c r="L59" s="1016"/>
      <c r="M59" s="1016"/>
      <c r="N59" s="1017"/>
    </row>
    <row r="60" spans="3:14" ht="11.25" customHeight="1" x14ac:dyDescent="0.2">
      <c r="C60" s="1016"/>
      <c r="D60" s="1016"/>
      <c r="E60" s="1016"/>
      <c r="F60" s="1016"/>
      <c r="G60" s="1016"/>
      <c r="H60" s="1016"/>
      <c r="I60" s="1016"/>
      <c r="J60" s="1016"/>
      <c r="K60" s="1016"/>
      <c r="L60" s="1016"/>
      <c r="M60" s="1016"/>
      <c r="N60" s="1017"/>
    </row>
    <row r="61" spans="3:14" ht="11.25" customHeight="1" x14ac:dyDescent="0.2">
      <c r="C61" s="1016"/>
      <c r="D61" s="1016"/>
      <c r="E61" s="1016"/>
      <c r="F61" s="1016"/>
      <c r="G61" s="1016"/>
      <c r="H61" s="1016"/>
      <c r="I61" s="1016"/>
      <c r="J61" s="1016"/>
      <c r="K61" s="1016"/>
      <c r="L61" s="1016"/>
      <c r="M61" s="1016"/>
      <c r="N61" s="1017"/>
    </row>
    <row r="62" spans="3:14" ht="11.25" customHeight="1" x14ac:dyDescent="0.2">
      <c r="C62" s="1016"/>
      <c r="D62" s="1016"/>
      <c r="E62" s="1016"/>
      <c r="F62" s="1016"/>
      <c r="G62" s="1016"/>
      <c r="H62" s="1016"/>
      <c r="I62" s="1016"/>
      <c r="J62" s="1016"/>
      <c r="K62" s="1016"/>
      <c r="L62" s="1016"/>
      <c r="M62" s="1016"/>
      <c r="N62" s="1017"/>
    </row>
    <row r="63" spans="3:14" ht="11.25" customHeight="1" x14ac:dyDescent="0.2">
      <c r="C63" s="1016"/>
      <c r="D63" s="1016"/>
      <c r="E63" s="1016"/>
      <c r="F63" s="1016"/>
      <c r="G63" s="1016"/>
      <c r="H63" s="1016"/>
      <c r="I63" s="1016"/>
      <c r="J63" s="1016"/>
      <c r="K63" s="1016"/>
      <c r="L63" s="1016"/>
      <c r="M63" s="1016"/>
      <c r="N63" s="1017"/>
    </row>
    <row r="64" spans="3:14" ht="11.25" customHeight="1" x14ac:dyDescent="0.2">
      <c r="C64" s="1016"/>
      <c r="D64" s="1016"/>
      <c r="E64" s="1016"/>
      <c r="F64" s="1016"/>
      <c r="G64" s="1016"/>
      <c r="H64" s="1016"/>
      <c r="I64" s="1016"/>
      <c r="J64" s="1016"/>
      <c r="K64" s="1016"/>
      <c r="L64" s="1016"/>
      <c r="M64" s="1016"/>
      <c r="N64" s="1017"/>
    </row>
    <row r="65" spans="1:14" ht="11.25" customHeight="1" x14ac:dyDescent="0.2">
      <c r="C65" s="1016"/>
      <c r="D65" s="1016"/>
      <c r="E65" s="1016"/>
      <c r="F65" s="1016"/>
      <c r="G65" s="1016"/>
      <c r="H65" s="1016"/>
      <c r="I65" s="1016"/>
      <c r="J65" s="1016"/>
      <c r="K65" s="1016"/>
      <c r="L65" s="1016"/>
      <c r="M65" s="1016"/>
      <c r="N65" s="1017"/>
    </row>
    <row r="66" spans="1:14" ht="11.25" customHeight="1" x14ac:dyDescent="0.2">
      <c r="C66" s="1016"/>
      <c r="D66" s="1016"/>
      <c r="E66" s="1016"/>
      <c r="F66" s="1016"/>
      <c r="G66" s="1016"/>
      <c r="H66" s="1016"/>
      <c r="I66" s="1016"/>
      <c r="J66" s="1016"/>
      <c r="K66" s="1016"/>
      <c r="L66" s="1016"/>
      <c r="M66" s="1016"/>
      <c r="N66" s="1017"/>
    </row>
    <row r="67" spans="1:14" ht="11.25" customHeight="1" x14ac:dyDescent="0.2">
      <c r="C67" s="1016"/>
      <c r="D67" s="1016"/>
      <c r="E67" s="1016"/>
      <c r="F67" s="1016"/>
      <c r="G67" s="1016"/>
      <c r="H67" s="1016"/>
      <c r="I67" s="1016"/>
      <c r="J67" s="1016"/>
      <c r="K67" s="1016"/>
      <c r="L67" s="1016"/>
      <c r="M67" s="1016"/>
      <c r="N67" s="1017"/>
    </row>
    <row r="68" spans="1:14" ht="11.25" customHeight="1" x14ac:dyDescent="0.2">
      <c r="C68" s="1016"/>
      <c r="D68" s="1016"/>
      <c r="E68" s="1016"/>
      <c r="F68" s="1016"/>
      <c r="G68" s="1016"/>
      <c r="H68" s="1016"/>
      <c r="I68" s="1016"/>
      <c r="J68" s="1016"/>
      <c r="K68" s="1016"/>
      <c r="L68" s="1016"/>
      <c r="M68" s="1016"/>
      <c r="N68" s="1017"/>
    </row>
    <row r="69" spans="1:14" ht="11.25" customHeight="1" x14ac:dyDescent="0.2">
      <c r="A69" s="1015" t="str">
        <f>"Maintenance costs per Litre for "&amp;Interactive!C10&amp;" ML facility ($/L)"</f>
        <v>Maintenance costs per Litre for 100 ML facility ($/L)</v>
      </c>
      <c r="C69" s="1016"/>
      <c r="D69" s="1016"/>
      <c r="E69" s="1016"/>
      <c r="F69" s="1016"/>
      <c r="G69" s="1016"/>
      <c r="H69" s="1016"/>
      <c r="I69" s="1016"/>
      <c r="J69" s="1016"/>
      <c r="K69" s="1016"/>
      <c r="L69" s="1016"/>
      <c r="M69" s="1016"/>
      <c r="N69" s="1017"/>
    </row>
    <row r="70" spans="1:14" ht="11.25" customHeight="1" x14ac:dyDescent="0.2">
      <c r="A70" s="1015" t="str">
        <f>"Indirect costs per Litre for 100 ML facility ($/L) "&amp;Interactive!C10&amp;" ML facility ($/L)"</f>
        <v>Indirect costs per Litre for 100 ML facility ($/L) 100 ML facility ($/L)</v>
      </c>
      <c r="C70" s="1016"/>
      <c r="D70" s="1016"/>
      <c r="E70" s="1016"/>
      <c r="F70" s="1016"/>
      <c r="G70" s="1016"/>
      <c r="H70" s="1016"/>
      <c r="I70" s="1016"/>
      <c r="J70" s="1016"/>
      <c r="K70" s="1016"/>
      <c r="L70" s="1016"/>
      <c r="M70" s="1016"/>
      <c r="N70" s="1017"/>
    </row>
    <row r="71" spans="1:14" ht="11.25" customHeight="1" x14ac:dyDescent="0.2">
      <c r="C71" s="1016"/>
      <c r="D71" s="1016"/>
      <c r="E71" s="1016"/>
      <c r="F71" s="1016"/>
      <c r="G71" s="1016"/>
      <c r="H71" s="1016"/>
      <c r="I71" s="1016"/>
      <c r="J71" s="1016"/>
      <c r="K71" s="1016"/>
      <c r="L71" s="1016"/>
      <c r="M71" s="1016"/>
      <c r="N71" s="1017"/>
    </row>
    <row r="72" spans="1:14" ht="11.25" customHeight="1" x14ac:dyDescent="0.2">
      <c r="C72" s="982" t="str">
        <f>'Summary Tables'!F5&amp;" Production Costs ($/L) based on 100 ML production plant"</f>
        <v>Wheat Integrated (Starch) Production Costs ($/L) based on 100 ML production plant</v>
      </c>
      <c r="D72" s="1016"/>
      <c r="E72" s="1016"/>
      <c r="F72" s="1016"/>
      <c r="G72" s="1016"/>
      <c r="H72" s="1016"/>
      <c r="I72" s="1016"/>
      <c r="J72" s="1016"/>
      <c r="K72" s="1016"/>
      <c r="L72" s="1016"/>
      <c r="M72" s="1016"/>
      <c r="N72" s="1017"/>
    </row>
    <row r="73" spans="1:14" ht="11.25" customHeight="1" x14ac:dyDescent="0.2">
      <c r="C73" s="1016"/>
      <c r="D73" s="1016"/>
      <c r="E73" s="1016"/>
      <c r="F73" s="1016"/>
      <c r="G73" s="1016"/>
      <c r="H73" s="1016"/>
      <c r="I73" s="1016"/>
      <c r="J73" s="1016"/>
      <c r="K73" s="1016"/>
      <c r="L73" s="1016"/>
      <c r="M73" s="1016"/>
      <c r="N73" s="1017"/>
    </row>
    <row r="74" spans="1:14" ht="11.25" customHeight="1" x14ac:dyDescent="0.2">
      <c r="C74" s="1016"/>
      <c r="D74" s="1016"/>
      <c r="E74" s="1016"/>
      <c r="F74" s="1016"/>
      <c r="G74" s="1016"/>
      <c r="H74" s="1016"/>
      <c r="I74" s="1016"/>
      <c r="J74" s="1016"/>
      <c r="K74" s="1016"/>
      <c r="L74" s="1016"/>
      <c r="M74" s="1016"/>
      <c r="N74" s="1017"/>
    </row>
    <row r="75" spans="1:14" ht="11.25" customHeight="1" x14ac:dyDescent="0.2">
      <c r="C75" s="1016"/>
      <c r="D75" s="1016"/>
      <c r="E75" s="1016"/>
      <c r="F75" s="1016"/>
      <c r="G75" s="1016"/>
      <c r="H75" s="1016"/>
      <c r="I75" s="1016"/>
      <c r="J75" s="1016"/>
      <c r="K75" s="1016"/>
      <c r="L75" s="1016"/>
      <c r="M75" s="1016"/>
      <c r="N75" s="1017"/>
    </row>
    <row r="76" spans="1:14" ht="11.25" customHeight="1" x14ac:dyDescent="0.2">
      <c r="C76" s="1016"/>
      <c r="D76" s="1016"/>
      <c r="E76" s="1016"/>
      <c r="F76" s="1016"/>
      <c r="G76" s="1016"/>
      <c r="H76" s="1016"/>
      <c r="I76" s="1016"/>
      <c r="J76" s="1016"/>
      <c r="K76" s="1016"/>
      <c r="L76" s="1016"/>
      <c r="M76" s="1016"/>
      <c r="N76" s="1017"/>
    </row>
    <row r="77" spans="1:14" ht="11.25" customHeight="1" x14ac:dyDescent="0.2">
      <c r="C77" s="1016"/>
      <c r="D77" s="1016"/>
      <c r="E77" s="1016"/>
      <c r="F77" s="1016"/>
      <c r="G77" s="1016"/>
      <c r="H77" s="1016"/>
      <c r="I77" s="1016"/>
      <c r="J77" s="1016"/>
      <c r="K77" s="1016"/>
      <c r="L77" s="1016"/>
      <c r="M77" s="1016"/>
      <c r="N77" s="1017"/>
    </row>
    <row r="78" spans="1:14" ht="11.25" customHeight="1" x14ac:dyDescent="0.2">
      <c r="C78" s="1016"/>
      <c r="D78" s="1016"/>
      <c r="E78" s="1016"/>
      <c r="F78" s="1016"/>
      <c r="G78" s="1016"/>
      <c r="H78" s="1016"/>
      <c r="I78" s="1016"/>
      <c r="J78" s="1016"/>
      <c r="K78" s="1016"/>
      <c r="L78" s="1016"/>
      <c r="M78" s="1016"/>
      <c r="N78" s="1017"/>
    </row>
    <row r="79" spans="1:14" ht="11.25" customHeight="1" x14ac:dyDescent="0.2">
      <c r="C79" s="1016"/>
      <c r="D79" s="1016"/>
      <c r="E79" s="1016"/>
      <c r="F79" s="1016"/>
      <c r="G79" s="1016"/>
      <c r="H79" s="1016"/>
      <c r="I79" s="1016"/>
      <c r="J79" s="1016"/>
      <c r="K79" s="1016"/>
      <c r="L79" s="1016"/>
      <c r="M79" s="1016"/>
      <c r="N79" s="1017"/>
    </row>
    <row r="80" spans="1:14" ht="11.25" customHeight="1" x14ac:dyDescent="0.2">
      <c r="C80" s="1016"/>
      <c r="D80" s="1016"/>
      <c r="E80" s="1016"/>
      <c r="F80" s="1016"/>
      <c r="G80" s="1016"/>
      <c r="H80" s="1016"/>
      <c r="I80" s="1016"/>
      <c r="J80" s="1016"/>
      <c r="K80" s="1016"/>
      <c r="L80" s="1016"/>
      <c r="M80" s="1016"/>
      <c r="N80" s="1017"/>
    </row>
    <row r="81" spans="3:14" ht="11.25" customHeight="1" x14ac:dyDescent="0.2">
      <c r="C81" s="1016"/>
      <c r="D81" s="1016"/>
      <c r="E81" s="1016"/>
      <c r="F81" s="1016"/>
      <c r="G81" s="1016"/>
      <c r="H81" s="1016"/>
      <c r="I81" s="1016"/>
      <c r="J81" s="1016"/>
      <c r="K81" s="1016"/>
      <c r="L81" s="1016"/>
      <c r="M81" s="1016"/>
      <c r="N81" s="1017"/>
    </row>
    <row r="82" spans="3:14" ht="11.25" customHeight="1" x14ac:dyDescent="0.2">
      <c r="C82" s="1016"/>
      <c r="D82" s="1016"/>
      <c r="E82" s="1016"/>
      <c r="F82" s="1016"/>
      <c r="G82" s="1016"/>
      <c r="H82" s="1016"/>
      <c r="I82" s="1016"/>
      <c r="J82" s="1016"/>
      <c r="K82" s="1016"/>
      <c r="L82" s="1016"/>
      <c r="M82" s="1016"/>
      <c r="N82" s="1017"/>
    </row>
    <row r="83" spans="3:14" ht="11.25" customHeight="1" x14ac:dyDescent="0.2">
      <c r="C83" s="1016"/>
      <c r="D83" s="1016"/>
      <c r="E83" s="1016"/>
      <c r="F83" s="1016"/>
      <c r="G83" s="1016"/>
      <c r="H83" s="1016"/>
      <c r="I83" s="1016"/>
      <c r="J83" s="1016"/>
      <c r="K83" s="1016"/>
      <c r="L83" s="1016"/>
      <c r="M83" s="1016"/>
      <c r="N83" s="1017"/>
    </row>
    <row r="84" spans="3:14" ht="11.25" customHeight="1" x14ac:dyDescent="0.2">
      <c r="C84" s="1016"/>
      <c r="D84" s="1016"/>
      <c r="E84" s="1016"/>
      <c r="F84" s="1016"/>
      <c r="G84" s="1016"/>
      <c r="H84" s="1016"/>
      <c r="I84" s="1016"/>
      <c r="J84" s="1016"/>
      <c r="K84" s="1016"/>
      <c r="L84" s="1016"/>
      <c r="M84" s="1016"/>
      <c r="N84" s="1017"/>
    </row>
    <row r="85" spans="3:14" ht="11.25" customHeight="1" x14ac:dyDescent="0.2">
      <c r="C85" s="1016"/>
      <c r="D85" s="1016"/>
      <c r="E85" s="1016"/>
      <c r="F85" s="1016"/>
      <c r="G85" s="1016"/>
      <c r="H85" s="1016"/>
      <c r="I85" s="1016"/>
      <c r="J85" s="1016"/>
      <c r="K85" s="1016"/>
      <c r="L85" s="1016"/>
      <c r="M85" s="1016"/>
      <c r="N85" s="1017"/>
    </row>
    <row r="86" spans="3:14" ht="11.25" customHeight="1" x14ac:dyDescent="0.2">
      <c r="C86" s="1016"/>
      <c r="D86" s="1016"/>
      <c r="E86" s="1016"/>
      <c r="F86" s="1016"/>
      <c r="G86" s="1016"/>
      <c r="H86" s="1016"/>
      <c r="I86" s="1016"/>
      <c r="J86" s="1016"/>
      <c r="K86" s="1016"/>
      <c r="L86" s="1016"/>
      <c r="M86" s="1016"/>
      <c r="N86" s="1017"/>
    </row>
    <row r="87" spans="3:14" ht="11.25" customHeight="1" x14ac:dyDescent="0.2">
      <c r="C87" s="1016"/>
      <c r="D87" s="1016"/>
      <c r="E87" s="1016"/>
      <c r="F87" s="1016"/>
      <c r="G87" s="1016"/>
      <c r="H87" s="1016"/>
      <c r="I87" s="1016"/>
      <c r="J87" s="1016"/>
      <c r="K87" s="1016"/>
      <c r="L87" s="1016"/>
      <c r="M87" s="1016"/>
      <c r="N87" s="1017"/>
    </row>
    <row r="88" spans="3:14" ht="11.25" customHeight="1" x14ac:dyDescent="0.2">
      <c r="C88" s="1016"/>
      <c r="D88" s="1016"/>
      <c r="E88" s="1016"/>
      <c r="F88" s="1016"/>
      <c r="G88" s="1016"/>
      <c r="H88" s="1016"/>
      <c r="I88" s="1016"/>
      <c r="J88" s="1016"/>
      <c r="K88" s="1016"/>
      <c r="L88" s="1016"/>
      <c r="M88" s="1016"/>
      <c r="N88" s="1017"/>
    </row>
    <row r="89" spans="3:14" ht="11.25" customHeight="1" x14ac:dyDescent="0.2">
      <c r="C89" s="1016"/>
      <c r="D89" s="1016"/>
      <c r="E89" s="1016"/>
      <c r="F89" s="1016"/>
      <c r="G89" s="1016"/>
      <c r="H89" s="1016"/>
      <c r="I89" s="1016"/>
      <c r="J89" s="1016"/>
      <c r="K89" s="1016"/>
      <c r="L89" s="1016"/>
      <c r="M89" s="1016"/>
      <c r="N89" s="1017"/>
    </row>
    <row r="90" spans="3:14" ht="11.25" customHeight="1" x14ac:dyDescent="0.2">
      <c r="C90" s="1016"/>
      <c r="D90" s="1016"/>
      <c r="E90" s="1016"/>
      <c r="F90" s="1016"/>
      <c r="G90" s="1016"/>
      <c r="H90" s="1016"/>
      <c r="I90" s="1016"/>
      <c r="J90" s="1016"/>
      <c r="K90" s="1016"/>
      <c r="L90" s="1016"/>
      <c r="M90" s="1016"/>
      <c r="N90" s="1017"/>
    </row>
    <row r="91" spans="3:14" ht="11.25" customHeight="1" x14ac:dyDescent="0.2">
      <c r="C91" s="1016"/>
      <c r="D91" s="1016"/>
      <c r="E91" s="1016"/>
      <c r="F91" s="1016"/>
      <c r="G91" s="1016"/>
      <c r="H91" s="1016"/>
      <c r="I91" s="1016"/>
      <c r="J91" s="1016"/>
      <c r="K91" s="1016"/>
      <c r="L91" s="1016"/>
      <c r="M91" s="1016"/>
      <c r="N91" s="1017"/>
    </row>
    <row r="92" spans="3:14" ht="11.25" customHeight="1" x14ac:dyDescent="0.2">
      <c r="C92" s="1016"/>
      <c r="D92" s="1016"/>
      <c r="E92" s="1016"/>
      <c r="F92" s="1016"/>
      <c r="G92" s="1016"/>
      <c r="H92" s="1016"/>
      <c r="I92" s="1016"/>
      <c r="J92" s="1016"/>
      <c r="K92" s="1016"/>
      <c r="L92" s="1016"/>
      <c r="M92" s="1016"/>
      <c r="N92" s="1017"/>
    </row>
    <row r="93" spans="3:14" ht="11.25" customHeight="1" x14ac:dyDescent="0.2">
      <c r="C93" s="1016"/>
      <c r="D93" s="1016"/>
      <c r="E93" s="1016"/>
      <c r="F93" s="1016"/>
      <c r="G93" s="1016"/>
      <c r="H93" s="1016"/>
      <c r="I93" s="1016"/>
      <c r="J93" s="1016"/>
      <c r="K93" s="1016"/>
      <c r="L93" s="1016"/>
      <c r="M93" s="1016"/>
      <c r="N93" s="1017"/>
    </row>
    <row r="94" spans="3:14" ht="11.25" customHeight="1" x14ac:dyDescent="0.2">
      <c r="C94" s="1016"/>
      <c r="D94" s="1016"/>
      <c r="E94" s="1016"/>
      <c r="F94" s="1016"/>
      <c r="G94" s="1016"/>
      <c r="H94" s="1016"/>
      <c r="I94" s="1016"/>
      <c r="J94" s="1016"/>
      <c r="K94" s="1016"/>
      <c r="L94" s="1016"/>
      <c r="M94" s="1016"/>
      <c r="N94" s="1017"/>
    </row>
    <row r="95" spans="3:14" ht="11.25" customHeight="1" x14ac:dyDescent="0.2">
      <c r="C95" s="1016"/>
      <c r="D95" s="1016"/>
      <c r="E95" s="1016"/>
      <c r="F95" s="1016"/>
      <c r="G95" s="1016"/>
      <c r="H95" s="1016"/>
      <c r="I95" s="1016"/>
      <c r="J95" s="1016"/>
      <c r="K95" s="1016"/>
      <c r="L95" s="1016"/>
      <c r="M95" s="1016"/>
      <c r="N95" s="1017"/>
    </row>
    <row r="96" spans="3:14" ht="11.25" customHeight="1" x14ac:dyDescent="0.2">
      <c r="C96" s="1016"/>
      <c r="D96" s="1016"/>
      <c r="E96" s="1016"/>
      <c r="F96" s="1016"/>
      <c r="G96" s="1016"/>
      <c r="H96" s="1016"/>
      <c r="I96" s="1016"/>
      <c r="J96" s="1016"/>
      <c r="K96" s="1016"/>
      <c r="L96" s="1016"/>
      <c r="M96" s="1016"/>
      <c r="N96" s="1017"/>
    </row>
    <row r="97" spans="1:14" ht="11.25" customHeight="1" x14ac:dyDescent="0.2">
      <c r="C97" s="1016"/>
      <c r="D97" s="1016"/>
      <c r="E97" s="1016"/>
      <c r="F97" s="1016"/>
      <c r="G97" s="1016"/>
      <c r="H97" s="1016"/>
      <c r="I97" s="1016"/>
      <c r="J97" s="1016"/>
      <c r="K97" s="1016"/>
      <c r="L97" s="1016"/>
      <c r="M97" s="1016"/>
      <c r="N97" s="1017"/>
    </row>
    <row r="98" spans="1:14" ht="11.25" customHeight="1" x14ac:dyDescent="0.2">
      <c r="C98" s="1016"/>
      <c r="D98" s="1016"/>
      <c r="E98" s="1016"/>
      <c r="F98" s="1016"/>
      <c r="G98" s="1016"/>
      <c r="H98" s="1016"/>
      <c r="I98" s="1016"/>
      <c r="J98" s="1016"/>
      <c r="K98" s="1016"/>
      <c r="L98" s="1016"/>
      <c r="M98" s="1016"/>
      <c r="N98" s="1017"/>
    </row>
    <row r="99" spans="1:14" ht="11.25" customHeight="1" x14ac:dyDescent="0.2">
      <c r="C99" s="1016"/>
      <c r="D99" s="1016"/>
      <c r="E99" s="1016"/>
      <c r="F99" s="1016"/>
      <c r="G99" s="1016"/>
      <c r="H99" s="1016"/>
      <c r="I99" s="1016"/>
      <c r="J99" s="1016"/>
      <c r="K99" s="1016"/>
      <c r="L99" s="1016"/>
      <c r="M99" s="1016"/>
      <c r="N99" s="1017"/>
    </row>
    <row r="100" spans="1:14" ht="11.25" customHeight="1" x14ac:dyDescent="0.2">
      <c r="C100" s="1016"/>
      <c r="D100" s="1016"/>
      <c r="E100" s="1016"/>
      <c r="F100" s="1016"/>
      <c r="G100" s="1016"/>
      <c r="H100" s="1016"/>
      <c r="I100" s="1016"/>
      <c r="J100" s="1016"/>
      <c r="K100" s="1016"/>
      <c r="L100" s="1016"/>
      <c r="M100" s="1016"/>
      <c r="N100" s="1017"/>
    </row>
    <row r="101" spans="1:14" ht="11.25" customHeight="1" x14ac:dyDescent="0.2">
      <c r="C101" s="1016"/>
      <c r="D101" s="1016"/>
      <c r="E101" s="1016"/>
      <c r="F101" s="1016"/>
      <c r="G101" s="1016"/>
      <c r="H101" s="1016"/>
      <c r="I101" s="1016"/>
      <c r="J101" s="1016"/>
      <c r="K101" s="1016"/>
      <c r="L101" s="1016"/>
      <c r="M101" s="1016"/>
      <c r="N101" s="1017"/>
    </row>
    <row r="102" spans="1:14" ht="11.25" customHeight="1" x14ac:dyDescent="0.2">
      <c r="A102" s="1015" t="str">
        <f>"Finance costs per Litre  "&amp;Interactive!C10&amp;" ML facility ($/L)"</f>
        <v>Finance costs per Litre  100 ML facility ($/L)</v>
      </c>
      <c r="C102" s="1016"/>
      <c r="D102" s="1016"/>
      <c r="E102" s="1016"/>
      <c r="F102" s="1016"/>
      <c r="G102" s="1016"/>
      <c r="H102" s="1016"/>
      <c r="I102" s="1016"/>
      <c r="J102" s="1016"/>
      <c r="K102" s="1016"/>
      <c r="L102" s="1016"/>
      <c r="M102" s="1016"/>
      <c r="N102" s="1017"/>
    </row>
    <row r="103" spans="1:14" ht="11.25" customHeight="1" x14ac:dyDescent="0.2">
      <c r="A103" s="1015" t="str">
        <f>"Margin allowed per Litre for "&amp;Interactive!C10&amp;" ML facility ($/L)"</f>
        <v>Margin allowed per Litre for 100 ML facility ($/L)</v>
      </c>
      <c r="C103" s="1016"/>
      <c r="D103" s="1016"/>
      <c r="E103" s="1016"/>
      <c r="F103" s="1016"/>
      <c r="G103" s="1016"/>
      <c r="H103" s="1016"/>
      <c r="I103" s="1016"/>
      <c r="J103" s="1016"/>
      <c r="K103" s="1016"/>
      <c r="L103" s="1016"/>
      <c r="M103" s="1016"/>
      <c r="N103" s="1017"/>
    </row>
    <row r="104" spans="1:14" ht="11.25" customHeight="1" x14ac:dyDescent="0.2">
      <c r="C104" s="1016"/>
      <c r="D104" s="1016"/>
      <c r="E104" s="1016"/>
      <c r="F104" s="1016"/>
      <c r="G104" s="1016"/>
      <c r="H104" s="1016"/>
      <c r="I104" s="1016"/>
      <c r="J104" s="1016"/>
      <c r="K104" s="1016"/>
      <c r="L104" s="1016"/>
      <c r="M104" s="1016"/>
      <c r="N104" s="1017"/>
    </row>
    <row r="105" spans="1:14" ht="11.25" customHeight="1" x14ac:dyDescent="0.2">
      <c r="C105" s="1016"/>
      <c r="D105" s="1016"/>
      <c r="E105" s="1016"/>
      <c r="F105" s="1016"/>
      <c r="G105" s="1016"/>
      <c r="H105" s="1016"/>
      <c r="I105" s="1016"/>
      <c r="J105" s="1016"/>
      <c r="K105" s="1016"/>
      <c r="L105" s="1016"/>
      <c r="M105" s="1016"/>
      <c r="N105" s="1017"/>
    </row>
    <row r="106" spans="1:14" ht="11.25" customHeight="1" x14ac:dyDescent="0.2">
      <c r="C106" s="1016"/>
      <c r="D106" s="1016"/>
      <c r="E106" s="1016"/>
      <c r="F106" s="1016"/>
      <c r="G106" s="1016"/>
      <c r="H106" s="1016"/>
      <c r="I106" s="1016"/>
      <c r="J106" s="1016"/>
      <c r="K106" s="1016"/>
      <c r="L106" s="1016"/>
      <c r="M106" s="1016"/>
      <c r="N106" s="1017"/>
    </row>
    <row r="107" spans="1:14" ht="11.25" customHeight="1" x14ac:dyDescent="0.2">
      <c r="C107" s="1016"/>
      <c r="D107" s="1016"/>
      <c r="E107" s="1016"/>
      <c r="F107" s="1016"/>
      <c r="G107" s="1016"/>
      <c r="H107" s="1016"/>
      <c r="I107" s="1016"/>
      <c r="J107" s="1016"/>
      <c r="K107" s="1016"/>
      <c r="L107" s="1016"/>
      <c r="M107" s="1016"/>
      <c r="N107" s="1017"/>
    </row>
    <row r="108" spans="1:14" ht="11.25" customHeight="1" x14ac:dyDescent="0.2">
      <c r="C108" s="1016"/>
      <c r="D108" s="1016"/>
      <c r="E108" s="1016"/>
      <c r="F108" s="1016"/>
      <c r="G108" s="1016"/>
      <c r="H108" s="1016"/>
      <c r="I108" s="1016"/>
      <c r="J108" s="1016"/>
      <c r="K108" s="1016"/>
      <c r="L108" s="1016"/>
      <c r="M108" s="1016"/>
      <c r="N108" s="1017"/>
    </row>
    <row r="109" spans="1:14" ht="11.25" customHeight="1" x14ac:dyDescent="0.2">
      <c r="C109" s="1016"/>
      <c r="D109" s="1016"/>
      <c r="E109" s="1016"/>
      <c r="F109" s="1016"/>
      <c r="G109" s="1016"/>
      <c r="H109" s="1016"/>
      <c r="I109" s="1016"/>
      <c r="J109" s="1016"/>
      <c r="K109" s="1016"/>
      <c r="L109" s="1016"/>
      <c r="M109" s="1016"/>
      <c r="N109" s="1017"/>
    </row>
    <row r="110" spans="1:14" ht="11.25" customHeight="1" x14ac:dyDescent="0.2">
      <c r="C110" s="982" t="str">
        <f>'Summary Tables'!$G$5&amp;" Production Costs ($/L) based on 100 ML production plant"</f>
        <v>Imported Starch Production Costs ($/L) based on 100 ML production plant</v>
      </c>
      <c r="D110" s="1016"/>
      <c r="E110" s="1016"/>
      <c r="F110" s="1016"/>
      <c r="G110" s="1016"/>
      <c r="H110" s="1016"/>
      <c r="I110" s="1016"/>
      <c r="J110" s="1016"/>
      <c r="K110" s="1016"/>
      <c r="L110" s="1016"/>
      <c r="M110" s="1016"/>
      <c r="N110" s="1017"/>
    </row>
    <row r="111" spans="1:14" ht="11.25" customHeight="1" x14ac:dyDescent="0.2">
      <c r="C111" s="1016"/>
      <c r="D111" s="1016"/>
      <c r="E111" s="1016"/>
      <c r="F111" s="1016"/>
      <c r="G111" s="1016"/>
      <c r="H111" s="1016"/>
      <c r="I111" s="1016"/>
      <c r="J111" s="1016"/>
      <c r="K111" s="1016"/>
      <c r="L111" s="1016"/>
      <c r="M111" s="1016"/>
      <c r="N111" s="1017"/>
    </row>
    <row r="112" spans="1:14" ht="11.25" customHeight="1" x14ac:dyDescent="0.2">
      <c r="C112" s="1016"/>
      <c r="D112" s="1016"/>
      <c r="E112" s="1016"/>
      <c r="F112" s="1016"/>
      <c r="G112" s="1016"/>
      <c r="H112" s="1016"/>
      <c r="I112" s="1016"/>
      <c r="J112" s="1016"/>
      <c r="K112" s="1016"/>
      <c r="L112" s="1016"/>
      <c r="M112" s="1016"/>
      <c r="N112" s="1017"/>
    </row>
    <row r="113" spans="3:14" ht="11.25" customHeight="1" x14ac:dyDescent="0.2">
      <c r="C113" s="1016"/>
      <c r="D113" s="1016"/>
      <c r="E113" s="1016"/>
      <c r="F113" s="1016"/>
      <c r="G113" s="1016"/>
      <c r="H113" s="1016"/>
      <c r="I113" s="1016"/>
      <c r="J113" s="1016"/>
      <c r="K113" s="1016"/>
      <c r="L113" s="1016"/>
      <c r="M113" s="1016"/>
      <c r="N113" s="1017"/>
    </row>
    <row r="114" spans="3:14" ht="11.25" customHeight="1" x14ac:dyDescent="0.2">
      <c r="C114" s="1016"/>
      <c r="D114" s="1016"/>
      <c r="E114" s="1016"/>
      <c r="F114" s="1016"/>
      <c r="G114" s="1016"/>
      <c r="H114" s="1016"/>
      <c r="I114" s="1016"/>
      <c r="J114" s="1016"/>
      <c r="K114" s="1016"/>
      <c r="L114" s="1016"/>
      <c r="M114" s="1016"/>
      <c r="N114" s="1017"/>
    </row>
    <row r="115" spans="3:14" ht="11.25" customHeight="1" x14ac:dyDescent="0.2">
      <c r="C115" s="1016"/>
      <c r="D115" s="1016"/>
      <c r="E115" s="1016"/>
      <c r="F115" s="1016"/>
      <c r="G115" s="1016"/>
      <c r="H115" s="1016"/>
      <c r="I115" s="1016"/>
      <c r="J115" s="1016"/>
      <c r="K115" s="1016"/>
      <c r="L115" s="1016"/>
      <c r="M115" s="1016"/>
      <c r="N115" s="1017"/>
    </row>
    <row r="116" spans="3:14" ht="11.25" customHeight="1" x14ac:dyDescent="0.2">
      <c r="C116" s="1016"/>
      <c r="D116" s="1016"/>
      <c r="E116" s="1016"/>
      <c r="F116" s="1016"/>
      <c r="G116" s="1016"/>
      <c r="H116" s="1016"/>
      <c r="I116" s="1016"/>
      <c r="J116" s="1016"/>
      <c r="K116" s="1016"/>
      <c r="L116" s="1016"/>
      <c r="M116" s="1016"/>
      <c r="N116" s="1017"/>
    </row>
    <row r="117" spans="3:14" ht="11.25" customHeight="1" x14ac:dyDescent="0.2">
      <c r="C117" s="1016"/>
      <c r="D117" s="1016"/>
      <c r="E117" s="1016"/>
      <c r="F117" s="1016"/>
      <c r="G117" s="1016"/>
      <c r="H117" s="1016"/>
      <c r="I117" s="1016"/>
      <c r="J117" s="1016"/>
      <c r="K117" s="1016"/>
      <c r="L117" s="1016"/>
      <c r="M117" s="1016"/>
      <c r="N117" s="1017"/>
    </row>
    <row r="118" spans="3:14" ht="11.25" customHeight="1" x14ac:dyDescent="0.2">
      <c r="C118" s="1016"/>
      <c r="D118" s="1016"/>
      <c r="E118" s="1016"/>
      <c r="F118" s="1016"/>
      <c r="G118" s="1016"/>
      <c r="H118" s="1016"/>
      <c r="I118" s="1016"/>
      <c r="J118" s="1016"/>
      <c r="K118" s="1016"/>
      <c r="L118" s="1016"/>
      <c r="M118" s="1016"/>
      <c r="N118" s="1017"/>
    </row>
    <row r="119" spans="3:14" ht="11.25" customHeight="1" x14ac:dyDescent="0.2">
      <c r="C119" s="1016"/>
      <c r="D119" s="1016"/>
      <c r="E119" s="1016"/>
      <c r="F119" s="1016"/>
      <c r="G119" s="1016"/>
      <c r="H119" s="1016"/>
      <c r="I119" s="1016"/>
      <c r="J119" s="1016"/>
      <c r="K119" s="1016"/>
      <c r="L119" s="1016"/>
      <c r="M119" s="1016"/>
      <c r="N119" s="1017"/>
    </row>
    <row r="120" spans="3:14" ht="11.25" customHeight="1" x14ac:dyDescent="0.2">
      <c r="C120" s="1016"/>
      <c r="D120" s="1016"/>
      <c r="E120" s="1016"/>
      <c r="F120" s="1016"/>
      <c r="G120" s="1016"/>
      <c r="H120" s="1016"/>
      <c r="I120" s="1016"/>
      <c r="J120" s="1016"/>
      <c r="K120" s="1016"/>
      <c r="L120" s="1016"/>
      <c r="M120" s="1016"/>
      <c r="N120" s="1017"/>
    </row>
    <row r="121" spans="3:14" ht="11.25" customHeight="1" x14ac:dyDescent="0.2">
      <c r="C121" s="1016"/>
      <c r="D121" s="1016"/>
      <c r="E121" s="1016"/>
      <c r="F121" s="1016"/>
      <c r="G121" s="1016"/>
      <c r="H121" s="1016"/>
      <c r="I121" s="1016"/>
      <c r="J121" s="1016"/>
      <c r="K121" s="1016"/>
      <c r="L121" s="1016"/>
      <c r="M121" s="1016"/>
      <c r="N121" s="1017"/>
    </row>
    <row r="122" spans="3:14" ht="11.25" customHeight="1" x14ac:dyDescent="0.2">
      <c r="C122" s="1016"/>
      <c r="D122" s="1016"/>
      <c r="E122" s="1016"/>
      <c r="F122" s="1016"/>
      <c r="G122" s="1016"/>
      <c r="H122" s="1016"/>
      <c r="I122" s="1016"/>
      <c r="J122" s="1016"/>
      <c r="K122" s="1016"/>
      <c r="L122" s="1016"/>
      <c r="M122" s="1016"/>
      <c r="N122" s="1017"/>
    </row>
    <row r="123" spans="3:14" ht="11.25" customHeight="1" x14ac:dyDescent="0.2">
      <c r="C123" s="1016"/>
      <c r="D123" s="1016"/>
      <c r="E123" s="1016"/>
      <c r="F123" s="1016"/>
      <c r="G123" s="1016"/>
      <c r="H123" s="1016"/>
      <c r="I123" s="1016"/>
      <c r="J123" s="1016"/>
      <c r="K123" s="1016"/>
      <c r="L123" s="1016"/>
      <c r="M123" s="1016"/>
      <c r="N123" s="1017"/>
    </row>
    <row r="124" spans="3:14" ht="11.25" customHeight="1" x14ac:dyDescent="0.2">
      <c r="C124" s="1016"/>
      <c r="D124" s="1016"/>
      <c r="E124" s="1016"/>
      <c r="F124" s="1016"/>
      <c r="G124" s="1016"/>
      <c r="H124" s="1016"/>
      <c r="I124" s="1016"/>
      <c r="J124" s="1016"/>
      <c r="K124" s="1016"/>
      <c r="L124" s="1016"/>
      <c r="M124" s="1016"/>
      <c r="N124" s="1017"/>
    </row>
    <row r="125" spans="3:14" ht="11.25" customHeight="1" x14ac:dyDescent="0.2">
      <c r="C125" s="1016"/>
      <c r="D125" s="1016"/>
      <c r="E125" s="1016"/>
      <c r="F125" s="1016"/>
      <c r="G125" s="1016"/>
      <c r="H125" s="1016"/>
      <c r="I125" s="1016"/>
      <c r="J125" s="1016"/>
      <c r="K125" s="1016"/>
      <c r="L125" s="1016"/>
      <c r="M125" s="1016"/>
      <c r="N125" s="1017"/>
    </row>
    <row r="126" spans="3:14" ht="11.25" customHeight="1" x14ac:dyDescent="0.2">
      <c r="C126" s="1016"/>
      <c r="D126" s="1016"/>
      <c r="E126" s="1016"/>
      <c r="F126" s="1016"/>
      <c r="G126" s="1016"/>
      <c r="H126" s="1016"/>
      <c r="I126" s="1016"/>
      <c r="J126" s="1016"/>
      <c r="K126" s="1016"/>
      <c r="L126" s="1016"/>
      <c r="M126" s="1016"/>
      <c r="N126" s="1017"/>
    </row>
    <row r="127" spans="3:14" ht="11.25" customHeight="1" x14ac:dyDescent="0.2">
      <c r="C127" s="1016"/>
      <c r="D127" s="1016"/>
      <c r="E127" s="1016"/>
      <c r="F127" s="1016"/>
      <c r="G127" s="1016"/>
      <c r="H127" s="1016"/>
      <c r="I127" s="1016"/>
      <c r="J127" s="1016"/>
      <c r="K127" s="1016"/>
      <c r="L127" s="1016"/>
      <c r="M127" s="1016"/>
      <c r="N127" s="1017"/>
    </row>
    <row r="128" spans="3:14" ht="11.25" customHeight="1" x14ac:dyDescent="0.2">
      <c r="C128" s="1016"/>
      <c r="D128" s="1016"/>
      <c r="E128" s="1016"/>
      <c r="F128" s="1016"/>
      <c r="G128" s="1016"/>
      <c r="H128" s="1016"/>
      <c r="I128" s="1016"/>
      <c r="J128" s="1016"/>
      <c r="K128" s="1016"/>
      <c r="L128" s="1016"/>
      <c r="M128" s="1016"/>
      <c r="N128" s="1017"/>
    </row>
    <row r="129" spans="1:14" ht="12" customHeight="1" x14ac:dyDescent="0.2">
      <c r="C129" s="1016"/>
      <c r="D129" s="1016"/>
      <c r="E129" s="1016"/>
      <c r="F129" s="1016"/>
      <c r="G129" s="1016"/>
      <c r="H129" s="1016"/>
      <c r="I129" s="1016"/>
      <c r="J129" s="1016"/>
      <c r="K129" s="1016"/>
      <c r="L129" s="1016"/>
      <c r="M129" s="1016"/>
      <c r="N129" s="1017"/>
    </row>
    <row r="130" spans="1:14" ht="12" customHeight="1" x14ac:dyDescent="0.2">
      <c r="C130" s="1016"/>
      <c r="D130" s="1016"/>
      <c r="E130" s="1016"/>
      <c r="F130" s="1016"/>
      <c r="G130" s="1016"/>
      <c r="H130" s="1016"/>
      <c r="I130" s="1016"/>
      <c r="J130" s="1016"/>
      <c r="K130" s="1016"/>
      <c r="L130" s="1016"/>
      <c r="M130" s="1016"/>
      <c r="N130" s="1017"/>
    </row>
    <row r="131" spans="1:14" ht="12" customHeight="1" x14ac:dyDescent="0.2">
      <c r="C131" s="1016"/>
      <c r="D131" s="1016"/>
      <c r="E131" s="1016"/>
      <c r="F131" s="1016"/>
      <c r="G131" s="1016"/>
      <c r="H131" s="1016"/>
      <c r="I131" s="1016"/>
      <c r="J131" s="1016"/>
      <c r="K131" s="1016"/>
      <c r="L131" s="1016"/>
      <c r="M131" s="1016"/>
      <c r="N131" s="1017"/>
    </row>
    <row r="132" spans="1:14" ht="12" customHeight="1" x14ac:dyDescent="0.2">
      <c r="C132" s="1016"/>
      <c r="D132" s="1016"/>
      <c r="E132" s="1016"/>
      <c r="F132" s="1016"/>
      <c r="G132" s="1016"/>
      <c r="H132" s="1016"/>
      <c r="I132" s="1016"/>
      <c r="J132" s="1016"/>
      <c r="K132" s="1016"/>
      <c r="L132" s="1016"/>
      <c r="M132" s="1016"/>
      <c r="N132" s="1017"/>
    </row>
    <row r="133" spans="1:14" ht="12" customHeight="1" x14ac:dyDescent="0.2">
      <c r="C133" s="1016"/>
      <c r="D133" s="1016"/>
      <c r="E133" s="1016"/>
      <c r="F133" s="1016"/>
      <c r="G133" s="1016"/>
      <c r="H133" s="1016"/>
      <c r="I133" s="1016"/>
      <c r="J133" s="1016"/>
      <c r="K133" s="1016"/>
      <c r="L133" s="1016"/>
      <c r="M133" s="1016"/>
      <c r="N133" s="1017"/>
    </row>
    <row r="134" spans="1:14" ht="12" customHeight="1" x14ac:dyDescent="0.2">
      <c r="A134" s="1019" t="str">
        <f>"Co-product credit per Litre for "&amp;Interactive!C10&amp;" ML facility ($/L)"</f>
        <v>Co-product credit per Litre for 100 ML facility ($/L)</v>
      </c>
      <c r="C134" s="1016"/>
      <c r="D134" s="1016"/>
      <c r="E134" s="1016"/>
      <c r="F134" s="1016"/>
      <c r="G134" s="1016"/>
      <c r="H134" s="1016"/>
      <c r="I134" s="1016"/>
      <c r="J134" s="1016"/>
      <c r="K134" s="1016"/>
      <c r="L134" s="1016"/>
      <c r="M134" s="1016"/>
      <c r="N134" s="1017"/>
    </row>
    <row r="135" spans="1:14" ht="12" customHeight="1" x14ac:dyDescent="0.2">
      <c r="C135" s="1016"/>
      <c r="D135" s="1016"/>
      <c r="E135" s="1016"/>
      <c r="F135" s="1016"/>
      <c r="G135" s="1016"/>
      <c r="H135" s="1016"/>
      <c r="I135" s="1016"/>
      <c r="J135" s="1016"/>
      <c r="K135" s="1016"/>
      <c r="L135" s="1016"/>
      <c r="M135" s="1016"/>
      <c r="N135" s="1017"/>
    </row>
    <row r="136" spans="1:14" ht="12" customHeight="1" x14ac:dyDescent="0.2">
      <c r="C136" s="1016"/>
      <c r="D136" s="1016"/>
      <c r="E136" s="1016"/>
      <c r="F136" s="1016"/>
      <c r="G136" s="1016"/>
      <c r="H136" s="1016"/>
      <c r="I136" s="1016"/>
      <c r="J136" s="1016"/>
      <c r="K136" s="1016"/>
      <c r="L136" s="1016"/>
      <c r="M136" s="1016"/>
      <c r="N136" s="1017"/>
    </row>
    <row r="137" spans="1:14" x14ac:dyDescent="0.2">
      <c r="C137" s="1016"/>
      <c r="D137" s="1016"/>
      <c r="E137" s="1016"/>
      <c r="F137" s="1016"/>
      <c r="G137" s="1016"/>
      <c r="H137" s="1016"/>
      <c r="I137" s="1016"/>
      <c r="J137" s="1016"/>
      <c r="K137" s="1016"/>
      <c r="L137" s="1016"/>
      <c r="M137" s="1016"/>
      <c r="N137" s="1017"/>
    </row>
    <row r="138" spans="1:14" x14ac:dyDescent="0.2">
      <c r="C138" s="1016"/>
      <c r="D138" s="1016"/>
      <c r="E138" s="1016"/>
      <c r="F138" s="1016"/>
      <c r="G138" s="1016"/>
      <c r="H138" s="1016"/>
      <c r="I138" s="1016"/>
      <c r="J138" s="1016"/>
      <c r="K138" s="1016"/>
      <c r="L138" s="1016"/>
      <c r="M138" s="1016"/>
      <c r="N138" s="1017"/>
    </row>
    <row r="139" spans="1:14" x14ac:dyDescent="0.2">
      <c r="C139" s="1016"/>
      <c r="D139" s="1016"/>
      <c r="E139" s="1016"/>
      <c r="F139" s="1016"/>
      <c r="G139" s="1016"/>
      <c r="H139" s="1016"/>
      <c r="I139" s="1016"/>
      <c r="J139" s="1016"/>
      <c r="K139" s="1016"/>
      <c r="L139" s="1016"/>
      <c r="M139" s="1016"/>
      <c r="N139" s="1017"/>
    </row>
    <row r="140" spans="1:14" x14ac:dyDescent="0.2">
      <c r="C140" s="1016"/>
      <c r="D140" s="1016"/>
      <c r="E140" s="1016"/>
      <c r="F140" s="1016"/>
      <c r="G140" s="1016"/>
      <c r="H140" s="1016"/>
      <c r="I140" s="1016"/>
      <c r="J140" s="1016"/>
      <c r="K140" s="1016"/>
      <c r="L140" s="1016"/>
      <c r="M140" s="1016"/>
      <c r="N140" s="1017"/>
    </row>
    <row r="141" spans="1:14" x14ac:dyDescent="0.2">
      <c r="C141" s="1016"/>
      <c r="D141" s="1016"/>
      <c r="E141" s="1016"/>
      <c r="F141" s="1016"/>
      <c r="G141" s="1016"/>
      <c r="H141" s="1016"/>
      <c r="I141" s="1016"/>
      <c r="J141" s="1016"/>
      <c r="K141" s="1016"/>
      <c r="L141" s="1016"/>
      <c r="M141" s="1016"/>
      <c r="N141" s="1017"/>
    </row>
    <row r="142" spans="1:14" x14ac:dyDescent="0.2">
      <c r="C142" s="1016"/>
      <c r="D142" s="1016"/>
      <c r="E142" s="1016"/>
      <c r="F142" s="1016"/>
      <c r="G142" s="1016"/>
      <c r="H142" s="1016"/>
      <c r="I142" s="1016"/>
      <c r="J142" s="1016"/>
      <c r="K142" s="1016"/>
      <c r="L142" s="1016"/>
      <c r="M142" s="1016"/>
      <c r="N142" s="1017"/>
    </row>
    <row r="143" spans="1:14" x14ac:dyDescent="0.2">
      <c r="C143" s="1016"/>
      <c r="D143" s="1016"/>
      <c r="E143" s="1016"/>
      <c r="F143" s="1016"/>
      <c r="G143" s="1016"/>
      <c r="H143" s="1016"/>
      <c r="I143" s="1016"/>
      <c r="J143" s="1016"/>
      <c r="K143" s="1016"/>
      <c r="L143" s="1016"/>
      <c r="M143" s="1016"/>
      <c r="N143" s="1017"/>
    </row>
    <row r="144" spans="1:14" x14ac:dyDescent="0.2">
      <c r="C144" s="1016"/>
      <c r="D144" s="1016"/>
      <c r="E144" s="1016"/>
      <c r="F144" s="1016"/>
      <c r="G144" s="1016"/>
      <c r="H144" s="1016"/>
      <c r="I144" s="1016"/>
      <c r="J144" s="1016"/>
      <c r="K144" s="1016"/>
      <c r="L144" s="1016"/>
      <c r="M144" s="1016"/>
      <c r="N144" s="1017"/>
    </row>
    <row r="145" spans="3:14" x14ac:dyDescent="0.2">
      <c r="C145" s="982" t="str">
        <f>'Summary Tables'!$H$5&amp;" Production Costs ($/L) based on 100 ML production plant"</f>
        <v>Sorghum (Starch) Production Costs ($/L) based on 100 ML production plant</v>
      </c>
      <c r="D145" s="1016"/>
      <c r="E145" s="1016"/>
      <c r="F145" s="1016"/>
      <c r="G145" s="1016"/>
      <c r="H145" s="1016"/>
      <c r="I145" s="1016"/>
      <c r="J145" s="1016"/>
      <c r="K145" s="1016"/>
      <c r="L145" s="1016"/>
      <c r="M145" s="1016"/>
      <c r="N145" s="1017"/>
    </row>
    <row r="146" spans="3:14" x14ac:dyDescent="0.2">
      <c r="C146" s="1016"/>
      <c r="D146" s="1016"/>
      <c r="E146" s="1016"/>
      <c r="F146" s="1016"/>
      <c r="G146" s="1016"/>
      <c r="H146" s="1016"/>
      <c r="I146" s="1016"/>
      <c r="J146" s="1016"/>
      <c r="K146" s="1016"/>
      <c r="L146" s="1016"/>
      <c r="M146" s="1016"/>
      <c r="N146" s="1017"/>
    </row>
    <row r="147" spans="3:14" x14ac:dyDescent="0.2">
      <c r="C147" s="1016"/>
      <c r="D147" s="1016"/>
      <c r="E147" s="1016"/>
      <c r="F147" s="1016"/>
      <c r="G147" s="1016"/>
      <c r="H147" s="1016"/>
      <c r="I147" s="1016"/>
      <c r="J147" s="1016"/>
      <c r="K147" s="1016"/>
      <c r="L147" s="1016"/>
      <c r="M147" s="1016"/>
      <c r="N147" s="1017"/>
    </row>
    <row r="148" spans="3:14" x14ac:dyDescent="0.2">
      <c r="C148" s="1016"/>
      <c r="D148" s="1016"/>
      <c r="E148" s="1016"/>
      <c r="F148" s="1016"/>
      <c r="G148" s="1016"/>
      <c r="H148" s="1016"/>
      <c r="I148" s="1016"/>
      <c r="J148" s="1016"/>
      <c r="K148" s="1016"/>
      <c r="L148" s="1016"/>
      <c r="M148" s="1016"/>
      <c r="N148" s="1017"/>
    </row>
    <row r="149" spans="3:14" x14ac:dyDescent="0.2">
      <c r="C149" s="1016"/>
      <c r="D149" s="1016"/>
      <c r="E149" s="1016"/>
      <c r="F149" s="1016"/>
      <c r="G149" s="1016"/>
      <c r="H149" s="1016"/>
      <c r="I149" s="1016"/>
      <c r="J149" s="1016"/>
      <c r="K149" s="1016"/>
      <c r="L149" s="1016"/>
      <c r="M149" s="1016"/>
      <c r="N149" s="1017"/>
    </row>
    <row r="150" spans="3:14" x14ac:dyDescent="0.2">
      <c r="C150" s="1016"/>
      <c r="D150" s="1016"/>
      <c r="E150" s="1016"/>
      <c r="F150" s="1016"/>
      <c r="G150" s="1016"/>
      <c r="H150" s="1016"/>
      <c r="I150" s="1016"/>
      <c r="J150" s="1016"/>
      <c r="K150" s="1016"/>
      <c r="L150" s="1016"/>
      <c r="M150" s="1016"/>
      <c r="N150" s="1017"/>
    </row>
    <row r="151" spans="3:14" x14ac:dyDescent="0.2">
      <c r="C151" s="1016"/>
      <c r="D151" s="1016"/>
      <c r="E151" s="1016"/>
      <c r="F151" s="1016"/>
      <c r="G151" s="1016"/>
      <c r="H151" s="1016"/>
      <c r="I151" s="1016"/>
      <c r="J151" s="1016"/>
      <c r="K151" s="1016"/>
      <c r="L151" s="1016"/>
      <c r="M151" s="1016"/>
      <c r="N151" s="1017"/>
    </row>
    <row r="152" spans="3:14" x14ac:dyDescent="0.2">
      <c r="C152" s="1016"/>
      <c r="D152" s="1016"/>
      <c r="E152" s="1016"/>
      <c r="F152" s="1016"/>
      <c r="G152" s="1016"/>
      <c r="H152" s="1016"/>
      <c r="I152" s="1016"/>
      <c r="J152" s="1016"/>
      <c r="K152" s="1016"/>
      <c r="L152" s="1016"/>
      <c r="M152" s="1016"/>
      <c r="N152" s="1017"/>
    </row>
    <row r="153" spans="3:14" x14ac:dyDescent="0.2">
      <c r="C153" s="1016"/>
      <c r="D153" s="1016"/>
      <c r="E153" s="1016"/>
      <c r="F153" s="1016"/>
      <c r="G153" s="1016"/>
      <c r="H153" s="1016"/>
      <c r="I153" s="1016"/>
      <c r="J153" s="1016"/>
      <c r="K153" s="1016"/>
      <c r="L153" s="1016"/>
      <c r="M153" s="1016"/>
      <c r="N153" s="1017"/>
    </row>
    <row r="154" spans="3:14" x14ac:dyDescent="0.2">
      <c r="C154" s="1016"/>
      <c r="D154" s="1016"/>
      <c r="E154" s="1016"/>
      <c r="F154" s="1016"/>
      <c r="G154" s="1016"/>
      <c r="H154" s="1016"/>
      <c r="I154" s="1016"/>
      <c r="J154" s="1016"/>
      <c r="K154" s="1016"/>
      <c r="L154" s="1016"/>
      <c r="M154" s="1016"/>
      <c r="N154" s="1017"/>
    </row>
    <row r="155" spans="3:14" x14ac:dyDescent="0.2">
      <c r="C155" s="1016"/>
      <c r="D155" s="1016"/>
      <c r="E155" s="1016"/>
      <c r="F155" s="1016"/>
      <c r="G155" s="1016"/>
      <c r="H155" s="1016"/>
      <c r="I155" s="1016"/>
      <c r="J155" s="1016"/>
      <c r="K155" s="1016"/>
      <c r="L155" s="1016"/>
      <c r="M155" s="1016"/>
      <c r="N155" s="1017"/>
    </row>
    <row r="156" spans="3:14" x14ac:dyDescent="0.2">
      <c r="C156" s="1016"/>
      <c r="D156" s="1016"/>
      <c r="E156" s="1016"/>
      <c r="F156" s="1016"/>
      <c r="G156" s="1016"/>
      <c r="H156" s="1016"/>
      <c r="I156" s="1016"/>
      <c r="J156" s="1016"/>
      <c r="K156" s="1016"/>
      <c r="L156" s="1016"/>
      <c r="M156" s="1016"/>
      <c r="N156" s="1017"/>
    </row>
    <row r="157" spans="3:14" x14ac:dyDescent="0.2">
      <c r="C157" s="1016"/>
      <c r="D157" s="1016"/>
      <c r="E157" s="1016"/>
      <c r="F157" s="1016"/>
      <c r="G157" s="1016"/>
      <c r="H157" s="1016"/>
      <c r="I157" s="1016"/>
      <c r="J157" s="1016"/>
      <c r="K157" s="1016"/>
      <c r="L157" s="1016"/>
      <c r="M157" s="1016"/>
      <c r="N157" s="1017"/>
    </row>
    <row r="158" spans="3:14" x14ac:dyDescent="0.2">
      <c r="C158" s="1016"/>
      <c r="D158" s="1016"/>
      <c r="E158" s="1016"/>
      <c r="F158" s="1016"/>
      <c r="G158" s="1016"/>
      <c r="H158" s="1016"/>
      <c r="I158" s="1016"/>
      <c r="J158" s="1016"/>
      <c r="K158" s="1016"/>
      <c r="L158" s="1016"/>
      <c r="M158" s="1016"/>
      <c r="N158" s="1017"/>
    </row>
    <row r="159" spans="3:14" x14ac:dyDescent="0.2">
      <c r="C159" s="1016"/>
      <c r="D159" s="1016"/>
      <c r="E159" s="1016"/>
      <c r="F159" s="1016"/>
      <c r="G159" s="1016"/>
      <c r="H159" s="1016"/>
      <c r="I159" s="1016"/>
      <c r="J159" s="1016"/>
      <c r="K159" s="1016"/>
      <c r="L159" s="1016"/>
      <c r="M159" s="1016"/>
      <c r="N159" s="1017"/>
    </row>
    <row r="160" spans="3:14" x14ac:dyDescent="0.2">
      <c r="C160" s="1016"/>
      <c r="D160" s="1016"/>
      <c r="E160" s="1016"/>
      <c r="F160" s="1016"/>
      <c r="G160" s="1016"/>
      <c r="H160" s="1016"/>
      <c r="I160" s="1016"/>
      <c r="J160" s="1016"/>
      <c r="K160" s="1016"/>
      <c r="L160" s="1016"/>
      <c r="M160" s="1016"/>
      <c r="N160" s="1017"/>
    </row>
    <row r="161" spans="3:14" x14ac:dyDescent="0.2">
      <c r="C161" s="1016"/>
      <c r="D161" s="1016"/>
      <c r="E161" s="1016"/>
      <c r="F161" s="1016"/>
      <c r="G161" s="1016"/>
      <c r="H161" s="1016"/>
      <c r="I161" s="1016"/>
      <c r="J161" s="1016"/>
      <c r="K161" s="1016"/>
      <c r="L161" s="1016"/>
      <c r="M161" s="1016"/>
      <c r="N161" s="1017"/>
    </row>
    <row r="162" spans="3:14" x14ac:dyDescent="0.2">
      <c r="C162" s="1016"/>
      <c r="D162" s="1016"/>
      <c r="E162" s="1016"/>
      <c r="F162" s="1016"/>
      <c r="G162" s="1016"/>
      <c r="H162" s="1016"/>
      <c r="I162" s="1016"/>
      <c r="J162" s="1016"/>
      <c r="K162" s="1016"/>
      <c r="L162" s="1016"/>
      <c r="M162" s="1016"/>
      <c r="N162" s="1017"/>
    </row>
    <row r="163" spans="3:14" x14ac:dyDescent="0.2">
      <c r="C163" s="1016"/>
      <c r="D163" s="1016"/>
      <c r="E163" s="1016"/>
      <c r="F163" s="1016"/>
      <c r="G163" s="1016"/>
      <c r="H163" s="1016"/>
      <c r="I163" s="1016"/>
      <c r="J163" s="1016"/>
      <c r="K163" s="1016"/>
      <c r="L163" s="1016"/>
      <c r="M163" s="1016"/>
      <c r="N163" s="1017"/>
    </row>
    <row r="164" spans="3:14" x14ac:dyDescent="0.2">
      <c r="C164" s="1016"/>
      <c r="D164" s="1016"/>
      <c r="E164" s="1016"/>
      <c r="F164" s="1016"/>
      <c r="G164" s="1016"/>
      <c r="H164" s="1016"/>
      <c r="I164" s="1016"/>
      <c r="J164" s="1016"/>
      <c r="K164" s="1016"/>
      <c r="L164" s="1016"/>
      <c r="M164" s="1016"/>
      <c r="N164" s="1017"/>
    </row>
    <row r="165" spans="3:14" x14ac:dyDescent="0.2">
      <c r="C165" s="1016"/>
      <c r="D165" s="1016"/>
      <c r="E165" s="1016"/>
      <c r="F165" s="1016"/>
      <c r="G165" s="1016"/>
      <c r="H165" s="1016"/>
      <c r="I165" s="1016"/>
      <c r="J165" s="1016"/>
      <c r="K165" s="1016"/>
      <c r="L165" s="1016"/>
      <c r="M165" s="1016"/>
      <c r="N165" s="1017"/>
    </row>
    <row r="166" spans="3:14" x14ac:dyDescent="0.2">
      <c r="C166" s="1016"/>
      <c r="D166" s="1016"/>
      <c r="E166" s="1016"/>
      <c r="F166" s="1016"/>
      <c r="G166" s="1016"/>
      <c r="H166" s="1016"/>
      <c r="I166" s="1016"/>
      <c r="J166" s="1016"/>
      <c r="K166" s="1016"/>
      <c r="L166" s="1016"/>
      <c r="M166" s="1016"/>
      <c r="N166" s="1017"/>
    </row>
    <row r="167" spans="3:14" x14ac:dyDescent="0.2">
      <c r="C167" s="1016"/>
      <c r="D167" s="1016"/>
      <c r="E167" s="1016"/>
      <c r="F167" s="1016"/>
      <c r="G167" s="1016"/>
      <c r="H167" s="1016"/>
      <c r="I167" s="1016"/>
      <c r="J167" s="1016"/>
      <c r="K167" s="1016"/>
      <c r="L167" s="1016"/>
      <c r="M167" s="1016"/>
      <c r="N167" s="1017"/>
    </row>
    <row r="168" spans="3:14" x14ac:dyDescent="0.2">
      <c r="C168" s="1016"/>
      <c r="D168" s="1016"/>
      <c r="E168" s="1016"/>
      <c r="F168" s="1016"/>
      <c r="G168" s="1016"/>
      <c r="H168" s="1016"/>
      <c r="I168" s="1016"/>
      <c r="J168" s="1016"/>
      <c r="K168" s="1016"/>
      <c r="L168" s="1016"/>
      <c r="M168" s="1016"/>
      <c r="N168" s="1017"/>
    </row>
    <row r="169" spans="3:14" x14ac:dyDescent="0.2">
      <c r="C169" s="1016"/>
      <c r="D169" s="1016"/>
      <c r="E169" s="1016"/>
      <c r="F169" s="1016"/>
      <c r="G169" s="1016"/>
      <c r="H169" s="1016"/>
      <c r="I169" s="1016"/>
      <c r="J169" s="1016"/>
      <c r="K169" s="1016"/>
      <c r="L169" s="1016"/>
      <c r="M169" s="1016"/>
      <c r="N169" s="1017"/>
    </row>
    <row r="170" spans="3:14" x14ac:dyDescent="0.2">
      <c r="C170" s="1016"/>
      <c r="D170" s="1016"/>
      <c r="E170" s="1016"/>
      <c r="F170" s="1016"/>
      <c r="G170" s="1016"/>
      <c r="H170" s="1016"/>
      <c r="I170" s="1016"/>
      <c r="J170" s="1016"/>
      <c r="K170" s="1016"/>
      <c r="L170" s="1016"/>
      <c r="M170" s="1016"/>
      <c r="N170" s="1017"/>
    </row>
    <row r="171" spans="3:14" x14ac:dyDescent="0.2">
      <c r="C171" s="1016"/>
      <c r="D171" s="1016"/>
      <c r="E171" s="1016"/>
      <c r="F171" s="1016"/>
      <c r="G171" s="1016"/>
      <c r="H171" s="1016"/>
      <c r="I171" s="1016"/>
      <c r="J171" s="1016"/>
      <c r="K171" s="1016"/>
      <c r="L171" s="1016"/>
      <c r="M171" s="1016"/>
      <c r="N171" s="1017"/>
    </row>
    <row r="172" spans="3:14" x14ac:dyDescent="0.2">
      <c r="C172" s="1016"/>
      <c r="D172" s="1016"/>
      <c r="E172" s="1016"/>
      <c r="F172" s="1016"/>
      <c r="G172" s="1016"/>
      <c r="H172" s="1016"/>
      <c r="I172" s="1016"/>
      <c r="J172" s="1016"/>
      <c r="K172" s="1016"/>
      <c r="L172" s="1016"/>
      <c r="M172" s="1016"/>
      <c r="N172" s="1017"/>
    </row>
    <row r="173" spans="3:14" x14ac:dyDescent="0.2">
      <c r="C173" s="1016"/>
      <c r="D173" s="1016"/>
      <c r="E173" s="1016"/>
      <c r="F173" s="1016"/>
      <c r="G173" s="1016"/>
      <c r="H173" s="1016"/>
      <c r="I173" s="1016"/>
      <c r="J173" s="1016"/>
      <c r="K173" s="1016"/>
      <c r="L173" s="1016"/>
      <c r="M173" s="1016"/>
      <c r="N173" s="1017"/>
    </row>
    <row r="174" spans="3:14" x14ac:dyDescent="0.2">
      <c r="C174" s="1016"/>
      <c r="D174" s="1016"/>
      <c r="E174" s="1016"/>
      <c r="F174" s="1016"/>
      <c r="G174" s="1016"/>
      <c r="H174" s="1016"/>
      <c r="I174" s="1016"/>
      <c r="J174" s="1016"/>
      <c r="K174" s="1016"/>
      <c r="L174" s="1016"/>
      <c r="M174" s="1016"/>
      <c r="N174" s="1017"/>
    </row>
    <row r="175" spans="3:14" x14ac:dyDescent="0.2">
      <c r="C175" s="1016"/>
      <c r="D175" s="1016"/>
      <c r="E175" s="1016"/>
      <c r="F175" s="1016"/>
      <c r="G175" s="1016"/>
      <c r="H175" s="1016"/>
      <c r="I175" s="1016"/>
      <c r="J175" s="1016"/>
      <c r="K175" s="1016"/>
      <c r="L175" s="1016"/>
      <c r="M175" s="1016"/>
      <c r="N175" s="1017"/>
    </row>
    <row r="176" spans="3:14" x14ac:dyDescent="0.2">
      <c r="C176" s="1016"/>
      <c r="D176" s="1016"/>
      <c r="E176" s="1016"/>
      <c r="F176" s="1016"/>
      <c r="G176" s="1016"/>
      <c r="H176" s="1016"/>
      <c r="I176" s="1016"/>
      <c r="J176" s="1016"/>
      <c r="K176" s="1016"/>
      <c r="L176" s="1016"/>
      <c r="M176" s="1016"/>
      <c r="N176" s="1017"/>
    </row>
    <row r="177" spans="3:14" x14ac:dyDescent="0.2">
      <c r="C177" s="982" t="str">
        <f>'Summary Tables'!$I$5&amp;" Production Costs ($/L) based on 100 ML production plant"</f>
        <v>C-Syrup (Sucrosic) Production Costs ($/L) based on 100 ML production plant</v>
      </c>
      <c r="D177" s="1016"/>
      <c r="E177" s="1016"/>
      <c r="F177" s="1016"/>
      <c r="G177" s="1016"/>
      <c r="H177" s="1016"/>
      <c r="I177" s="1016"/>
      <c r="J177" s="1016"/>
      <c r="K177" s="1016"/>
      <c r="L177" s="1016"/>
      <c r="M177" s="1016"/>
      <c r="N177" s="1017"/>
    </row>
    <row r="178" spans="3:14" x14ac:dyDescent="0.2">
      <c r="C178" s="1016"/>
      <c r="D178" s="1016"/>
      <c r="E178" s="1016"/>
      <c r="F178" s="1016"/>
      <c r="G178" s="1016"/>
      <c r="H178" s="1016"/>
      <c r="I178" s="1016"/>
      <c r="J178" s="1016"/>
      <c r="K178" s="1016"/>
      <c r="L178" s="1016"/>
      <c r="M178" s="1016"/>
      <c r="N178" s="1017"/>
    </row>
    <row r="179" spans="3:14" x14ac:dyDescent="0.2">
      <c r="C179" s="1016"/>
      <c r="D179" s="1016"/>
      <c r="E179" s="1016"/>
      <c r="F179" s="1016"/>
      <c r="G179" s="1016"/>
      <c r="H179" s="1016"/>
      <c r="I179" s="1016"/>
      <c r="J179" s="1016"/>
      <c r="K179" s="1016"/>
      <c r="L179" s="1016"/>
      <c r="M179" s="1016"/>
      <c r="N179" s="1017"/>
    </row>
    <row r="180" spans="3:14" x14ac:dyDescent="0.2">
      <c r="C180" s="1016"/>
      <c r="D180" s="1016"/>
      <c r="E180" s="1016"/>
      <c r="F180" s="1016"/>
      <c r="G180" s="1016"/>
      <c r="H180" s="1016"/>
      <c r="I180" s="1016"/>
      <c r="J180" s="1016"/>
      <c r="K180" s="1016"/>
      <c r="L180" s="1016"/>
      <c r="M180" s="1016"/>
      <c r="N180" s="1017"/>
    </row>
    <row r="181" spans="3:14" x14ac:dyDescent="0.2">
      <c r="C181" s="1016"/>
      <c r="D181" s="1016"/>
      <c r="E181" s="1016"/>
      <c r="F181" s="1016"/>
      <c r="G181" s="1016"/>
      <c r="H181" s="1016"/>
      <c r="I181" s="1016"/>
      <c r="J181" s="1016"/>
      <c r="K181" s="1016"/>
      <c r="L181" s="1016"/>
      <c r="M181" s="1016"/>
      <c r="N181" s="1017"/>
    </row>
    <row r="182" spans="3:14" x14ac:dyDescent="0.2">
      <c r="C182" s="1016"/>
      <c r="D182" s="1016"/>
      <c r="E182" s="1016"/>
      <c r="F182" s="1016"/>
      <c r="G182" s="1016"/>
      <c r="H182" s="1016"/>
      <c r="I182" s="1016"/>
      <c r="J182" s="1016"/>
      <c r="K182" s="1016"/>
      <c r="L182" s="1016"/>
      <c r="M182" s="1016"/>
      <c r="N182" s="1017"/>
    </row>
    <row r="183" spans="3:14" x14ac:dyDescent="0.2">
      <c r="C183" s="1016"/>
      <c r="D183" s="1016"/>
      <c r="E183" s="1016"/>
      <c r="F183" s="1016"/>
      <c r="G183" s="1016"/>
      <c r="H183" s="1016"/>
      <c r="I183" s="1016"/>
      <c r="J183" s="1016"/>
      <c r="K183" s="1016"/>
      <c r="L183" s="1016"/>
      <c r="M183" s="1016"/>
      <c r="N183" s="1017"/>
    </row>
    <row r="184" spans="3:14" x14ac:dyDescent="0.2">
      <c r="C184" s="1016"/>
      <c r="D184" s="1016"/>
      <c r="E184" s="1016"/>
      <c r="F184" s="1016"/>
      <c r="G184" s="1016"/>
      <c r="H184" s="1016"/>
      <c r="I184" s="1016"/>
      <c r="J184" s="1016"/>
      <c r="K184" s="1016"/>
      <c r="L184" s="1016"/>
      <c r="M184" s="1016"/>
      <c r="N184" s="1017"/>
    </row>
    <row r="185" spans="3:14" x14ac:dyDescent="0.2">
      <c r="C185" s="1016"/>
      <c r="D185" s="1016"/>
      <c r="E185" s="1016"/>
      <c r="F185" s="1016"/>
      <c r="G185" s="1016"/>
      <c r="H185" s="1016"/>
      <c r="I185" s="1016"/>
      <c r="J185" s="1016"/>
      <c r="K185" s="1016"/>
      <c r="L185" s="1016"/>
      <c r="M185" s="1016"/>
      <c r="N185" s="1017"/>
    </row>
    <row r="186" spans="3:14" x14ac:dyDescent="0.2">
      <c r="C186" s="1016"/>
      <c r="D186" s="1016"/>
      <c r="E186" s="1016"/>
      <c r="F186" s="1016"/>
      <c r="G186" s="1016"/>
      <c r="H186" s="1016"/>
      <c r="I186" s="1016"/>
      <c r="J186" s="1016"/>
      <c r="K186" s="1016"/>
      <c r="L186" s="1016"/>
      <c r="M186" s="1016"/>
      <c r="N186" s="1017"/>
    </row>
    <row r="187" spans="3:14" x14ac:dyDescent="0.2">
      <c r="C187" s="1016"/>
      <c r="D187" s="1016"/>
      <c r="E187" s="1016"/>
      <c r="F187" s="1016"/>
      <c r="G187" s="1016"/>
      <c r="H187" s="1016"/>
      <c r="I187" s="1016"/>
      <c r="J187" s="1016"/>
      <c r="K187" s="1016"/>
      <c r="L187" s="1016"/>
      <c r="M187" s="1016"/>
      <c r="N187" s="1017"/>
    </row>
    <row r="188" spans="3:14" x14ac:dyDescent="0.2">
      <c r="C188" s="1016"/>
      <c r="D188" s="1016"/>
      <c r="E188" s="1016"/>
      <c r="F188" s="1016"/>
      <c r="G188" s="1016"/>
      <c r="H188" s="1016"/>
      <c r="I188" s="1016"/>
      <c r="J188" s="1016"/>
      <c r="K188" s="1016"/>
      <c r="L188" s="1016"/>
      <c r="M188" s="1016"/>
      <c r="N188" s="1017"/>
    </row>
    <row r="189" spans="3:14" x14ac:dyDescent="0.2">
      <c r="N189" s="1016"/>
    </row>
    <row r="190" spans="3:14" x14ac:dyDescent="0.2">
      <c r="N190" s="1016"/>
    </row>
    <row r="210" spans="3:3" x14ac:dyDescent="0.2">
      <c r="C210" s="982" t="str">
        <f>'Summary Tables'!$J$5&amp;" Production Costs ($/L) based on 100 ML production plant"</f>
        <v>B-Syrup (Sucrosic) Production Costs ($/L) based on 100 ML production plant</v>
      </c>
    </row>
    <row r="242" spans="3:3" x14ac:dyDescent="0.2">
      <c r="C242" s="982" t="str">
        <f>'Summary Tables'!$K$5&amp;" Production Costs ($/L) based on 100 ML production plant"</f>
        <v>Cane trash (Cellulosic) Production Costs ($/L) based on 100 ML production plant</v>
      </c>
    </row>
    <row r="275" spans="3:14" x14ac:dyDescent="0.2">
      <c r="C275" s="982" t="str">
        <f>'Summary Tables'!$L$5&amp;" Production Costs ($/L) based on 100 ML production plant"</f>
        <v>Forest Residues (Cellulosic) Production Costs ($/L) based on 100 ML production plant</v>
      </c>
    </row>
    <row r="279" spans="3:14" x14ac:dyDescent="0.2">
      <c r="C279" s="1020"/>
      <c r="D279" s="1020"/>
      <c r="E279" s="1020"/>
      <c r="F279" s="1020"/>
      <c r="G279" s="1020"/>
      <c r="H279" s="1020"/>
      <c r="I279" s="1020"/>
      <c r="J279" s="1020"/>
      <c r="K279" s="1020"/>
      <c r="L279" s="1020"/>
      <c r="M279" s="1020"/>
    </row>
    <row r="280" spans="3:14" x14ac:dyDescent="0.2">
      <c r="C280" s="1021"/>
      <c r="D280" s="1021"/>
      <c r="E280" s="1021"/>
      <c r="F280" s="1021"/>
      <c r="G280" s="1021"/>
      <c r="H280" s="1021"/>
      <c r="I280" s="1021"/>
      <c r="J280" s="1021"/>
      <c r="K280" s="1021"/>
      <c r="L280" s="1021"/>
      <c r="M280" s="1021"/>
    </row>
    <row r="281" spans="3:14" x14ac:dyDescent="0.2">
      <c r="C281" s="1022"/>
      <c r="D281" s="1022"/>
      <c r="E281" s="1022"/>
      <c r="F281" s="1022"/>
      <c r="G281" s="1022"/>
      <c r="H281" s="1022"/>
      <c r="I281" s="1022"/>
      <c r="J281" s="1022"/>
      <c r="K281" s="1022"/>
      <c r="L281" s="1022"/>
      <c r="M281" s="1022"/>
      <c r="N281" s="1020"/>
    </row>
    <row r="282" spans="3:14" x14ac:dyDescent="0.2">
      <c r="C282" s="1022"/>
      <c r="D282" s="1022"/>
      <c r="E282" s="1022"/>
      <c r="F282" s="1022"/>
      <c r="G282" s="1022"/>
      <c r="H282" s="1022"/>
      <c r="I282" s="1022"/>
      <c r="J282" s="1022"/>
      <c r="K282" s="1022"/>
      <c r="L282" s="1022"/>
      <c r="M282" s="1022"/>
      <c r="N282" s="1021"/>
    </row>
    <row r="283" spans="3:14" x14ac:dyDescent="0.2">
      <c r="N283" s="1022"/>
    </row>
    <row r="284" spans="3:14" x14ac:dyDescent="0.2">
      <c r="N284" s="1022"/>
    </row>
  </sheetData>
  <sheetProtection password="C82C" sheet="1" scenarios="1" selectLockedCells="1"/>
  <pageMargins left="0.25" right="0.25" top="0.75" bottom="0.75" header="0.3" footer="0.3"/>
  <pageSetup paperSize="9" scale="67" fitToHeight="0" orientation="landscape" r:id="rId1"/>
  <headerFooter>
    <oddHeader>&amp;LPUBLIC&amp;CEfficient Costs of New Entrant Ethanol Producers – 
Commercial-in-Confidence
&amp;R&amp;G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K146"/>
  <sheetViews>
    <sheetView showGridLines="0" zoomScaleNormal="100" workbookViewId="0">
      <selection activeCell="L16" sqref="L16"/>
    </sheetView>
  </sheetViews>
  <sheetFormatPr defaultRowHeight="12.75" x14ac:dyDescent="0.2"/>
  <cols>
    <col min="1" max="1" width="7.7109375" style="926" customWidth="1"/>
    <col min="2" max="2" width="32.28515625" style="926" bestFit="1" customWidth="1"/>
    <col min="3" max="3" width="14.28515625" style="926" customWidth="1"/>
    <col min="4" max="4" width="10.28515625" style="926" customWidth="1"/>
    <col min="5" max="5" width="18.85546875" style="926" customWidth="1"/>
    <col min="6" max="6" width="10.5703125" style="926" bestFit="1" customWidth="1"/>
    <col min="7" max="8" width="8.28515625" style="926" customWidth="1"/>
    <col min="9" max="10" width="7.7109375" style="926" customWidth="1"/>
    <col min="11" max="11" width="9.140625" style="926"/>
    <col min="12" max="12" width="10" style="926" customWidth="1"/>
    <col min="13" max="13" width="11.28515625" style="926" customWidth="1"/>
    <col min="14" max="14" width="9.42578125" style="926" customWidth="1"/>
    <col min="15" max="15" width="17.42578125" style="926" customWidth="1"/>
    <col min="16" max="16" width="20.5703125" style="926" customWidth="1"/>
    <col min="17" max="34" width="9.140625" style="926"/>
    <col min="35" max="35" width="11.7109375" style="926" bestFit="1" customWidth="1"/>
    <col min="36" max="36" width="14" style="926" customWidth="1"/>
    <col min="37" max="16384" width="9.140625" style="926"/>
  </cols>
  <sheetData>
    <row r="1" spans="2:10" ht="15.75" x14ac:dyDescent="0.25">
      <c r="B1" s="1130" t="s">
        <v>1046</v>
      </c>
    </row>
    <row r="2" spans="2:10" x14ac:dyDescent="0.2">
      <c r="B2" s="926" t="s">
        <v>1047</v>
      </c>
    </row>
    <row r="3" spans="2:10" ht="18" customHeight="1" x14ac:dyDescent="0.2">
      <c r="B3" s="1023"/>
      <c r="C3" s="1017"/>
      <c r="D3" s="1017"/>
      <c r="E3" s="922"/>
      <c r="F3" s="1017"/>
      <c r="G3" s="1017"/>
      <c r="H3" s="1017"/>
      <c r="I3" s="1017"/>
    </row>
    <row r="4" spans="2:10" x14ac:dyDescent="0.2">
      <c r="B4" s="1024" t="s">
        <v>1039</v>
      </c>
      <c r="I4" s="926" t="s">
        <v>17</v>
      </c>
      <c r="J4" s="926" t="s">
        <v>17</v>
      </c>
    </row>
    <row r="5" spans="2:10" x14ac:dyDescent="0.2">
      <c r="B5" s="1025"/>
      <c r="C5" s="1026" t="s">
        <v>531</v>
      </c>
      <c r="D5" s="1026"/>
      <c r="E5" s="1026" t="s">
        <v>532</v>
      </c>
      <c r="F5" s="1026"/>
      <c r="G5" s="1027" t="s">
        <v>533</v>
      </c>
      <c r="H5" s="1028"/>
      <c r="I5" s="1028" t="s">
        <v>17</v>
      </c>
    </row>
    <row r="6" spans="2:10" x14ac:dyDescent="0.2">
      <c r="B6" s="1029" t="s">
        <v>285</v>
      </c>
      <c r="C6" s="1030" t="s">
        <v>535</v>
      </c>
      <c r="D6" s="1030"/>
      <c r="E6" s="1031" t="s">
        <v>536</v>
      </c>
      <c r="F6" s="1030"/>
      <c r="G6" s="1032" t="s">
        <v>534</v>
      </c>
      <c r="H6" s="1021"/>
      <c r="I6" s="1021" t="s">
        <v>17</v>
      </c>
      <c r="J6" s="926" t="s">
        <v>17</v>
      </c>
    </row>
    <row r="7" spans="2:10" x14ac:dyDescent="0.2">
      <c r="B7" s="1033" t="str">
        <f>B81</f>
        <v>Wheat Standalone (Starch)</v>
      </c>
      <c r="C7" s="1034">
        <f>Interactive!AG95</f>
        <v>0.60483599312375569</v>
      </c>
      <c r="D7" s="1035">
        <f t="shared" ref="D7:D14" si="0">E7-C7</f>
        <v>7.7035105056310504E-2</v>
      </c>
      <c r="E7" s="1036">
        <f>Interactive!AH95</f>
        <v>0.68187109818006619</v>
      </c>
      <c r="F7" s="1035">
        <f>G7-E7</f>
        <v>0.13056174635138551</v>
      </c>
      <c r="G7" s="1037">
        <f>Interactive!AI95</f>
        <v>0.8124328445314517</v>
      </c>
      <c r="H7" s="1038"/>
      <c r="I7" s="1038"/>
    </row>
    <row r="8" spans="2:10" x14ac:dyDescent="0.2">
      <c r="B8" s="1039" t="str">
        <f t="shared" ref="B8:B14" si="1">B82</f>
        <v>Wheat Integrated (Starch)</v>
      </c>
      <c r="C8" s="1040">
        <f>Interactive!AG96</f>
        <v>0.56137408716043946</v>
      </c>
      <c r="D8" s="1530">
        <f t="shared" si="0"/>
        <v>7.4715678444019162E-2</v>
      </c>
      <c r="E8" s="1040">
        <f>Interactive!AH96</f>
        <v>0.63608976560445862</v>
      </c>
      <c r="F8" s="1530">
        <f t="shared" ref="F8:F14" si="2">G8-E8</f>
        <v>0.12610420470608519</v>
      </c>
      <c r="G8" s="1041">
        <f>Interactive!AI96</f>
        <v>0.76219397031054381</v>
      </c>
      <c r="H8" s="1038"/>
      <c r="I8" s="1038"/>
    </row>
    <row r="9" spans="2:10" x14ac:dyDescent="0.2">
      <c r="B9" s="1033" t="str">
        <f t="shared" si="1"/>
        <v>Imported Starch</v>
      </c>
      <c r="C9" s="1034">
        <f>Interactive!AG97</f>
        <v>0.8221418772518122</v>
      </c>
      <c r="D9" s="1035">
        <f t="shared" si="0"/>
        <v>7.6190706830521315E-2</v>
      </c>
      <c r="E9" s="1036">
        <f>Interactive!AH97</f>
        <v>0.89833258408233352</v>
      </c>
      <c r="F9" s="1035">
        <f t="shared" si="2"/>
        <v>0.12936078053528344</v>
      </c>
      <c r="G9" s="1037">
        <f>Interactive!AI97</f>
        <v>1.027693364617617</v>
      </c>
    </row>
    <row r="10" spans="2:10" x14ac:dyDescent="0.2">
      <c r="B10" s="1039" t="str">
        <f t="shared" si="1"/>
        <v>Sorghum (Starch)</v>
      </c>
      <c r="C10" s="1040">
        <f>Interactive!AG98</f>
        <v>0.67328813553268596</v>
      </c>
      <c r="D10" s="1530">
        <f t="shared" si="0"/>
        <v>9.4157926841142547E-2</v>
      </c>
      <c r="E10" s="1040">
        <f>Interactive!AH98</f>
        <v>0.76744606237382851</v>
      </c>
      <c r="F10" s="1530">
        <f t="shared" si="2"/>
        <v>0.15895339809808717</v>
      </c>
      <c r="G10" s="1041">
        <f>Interactive!AI98</f>
        <v>0.92639946047191568</v>
      </c>
    </row>
    <row r="11" spans="2:10" x14ac:dyDescent="0.2">
      <c r="B11" s="1033" t="str">
        <f t="shared" si="1"/>
        <v>C-Syrup (Sucrosic)</v>
      </c>
      <c r="C11" s="1034">
        <f>Interactive!AG99</f>
        <v>0.63894191106155884</v>
      </c>
      <c r="D11" s="1035">
        <f t="shared" si="0"/>
        <v>7.786304017461132E-2</v>
      </c>
      <c r="E11" s="1036">
        <f>Interactive!AH99</f>
        <v>0.71680495123617016</v>
      </c>
      <c r="F11" s="1035">
        <f t="shared" si="2"/>
        <v>0.13274044553204101</v>
      </c>
      <c r="G11" s="1037">
        <f>Interactive!AI99</f>
        <v>0.84954539676821117</v>
      </c>
    </row>
    <row r="12" spans="2:10" x14ac:dyDescent="0.2">
      <c r="B12" s="1039" t="str">
        <f t="shared" si="1"/>
        <v>B-Syrup (Sucrosic)</v>
      </c>
      <c r="C12" s="1040">
        <f>Interactive!AG100</f>
        <v>0.9354722485002287</v>
      </c>
      <c r="D12" s="1530">
        <f t="shared" si="0"/>
        <v>7.7863043837265167E-2</v>
      </c>
      <c r="E12" s="1040">
        <f>Interactive!AH100</f>
        <v>1.0133352923374939</v>
      </c>
      <c r="F12" s="1530">
        <f t="shared" si="2"/>
        <v>0.13274045078728003</v>
      </c>
      <c r="G12" s="1041">
        <f>Interactive!AI100</f>
        <v>1.1460757431247739</v>
      </c>
    </row>
    <row r="13" spans="2:10" x14ac:dyDescent="0.2">
      <c r="B13" s="1033" t="str">
        <f t="shared" si="1"/>
        <v>Cane trash (Cellulosic)</v>
      </c>
      <c r="C13" s="1034">
        <f>Interactive!AG101</f>
        <v>0.91837035246227527</v>
      </c>
      <c r="D13" s="1035">
        <f t="shared" si="0"/>
        <v>0.12642851613684214</v>
      </c>
      <c r="E13" s="1036">
        <f>Interactive!AH101</f>
        <v>1.0447988685991174</v>
      </c>
      <c r="F13" s="1035">
        <f t="shared" si="2"/>
        <v>0.19221143587083733</v>
      </c>
      <c r="G13" s="1037">
        <f>Interactive!AI101</f>
        <v>1.2370103044699547</v>
      </c>
    </row>
    <row r="14" spans="2:10" x14ac:dyDescent="0.2">
      <c r="B14" s="1042" t="str">
        <f t="shared" si="1"/>
        <v>Forest Residues (Cellulosic)</v>
      </c>
      <c r="C14" s="1043">
        <f>Interactive!AG102</f>
        <v>0.93121527502252044</v>
      </c>
      <c r="D14" s="1531">
        <f t="shared" si="0"/>
        <v>0.12489838525564845</v>
      </c>
      <c r="E14" s="1043">
        <f>Interactive!AH102</f>
        <v>1.0561136602781689</v>
      </c>
      <c r="F14" s="1531">
        <f t="shared" si="2"/>
        <v>0.19027466261832826</v>
      </c>
      <c r="G14" s="1044">
        <f>Interactive!AI102</f>
        <v>1.2463883228964971</v>
      </c>
    </row>
    <row r="16" spans="2:10" x14ac:dyDescent="0.2">
      <c r="B16" s="1024" t="s">
        <v>1040</v>
      </c>
    </row>
    <row r="17" spans="2:10" x14ac:dyDescent="0.2">
      <c r="B17" s="1025"/>
      <c r="C17" s="1026" t="s">
        <v>531</v>
      </c>
      <c r="D17" s="1026"/>
      <c r="E17" s="1026" t="s">
        <v>532</v>
      </c>
      <c r="F17" s="1026"/>
      <c r="G17" s="1027" t="s">
        <v>533</v>
      </c>
    </row>
    <row r="18" spans="2:10" x14ac:dyDescent="0.2">
      <c r="B18" s="1029" t="s">
        <v>285</v>
      </c>
      <c r="C18" s="1030" t="s">
        <v>1013</v>
      </c>
      <c r="D18" s="1030"/>
      <c r="E18" s="1031" t="s">
        <v>1015</v>
      </c>
      <c r="F18" s="1030"/>
      <c r="G18" s="1032" t="s">
        <v>1016</v>
      </c>
    </row>
    <row r="19" spans="2:10" x14ac:dyDescent="0.2">
      <c r="B19" s="1033" t="s">
        <v>867</v>
      </c>
      <c r="C19" s="1036">
        <v>0.62762734818006627</v>
      </c>
      <c r="D19" s="1035">
        <f t="shared" ref="D19:D26" ca="1" si="3">E19-C19</f>
        <v>5.4243749999999924E-2</v>
      </c>
      <c r="E19" s="1036">
        <f ca="1">'Summary Tables'!$E$14</f>
        <v>0.68187109818006619</v>
      </c>
      <c r="F19" s="1035">
        <f ca="1">G19-E19</f>
        <v>0</v>
      </c>
      <c r="G19" s="1037">
        <v>0.68187109818006619</v>
      </c>
    </row>
    <row r="20" spans="2:10" x14ac:dyDescent="0.2">
      <c r="B20" s="1039" t="s">
        <v>699</v>
      </c>
      <c r="C20" s="1040">
        <v>0.5818460156044587</v>
      </c>
      <c r="D20" s="1530">
        <f t="shared" ca="1" si="3"/>
        <v>5.4243749999999924E-2</v>
      </c>
      <c r="E20" s="1040">
        <f ca="1">'Summary Tables'!$F$14</f>
        <v>0.63608976560445862</v>
      </c>
      <c r="F20" s="1530">
        <f t="shared" ref="F20:F26" ca="1" si="4">G20-E20</f>
        <v>0</v>
      </c>
      <c r="G20" s="1041">
        <v>0.63608976560445862</v>
      </c>
    </row>
    <row r="21" spans="2:10" x14ac:dyDescent="0.2">
      <c r="B21" s="1033" t="s">
        <v>854</v>
      </c>
      <c r="C21" s="1036">
        <v>0.89833258408233352</v>
      </c>
      <c r="D21" s="1035">
        <f t="shared" ca="1" si="3"/>
        <v>0</v>
      </c>
      <c r="E21" s="1036">
        <f ca="1">'Summary Tables'!$G$14</f>
        <v>0.89833258408233352</v>
      </c>
      <c r="F21" s="1035">
        <f t="shared" ca="1" si="4"/>
        <v>0</v>
      </c>
      <c r="G21" s="1037">
        <v>0.89833258408233352</v>
      </c>
    </row>
    <row r="22" spans="2:10" x14ac:dyDescent="0.2">
      <c r="B22" s="1039" t="s">
        <v>700</v>
      </c>
      <c r="C22" s="1040">
        <v>0.76744606237382851</v>
      </c>
      <c r="D22" s="1530">
        <f t="shared" ca="1" si="3"/>
        <v>0</v>
      </c>
      <c r="E22" s="1040">
        <f ca="1">'Summary Tables'!$H$14</f>
        <v>0.76744606237382851</v>
      </c>
      <c r="F22" s="1530">
        <f t="shared" ca="1" si="4"/>
        <v>0</v>
      </c>
      <c r="G22" s="1041">
        <v>0.76744606237382851</v>
      </c>
    </row>
    <row r="23" spans="2:10" x14ac:dyDescent="0.2">
      <c r="B23" s="1033" t="s">
        <v>698</v>
      </c>
      <c r="C23" s="1036">
        <v>0.67487453248617013</v>
      </c>
      <c r="D23" s="1035">
        <f t="shared" ca="1" si="3"/>
        <v>4.1930418750000031E-2</v>
      </c>
      <c r="E23" s="1036">
        <f ca="1">'Summary Tables'!$I$14</f>
        <v>0.71680495123617016</v>
      </c>
      <c r="F23" s="1035">
        <f t="shared" ca="1" si="4"/>
        <v>1.9365018750000074E-2</v>
      </c>
      <c r="G23" s="1037">
        <v>0.73616996998617024</v>
      </c>
    </row>
    <row r="24" spans="2:10" x14ac:dyDescent="0.2">
      <c r="B24" s="1039" t="s">
        <v>799</v>
      </c>
      <c r="C24" s="1040">
        <v>0.97140487358749372</v>
      </c>
      <c r="D24" s="1530">
        <f t="shared" ca="1" si="3"/>
        <v>4.1930418750000142E-2</v>
      </c>
      <c r="E24" s="1040">
        <f ca="1">'Summary Tables'!$J$14</f>
        <v>1.0133352923374939</v>
      </c>
      <c r="F24" s="1530">
        <f t="shared" ca="1" si="4"/>
        <v>1.9365018749999852E-2</v>
      </c>
      <c r="G24" s="1041">
        <v>1.0327003110874937</v>
      </c>
      <c r="H24" s="922"/>
    </row>
    <row r="25" spans="2:10" x14ac:dyDescent="0.2">
      <c r="B25" s="1033" t="s">
        <v>821</v>
      </c>
      <c r="C25" s="1036">
        <v>1.0028684498491174</v>
      </c>
      <c r="D25" s="1035">
        <f t="shared" ca="1" si="3"/>
        <v>4.1930418750000031E-2</v>
      </c>
      <c r="E25" s="1036">
        <f ca="1">'Summary Tables'!$K$14</f>
        <v>1.0447988685991174</v>
      </c>
      <c r="F25" s="1035">
        <f t="shared" ca="1" si="4"/>
        <v>1.9365018749999852E-2</v>
      </c>
      <c r="G25" s="1037">
        <v>1.0641638873491173</v>
      </c>
    </row>
    <row r="26" spans="2:10" x14ac:dyDescent="0.2">
      <c r="B26" s="1042" t="s">
        <v>701</v>
      </c>
      <c r="C26" s="1043">
        <v>1.0561136602781689</v>
      </c>
      <c r="D26" s="1531">
        <f t="shared" ca="1" si="3"/>
        <v>0</v>
      </c>
      <c r="E26" s="1043">
        <f ca="1">'Summary Tables'!$L$14</f>
        <v>1.0561136602781689</v>
      </c>
      <c r="F26" s="1531">
        <f t="shared" ca="1" si="4"/>
        <v>1.9853212500000161E-2</v>
      </c>
      <c r="G26" s="1044">
        <v>1.075966872778169</v>
      </c>
    </row>
    <row r="28" spans="2:10" x14ac:dyDescent="0.2">
      <c r="B28" s="1010"/>
      <c r="C28" s="1010"/>
      <c r="H28" s="1045"/>
    </row>
    <row r="29" spans="2:10" x14ac:dyDescent="0.2">
      <c r="B29" s="1046" t="s">
        <v>1042</v>
      </c>
      <c r="C29" s="1010"/>
      <c r="H29" s="1045"/>
    </row>
    <row r="30" spans="2:10" ht="28.5" customHeight="1" x14ac:dyDescent="0.2">
      <c r="B30" s="1047" t="s">
        <v>285</v>
      </c>
      <c r="C30" s="1048"/>
      <c r="D30" s="1049"/>
      <c r="E30" s="1050"/>
      <c r="F30" s="1050"/>
      <c r="G30" s="1050"/>
      <c r="H30" s="1049"/>
      <c r="I30" s="1050"/>
      <c r="J30" s="1051"/>
    </row>
    <row r="31" spans="2:10" x14ac:dyDescent="0.2">
      <c r="B31" s="1052" t="s">
        <v>698</v>
      </c>
      <c r="C31" s="1053" t="s">
        <v>866</v>
      </c>
      <c r="D31" s="1053">
        <f>Interactive!AH34</f>
        <v>0</v>
      </c>
      <c r="E31" s="1053">
        <f>Interactive!AI34</f>
        <v>35</v>
      </c>
      <c r="F31" s="1053">
        <f>Interactive!AJ34</f>
        <v>63</v>
      </c>
      <c r="G31" s="1053">
        <f>Interactive!AK34</f>
        <v>66</v>
      </c>
      <c r="H31" s="1054">
        <f>Interactive!AL34</f>
        <v>74</v>
      </c>
      <c r="I31" s="1053">
        <f>Interactive!AM34</f>
        <v>35</v>
      </c>
      <c r="J31" s="1055">
        <f>Interactive!AN34</f>
        <v>63</v>
      </c>
    </row>
    <row r="32" spans="2:10" x14ac:dyDescent="0.2">
      <c r="B32" s="1056">
        <v>0</v>
      </c>
      <c r="C32" s="1057" t="s">
        <v>838</v>
      </c>
      <c r="D32" s="1040">
        <f ca="1">Interactive!AH35</f>
        <v>0.71680495123617016</v>
      </c>
      <c r="E32" s="1057">
        <f>Interactive!AI35</f>
        <v>0.95369117343226117</v>
      </c>
      <c r="F32" s="1057">
        <f>Interactive!AJ35</f>
        <v>0.79685463601829865</v>
      </c>
      <c r="G32" s="1057">
        <f>Interactive!AK35</f>
        <v>0.78739857160978755</v>
      </c>
      <c r="H32" s="1040">
        <f>Interactive!AL35</f>
        <v>0.76559438112282163</v>
      </c>
      <c r="I32" s="1057">
        <f>Interactive!AM35</f>
        <v>0.95369117343226117</v>
      </c>
      <c r="J32" s="1058">
        <f>Interactive!AN35</f>
        <v>0.79685463601829865</v>
      </c>
    </row>
    <row r="33" spans="2:10" x14ac:dyDescent="0.2">
      <c r="B33" s="1059" t="s">
        <v>699</v>
      </c>
      <c r="C33" s="1060" t="s">
        <v>866</v>
      </c>
      <c r="D33" s="1060">
        <f>Interactive!AH36</f>
        <v>0</v>
      </c>
      <c r="E33" s="1060">
        <f>Interactive!AI36</f>
        <v>177</v>
      </c>
      <c r="F33" s="1060">
        <f>Interactive!AJ36</f>
        <v>202</v>
      </c>
      <c r="G33" s="1060">
        <f>Interactive!AK36</f>
        <v>305</v>
      </c>
      <c r="H33" s="1061">
        <f>Interactive!AL36</f>
        <v>309</v>
      </c>
      <c r="I33" s="1060">
        <f>Interactive!AM36</f>
        <v>316</v>
      </c>
      <c r="J33" s="1062">
        <f>Interactive!AN36</f>
        <v>316</v>
      </c>
    </row>
    <row r="34" spans="2:10" x14ac:dyDescent="0.2">
      <c r="B34" s="1063">
        <v>0</v>
      </c>
      <c r="C34" s="983" t="s">
        <v>838</v>
      </c>
      <c r="D34" s="1034">
        <f ca="1">Interactive!AH37</f>
        <v>0.63608976560445862</v>
      </c>
      <c r="E34" s="1060">
        <f>Interactive!AI37</f>
        <v>0.57202473888133909</v>
      </c>
      <c r="F34" s="1060">
        <f>Interactive!AJ37</f>
        <v>0.56054512905215259</v>
      </c>
      <c r="G34" s="1060">
        <f>Interactive!AK37</f>
        <v>0.5306109814854767</v>
      </c>
      <c r="H34" s="1034">
        <f>Interactive!AL37</f>
        <v>0.52978864437470052</v>
      </c>
      <c r="I34" s="1060">
        <f>Interactive!AM37</f>
        <v>0.52839056493535597</v>
      </c>
      <c r="J34" s="1062">
        <f>Interactive!AN37</f>
        <v>0.52839056493535597</v>
      </c>
    </row>
    <row r="35" spans="2:10" x14ac:dyDescent="0.2">
      <c r="B35" s="1039" t="s">
        <v>799</v>
      </c>
      <c r="C35" s="1057" t="s">
        <v>866</v>
      </c>
      <c r="D35" s="1057">
        <f>Interactive!AH38</f>
        <v>0</v>
      </c>
      <c r="E35" s="1057">
        <f>Interactive!AI38</f>
        <v>100</v>
      </c>
      <c r="F35" s="1057">
        <f>Interactive!AJ38</f>
        <v>170</v>
      </c>
      <c r="G35" s="1057">
        <f>Interactive!AK38</f>
        <v>175</v>
      </c>
      <c r="H35" s="1057">
        <f>Interactive!AL38</f>
        <v>200</v>
      </c>
      <c r="I35" s="1057">
        <f>Interactive!AM38</f>
        <v>175</v>
      </c>
      <c r="J35" s="1041">
        <f>Interactive!AN38</f>
        <v>200</v>
      </c>
    </row>
    <row r="36" spans="2:10" x14ac:dyDescent="0.2">
      <c r="B36" s="1056">
        <v>0</v>
      </c>
      <c r="C36" s="1064" t="s">
        <v>838</v>
      </c>
      <c r="D36" s="1040">
        <f ca="1">Interactive!AH39</f>
        <v>1.0133352923374939</v>
      </c>
      <c r="E36" s="1057">
        <f>Interactive!AI39</f>
        <v>1.0133352923374939</v>
      </c>
      <c r="F36" s="1057">
        <f>Interactive!AJ39</f>
        <v>0.95038054513539794</v>
      </c>
      <c r="G36" s="1057">
        <f>Interactive!AK39</f>
        <v>0.94759467069484549</v>
      </c>
      <c r="H36" s="1040">
        <f>Interactive!AL39</f>
        <v>0.9354722485002287</v>
      </c>
      <c r="I36" s="1057">
        <f>Interactive!AM39</f>
        <v>0.94759467069484549</v>
      </c>
      <c r="J36" s="1058">
        <f>Interactive!AN39</f>
        <v>0.9354722485002287</v>
      </c>
    </row>
    <row r="37" spans="2:10" x14ac:dyDescent="0.2">
      <c r="B37" s="1059" t="s">
        <v>700</v>
      </c>
      <c r="C37" s="1060" t="s">
        <v>866</v>
      </c>
      <c r="D37" s="1060">
        <f>Interactive!AH40</f>
        <v>0</v>
      </c>
      <c r="E37" s="1060">
        <f>Interactive!AI40</f>
        <v>76</v>
      </c>
      <c r="F37" s="1060">
        <f>Interactive!AJ40</f>
        <v>60</v>
      </c>
      <c r="G37" s="1060">
        <f>Interactive!AK40</f>
        <v>90</v>
      </c>
      <c r="H37" s="1060">
        <f>Interactive!AL40</f>
        <v>76</v>
      </c>
      <c r="I37" s="1060">
        <f>Interactive!AM40</f>
        <v>60</v>
      </c>
      <c r="J37" s="1062">
        <f>Interactive!AN40</f>
        <v>90</v>
      </c>
    </row>
    <row r="38" spans="2:10" x14ac:dyDescent="0.2">
      <c r="B38" s="1059">
        <v>0</v>
      </c>
      <c r="C38" s="1060" t="s">
        <v>838</v>
      </c>
      <c r="D38" s="1034">
        <f ca="1">Interactive!AH41</f>
        <v>0.76744606237382851</v>
      </c>
      <c r="E38" s="1060">
        <f>Interactive!AI41</f>
        <v>0.82028502267109193</v>
      </c>
      <c r="F38" s="1060">
        <f>Interactive!AJ41</f>
        <v>0.87579669985495201</v>
      </c>
      <c r="G38" s="1060">
        <f>Interactive!AK41</f>
        <v>0.78643004031784236</v>
      </c>
      <c r="H38" s="1060">
        <f>Interactive!AL41</f>
        <v>0.82028502267109193</v>
      </c>
      <c r="I38" s="1060">
        <f>Interactive!AM41</f>
        <v>0.87579669985495201</v>
      </c>
      <c r="J38" s="1062">
        <f>Interactive!AN41</f>
        <v>0.78643004031784236</v>
      </c>
    </row>
    <row r="39" spans="2:10" x14ac:dyDescent="0.2">
      <c r="B39" s="1039" t="s">
        <v>701</v>
      </c>
      <c r="C39" s="1057" t="s">
        <v>866</v>
      </c>
      <c r="D39" s="1057">
        <f>Interactive!AH42</f>
        <v>0</v>
      </c>
      <c r="E39" s="1065">
        <f>Interactive!AI42</f>
        <v>87</v>
      </c>
      <c r="F39" s="1065">
        <f>Interactive!AJ42</f>
        <v>107</v>
      </c>
      <c r="G39" s="1065">
        <f>Interactive!AK42</f>
        <v>131</v>
      </c>
      <c r="H39" s="1065">
        <f>Interactive!AL42</f>
        <v>143</v>
      </c>
      <c r="I39" s="1065">
        <f>Interactive!AM42</f>
        <v>188</v>
      </c>
      <c r="J39" s="1066">
        <f>Interactive!AN42</f>
        <v>270</v>
      </c>
    </row>
    <row r="40" spans="2:10" x14ac:dyDescent="0.2">
      <c r="B40" s="1056">
        <v>0</v>
      </c>
      <c r="C40" s="1064" t="s">
        <v>838</v>
      </c>
      <c r="D40" s="1040">
        <f ca="1">Interactive!AH43</f>
        <v>1.0561136602781689</v>
      </c>
      <c r="E40" s="1057">
        <f>Interactive!AI43</f>
        <v>1.0879344269040765</v>
      </c>
      <c r="F40" s="1057">
        <f>Interactive!AJ43</f>
        <v>1.0415980349535261</v>
      </c>
      <c r="G40" s="1057">
        <f>Interactive!AK43</f>
        <v>1.0014991477612152</v>
      </c>
      <c r="H40" s="1040">
        <f>Interactive!AL43</f>
        <v>0.98554173288638047</v>
      </c>
      <c r="I40" s="1057">
        <f>Interactive!AM43</f>
        <v>0.94049835340540566</v>
      </c>
      <c r="J40" s="1058">
        <f>Interactive!AN43</f>
        <v>0.8902618148218191</v>
      </c>
    </row>
    <row r="41" spans="2:10" x14ac:dyDescent="0.2">
      <c r="B41" s="1059" t="s">
        <v>854</v>
      </c>
      <c r="C41" s="1060" t="s">
        <v>866</v>
      </c>
      <c r="D41" s="1060">
        <f>Interactive!AH44</f>
        <v>0</v>
      </c>
      <c r="E41" s="1067">
        <f>Interactive!AI44</f>
        <v>50</v>
      </c>
      <c r="F41" s="1067">
        <f>Interactive!AJ44</f>
        <v>100</v>
      </c>
      <c r="G41" s="1067">
        <f>Interactive!AK44</f>
        <v>150</v>
      </c>
      <c r="H41" s="1067">
        <f>Interactive!AL44</f>
        <v>200</v>
      </c>
      <c r="I41" s="1067">
        <f>Interactive!AM44</f>
        <v>250</v>
      </c>
      <c r="J41" s="1068">
        <f>Interactive!AN44</f>
        <v>0</v>
      </c>
    </row>
    <row r="42" spans="2:10" x14ac:dyDescent="0.2">
      <c r="B42" s="1059">
        <v>0</v>
      </c>
      <c r="C42" s="1060" t="s">
        <v>838</v>
      </c>
      <c r="D42" s="1034">
        <f ca="1">Interactive!AH45</f>
        <v>0.89833258408233352</v>
      </c>
      <c r="E42" s="1060">
        <f>Interactive!AI45</f>
        <v>1.027693364617617</v>
      </c>
      <c r="F42" s="1060">
        <f>Interactive!AJ45</f>
        <v>0.89833258408233352</v>
      </c>
      <c r="G42" s="1060">
        <f>Interactive!AK45</f>
        <v>0.8492104752097146</v>
      </c>
      <c r="H42" s="1034">
        <f>Interactive!AL45</f>
        <v>0.8221418772518122</v>
      </c>
      <c r="I42" s="1060">
        <f>Interactive!AM45</f>
        <v>0.80455473320864679</v>
      </c>
      <c r="J42" s="1062">
        <f>Interactive!AN45</f>
        <v>0</v>
      </c>
    </row>
    <row r="43" spans="2:10" x14ac:dyDescent="0.2">
      <c r="B43" s="1039" t="s">
        <v>867</v>
      </c>
      <c r="C43" s="1057" t="s">
        <v>866</v>
      </c>
      <c r="D43" s="1057">
        <f>Interactive!AH46</f>
        <v>0</v>
      </c>
      <c r="E43" s="1065">
        <f>Interactive!AI46</f>
        <v>177</v>
      </c>
      <c r="F43" s="1065">
        <f>Interactive!AJ46</f>
        <v>202</v>
      </c>
      <c r="G43" s="1065">
        <f>Interactive!AK46</f>
        <v>305</v>
      </c>
      <c r="H43" s="1065">
        <f>Interactive!AL46</f>
        <v>309</v>
      </c>
      <c r="I43" s="1065">
        <f>Interactive!AM46</f>
        <v>316</v>
      </c>
      <c r="J43" s="1066">
        <f>Interactive!AN46</f>
        <v>316</v>
      </c>
    </row>
    <row r="44" spans="2:10" x14ac:dyDescent="0.2">
      <c r="B44" s="1056">
        <v>0</v>
      </c>
      <c r="C44" s="1064" t="s">
        <v>838</v>
      </c>
      <c r="D44" s="1040">
        <f ca="1">Interactive!AH47</f>
        <v>0.68187109818006619</v>
      </c>
      <c r="E44" s="1057">
        <f>Interactive!AI47</f>
        <v>0.61579535972582167</v>
      </c>
      <c r="F44" s="1057">
        <f>Interactive!AJ47</f>
        <v>0.60398337709204364</v>
      </c>
      <c r="G44" s="1057">
        <f>Interactive!AK47</f>
        <v>0.57323521242263276</v>
      </c>
      <c r="H44" s="1040">
        <f>Interactive!AL47</f>
        <v>0.57239172471548772</v>
      </c>
      <c r="I44" s="1057">
        <f>Interactive!AM47</f>
        <v>0.57095784956964746</v>
      </c>
      <c r="J44" s="1058">
        <f>Interactive!AN47</f>
        <v>0.57095784956964746</v>
      </c>
    </row>
    <row r="45" spans="2:10" x14ac:dyDescent="0.2">
      <c r="B45" s="1059" t="s">
        <v>821</v>
      </c>
      <c r="C45" s="1060" t="s">
        <v>866</v>
      </c>
      <c r="D45" s="1060">
        <f>Interactive!AH48</f>
        <v>0</v>
      </c>
      <c r="E45" s="1067">
        <f>Interactive!AI48</f>
        <v>138</v>
      </c>
      <c r="F45" s="1067">
        <f>Interactive!AJ48</f>
        <v>221</v>
      </c>
      <c r="G45" s="1067">
        <f>Interactive!AK48</f>
        <v>235</v>
      </c>
      <c r="H45" s="1067">
        <f>Interactive!AL48</f>
        <v>276</v>
      </c>
      <c r="I45" s="1067">
        <f>Interactive!AM48</f>
        <v>235</v>
      </c>
      <c r="J45" s="1068">
        <f>Interactive!AN48</f>
        <v>276</v>
      </c>
    </row>
    <row r="46" spans="2:10" x14ac:dyDescent="0.2">
      <c r="B46" s="1069">
        <v>0</v>
      </c>
      <c r="C46" s="1070" t="s">
        <v>838</v>
      </c>
      <c r="D46" s="1071">
        <f ca="1">Interactive!AH49</f>
        <v>1.0447988685991174</v>
      </c>
      <c r="E46" s="1070">
        <f>Interactive!AI49</f>
        <v>0.97985453299291847</v>
      </c>
      <c r="F46" s="1070">
        <f>Interactive!AJ49</f>
        <v>0.90383163640780795</v>
      </c>
      <c r="G46" s="1070">
        <f>Interactive!AK49</f>
        <v>0.89525958659718319</v>
      </c>
      <c r="H46" s="1071">
        <f>Interactive!AL49</f>
        <v>0.87406313302070249</v>
      </c>
      <c r="I46" s="1070">
        <f>Interactive!AM49</f>
        <v>0.89525958659718319</v>
      </c>
      <c r="J46" s="1072">
        <f>Interactive!AN49</f>
        <v>0.87406313302070249</v>
      </c>
    </row>
    <row r="47" spans="2:10" x14ac:dyDescent="0.2">
      <c r="B47" s="1010"/>
      <c r="C47" s="1010"/>
      <c r="H47" s="1045"/>
    </row>
    <row r="48" spans="2:10" x14ac:dyDescent="0.2">
      <c r="B48" s="1046" t="s">
        <v>1041</v>
      </c>
      <c r="C48" s="1010"/>
      <c r="H48" s="1045"/>
    </row>
    <row r="49" spans="2:10" x14ac:dyDescent="0.2">
      <c r="B49" s="1047" t="s">
        <v>285</v>
      </c>
      <c r="C49" s="1048"/>
      <c r="D49" s="1049"/>
      <c r="E49" s="1050"/>
      <c r="F49" s="1050"/>
      <c r="G49" s="1050"/>
      <c r="H49" s="1049"/>
      <c r="I49" s="1050"/>
      <c r="J49" s="1051"/>
    </row>
    <row r="50" spans="2:10" x14ac:dyDescent="0.2">
      <c r="B50" s="1052" t="s">
        <v>698</v>
      </c>
      <c r="C50" s="1053" t="s">
        <v>866</v>
      </c>
      <c r="D50" s="1053">
        <f>Interactive!AH53</f>
        <v>0</v>
      </c>
      <c r="E50" s="1053">
        <f>Interactive!AI53</f>
        <v>30</v>
      </c>
      <c r="F50" s="1053">
        <f>Interactive!AJ53</f>
        <v>50</v>
      </c>
      <c r="G50" s="1053">
        <f>Interactive!AK53</f>
        <v>70</v>
      </c>
      <c r="H50" s="1054">
        <f>Interactive!AL53</f>
        <v>90</v>
      </c>
      <c r="I50" s="1053">
        <f>Interactive!AM53</f>
        <v>110</v>
      </c>
      <c r="J50" s="1055">
        <f>Interactive!AN53</f>
        <v>130</v>
      </c>
    </row>
    <row r="51" spans="2:10" x14ac:dyDescent="0.2">
      <c r="B51" s="1056">
        <v>0</v>
      </c>
      <c r="C51" s="1057" t="s">
        <v>838</v>
      </c>
      <c r="D51" s="1040">
        <f ca="1">Interactive!AH54</f>
        <v>0.71680495123617016</v>
      </c>
      <c r="E51" s="1057">
        <f>Interactive!AI54</f>
        <v>1.0094964592541804</v>
      </c>
      <c r="F51" s="1057">
        <f>Interactive!AJ54</f>
        <v>0.84954539676821117</v>
      </c>
      <c r="G51" s="1057">
        <f>Interactive!AK54</f>
        <v>0.7759352210704229</v>
      </c>
      <c r="H51" s="1040">
        <f>Interactive!AL54</f>
        <v>0.7325891659610454</v>
      </c>
      <c r="I51" s="1057">
        <f>Interactive!AM54</f>
        <v>0.70358562761135268</v>
      </c>
      <c r="J51" s="1058">
        <f>Interactive!AN54</f>
        <v>0.68259224302225219</v>
      </c>
    </row>
    <row r="52" spans="2:10" x14ac:dyDescent="0.2">
      <c r="B52" s="1059" t="s">
        <v>699</v>
      </c>
      <c r="C52" s="1060" t="s">
        <v>866</v>
      </c>
      <c r="D52" s="1060">
        <f>Interactive!AH55</f>
        <v>0</v>
      </c>
      <c r="E52" s="1060">
        <f>Interactive!AI55</f>
        <v>100</v>
      </c>
      <c r="F52" s="1060">
        <f>Interactive!AJ55</f>
        <v>177</v>
      </c>
      <c r="G52" s="1060">
        <f>Interactive!AK55</f>
        <v>202</v>
      </c>
      <c r="H52" s="1061">
        <f>Interactive!AL55</f>
        <v>305</v>
      </c>
      <c r="I52" s="1060">
        <f>Interactive!AM55</f>
        <v>309</v>
      </c>
      <c r="J52" s="1062">
        <f>Interactive!AN55</f>
        <v>316</v>
      </c>
    </row>
    <row r="53" spans="2:10" x14ac:dyDescent="0.2">
      <c r="B53" s="1063">
        <v>0</v>
      </c>
      <c r="C53" s="983" t="s">
        <v>838</v>
      </c>
      <c r="D53" s="1034">
        <f ca="1">Interactive!AH56</f>
        <v>0.63608976560445862</v>
      </c>
      <c r="E53" s="1060">
        <f>Interactive!AI56</f>
        <v>0.63608976560445862</v>
      </c>
      <c r="F53" s="1060">
        <f>Interactive!AJ56</f>
        <v>0.57202473888133909</v>
      </c>
      <c r="G53" s="1060">
        <f>Interactive!AK56</f>
        <v>0.56054512905215259</v>
      </c>
      <c r="H53" s="1034">
        <f>Interactive!AL56</f>
        <v>0.5306109814854767</v>
      </c>
      <c r="I53" s="1060">
        <f>Interactive!AM56</f>
        <v>0.52978864437470052</v>
      </c>
      <c r="J53" s="1062">
        <f>Interactive!AN56</f>
        <v>0.52839056493535597</v>
      </c>
    </row>
    <row r="54" spans="2:10" x14ac:dyDescent="0.2">
      <c r="B54" s="1039" t="s">
        <v>799</v>
      </c>
      <c r="C54" s="1057" t="s">
        <v>866</v>
      </c>
      <c r="D54" s="1057">
        <f>Interactive!AH57</f>
        <v>0</v>
      </c>
      <c r="E54" s="1057">
        <f>Interactive!AI57</f>
        <v>100</v>
      </c>
      <c r="F54" s="1057">
        <f>Interactive!AJ57</f>
        <v>130</v>
      </c>
      <c r="G54" s="1057">
        <f>Interactive!AK57</f>
        <v>150</v>
      </c>
      <c r="H54" s="1057">
        <f>Interactive!AL57</f>
        <v>170</v>
      </c>
      <c r="I54" s="1057">
        <f>Interactive!AM57</f>
        <v>175</v>
      </c>
      <c r="J54" s="1041">
        <f>Interactive!AN57</f>
        <v>200</v>
      </c>
    </row>
    <row r="55" spans="2:10" x14ac:dyDescent="0.2">
      <c r="B55" s="1056">
        <v>0</v>
      </c>
      <c r="C55" s="1064" t="s">
        <v>838</v>
      </c>
      <c r="D55" s="1040">
        <f ca="1">Interactive!AH58</f>
        <v>1.0133352923374939</v>
      </c>
      <c r="E55" s="1057">
        <f>Interactive!AI58</f>
        <v>1.0133352923374939</v>
      </c>
      <c r="F55" s="1057">
        <f>Interactive!AJ58</f>
        <v>0.97912258258838913</v>
      </c>
      <c r="G55" s="1057">
        <f>Interactive!AK58</f>
        <v>0.96309575079551712</v>
      </c>
      <c r="H55" s="1040">
        <f>Interactive!AL58</f>
        <v>0.95038054513539794</v>
      </c>
      <c r="I55" s="1057">
        <f>Interactive!AM58</f>
        <v>0.94759467069484549</v>
      </c>
      <c r="J55" s="1058">
        <f>Interactive!AN58</f>
        <v>0.9354722485002287</v>
      </c>
    </row>
    <row r="56" spans="2:10" x14ac:dyDescent="0.2">
      <c r="B56" s="1059" t="s">
        <v>700</v>
      </c>
      <c r="C56" s="1060" t="s">
        <v>866</v>
      </c>
      <c r="D56" s="1060">
        <f>Interactive!AH59</f>
        <v>0</v>
      </c>
      <c r="E56" s="1060">
        <f>Interactive!AI59</f>
        <v>76</v>
      </c>
      <c r="F56" s="1060">
        <f>Interactive!AJ59</f>
        <v>60</v>
      </c>
      <c r="G56" s="1060">
        <f>Interactive!AK59</f>
        <v>90</v>
      </c>
      <c r="H56" s="1060">
        <f>Interactive!AL59</f>
        <v>100</v>
      </c>
      <c r="I56" s="1060">
        <f>Interactive!AM59</f>
        <v>120</v>
      </c>
      <c r="J56" s="1062">
        <f>Interactive!AN59</f>
        <v>140</v>
      </c>
    </row>
    <row r="57" spans="2:10" x14ac:dyDescent="0.2">
      <c r="B57" s="1059">
        <v>0</v>
      </c>
      <c r="C57" s="1060" t="s">
        <v>838</v>
      </c>
      <c r="D57" s="1034">
        <f ca="1">Interactive!AH60</f>
        <v>0.76744606237382851</v>
      </c>
      <c r="E57" s="1060">
        <f>Interactive!AI60</f>
        <v>0.82028502267109193</v>
      </c>
      <c r="F57" s="1060">
        <f>Interactive!AJ60</f>
        <v>0.87579669985495201</v>
      </c>
      <c r="G57" s="1060">
        <f>Interactive!AK60</f>
        <v>0.78643004031784236</v>
      </c>
      <c r="H57" s="1060">
        <f>Interactive!AL60</f>
        <v>0.76744606237382851</v>
      </c>
      <c r="I57" s="1060">
        <f>Interactive!AM60</f>
        <v>0.73794173243123151</v>
      </c>
      <c r="J57" s="1062">
        <f>Interactive!AN60</f>
        <v>0.71590370599185094</v>
      </c>
    </row>
    <row r="58" spans="2:10" x14ac:dyDescent="0.2">
      <c r="B58" s="1039" t="s">
        <v>701</v>
      </c>
      <c r="C58" s="1057" t="s">
        <v>866</v>
      </c>
      <c r="D58" s="1057">
        <f>Interactive!AH61</f>
        <v>0</v>
      </c>
      <c r="E58" s="1065">
        <f>Interactive!AI61</f>
        <v>100</v>
      </c>
      <c r="F58" s="1065">
        <f>Interactive!AJ61</f>
        <v>125</v>
      </c>
      <c r="G58" s="1065">
        <f>Interactive!AK61</f>
        <v>150</v>
      </c>
      <c r="H58" s="1065">
        <f>Interactive!AL61</f>
        <v>200</v>
      </c>
      <c r="I58" s="1065">
        <f>Interactive!AM61</f>
        <v>250</v>
      </c>
      <c r="J58" s="1066">
        <f>Interactive!AN61</f>
        <v>300</v>
      </c>
    </row>
    <row r="59" spans="2:10" x14ac:dyDescent="0.2">
      <c r="B59" s="1056">
        <v>0</v>
      </c>
      <c r="C59" s="1064" t="s">
        <v>838</v>
      </c>
      <c r="D59" s="1040">
        <f ca="1">Interactive!AH62</f>
        <v>1.0561136602781689</v>
      </c>
      <c r="E59" s="1057">
        <f>Interactive!AI62</f>
        <v>1.0561136602781689</v>
      </c>
      <c r="F59" s="1057">
        <f>Interactive!AJ62</f>
        <v>1.0103710574579385</v>
      </c>
      <c r="G59" s="1057">
        <f>Interactive!AK62</f>
        <v>0.97717040347488759</v>
      </c>
      <c r="H59" s="1040">
        <f>Interactive!AL62</f>
        <v>0.93121527502252044</v>
      </c>
      <c r="I59" s="1057">
        <f>Interactive!AM62</f>
        <v>0.90016202084511954</v>
      </c>
      <c r="J59" s="1058">
        <f>Interactive!AN62</f>
        <v>0.87732232712612102</v>
      </c>
    </row>
    <row r="60" spans="2:10" x14ac:dyDescent="0.2">
      <c r="B60" s="1059" t="s">
        <v>854</v>
      </c>
      <c r="C60" s="1060" t="s">
        <v>866</v>
      </c>
      <c r="D60" s="1060">
        <f>Interactive!AH63</f>
        <v>0</v>
      </c>
      <c r="E60" s="1067">
        <f>Interactive!AI63</f>
        <v>100</v>
      </c>
      <c r="F60" s="1067">
        <f>Interactive!AJ63</f>
        <v>150</v>
      </c>
      <c r="G60" s="1067">
        <f>Interactive!AK63</f>
        <v>200</v>
      </c>
      <c r="H60" s="1067">
        <f>Interactive!AL63</f>
        <v>250</v>
      </c>
      <c r="I60" s="1067">
        <f>Interactive!AM63</f>
        <v>300</v>
      </c>
      <c r="J60" s="1068">
        <f>Interactive!AN63</f>
        <v>0</v>
      </c>
    </row>
    <row r="61" spans="2:10" x14ac:dyDescent="0.2">
      <c r="B61" s="1059">
        <v>0</v>
      </c>
      <c r="C61" s="1060" t="s">
        <v>838</v>
      </c>
      <c r="D61" s="1034">
        <f ca="1">Interactive!AH64</f>
        <v>0.89833258408233352</v>
      </c>
      <c r="E61" s="1060">
        <f>Interactive!AI64</f>
        <v>0.89833258408233352</v>
      </c>
      <c r="F61" s="1060">
        <f>Interactive!AJ64</f>
        <v>0.8492104752097146</v>
      </c>
      <c r="G61" s="1060">
        <f>Interactive!AK64</f>
        <v>0.8221418772518122</v>
      </c>
      <c r="H61" s="1034">
        <f>Interactive!AL64</f>
        <v>0.80455473320864679</v>
      </c>
      <c r="I61" s="1060">
        <f>Interactive!AM64</f>
        <v>0.79200326655900721</v>
      </c>
      <c r="J61" s="1062">
        <f>Interactive!AN64</f>
        <v>0</v>
      </c>
    </row>
    <row r="62" spans="2:10" x14ac:dyDescent="0.2">
      <c r="B62" s="1039" t="s">
        <v>867</v>
      </c>
      <c r="C62" s="1057" t="s">
        <v>866</v>
      </c>
      <c r="D62" s="1057">
        <f>Interactive!AH65</f>
        <v>0</v>
      </c>
      <c r="E62" s="1065">
        <f>Interactive!AI65</f>
        <v>100</v>
      </c>
      <c r="F62" s="1065">
        <f>Interactive!AJ65</f>
        <v>177</v>
      </c>
      <c r="G62" s="1065">
        <f>Interactive!AK65</f>
        <v>202</v>
      </c>
      <c r="H62" s="1065">
        <f>Interactive!AL65</f>
        <v>305</v>
      </c>
      <c r="I62" s="1065">
        <f>Interactive!AM65</f>
        <v>309</v>
      </c>
      <c r="J62" s="1066">
        <f>Interactive!AN65</f>
        <v>316</v>
      </c>
    </row>
    <row r="63" spans="2:10" x14ac:dyDescent="0.2">
      <c r="B63" s="1056">
        <v>0</v>
      </c>
      <c r="C63" s="1064" t="s">
        <v>838</v>
      </c>
      <c r="D63" s="1040">
        <f ca="1">Interactive!AH66</f>
        <v>0.68187109818006619</v>
      </c>
      <c r="E63" s="1057">
        <f>Interactive!AI66</f>
        <v>0.68187109818006619</v>
      </c>
      <c r="F63" s="1057">
        <f>Interactive!AJ66</f>
        <v>0.61579535972582167</v>
      </c>
      <c r="G63" s="1057">
        <f>Interactive!AK66</f>
        <v>0.60398337709204364</v>
      </c>
      <c r="H63" s="1040">
        <f>Interactive!AL66</f>
        <v>0.57323521242263276</v>
      </c>
      <c r="I63" s="1057">
        <f>Interactive!AM66</f>
        <v>0.57239172471548772</v>
      </c>
      <c r="J63" s="1058">
        <f>Interactive!AN66</f>
        <v>0.57095784956964746</v>
      </c>
    </row>
    <row r="64" spans="2:10" x14ac:dyDescent="0.2">
      <c r="B64" s="1059" t="s">
        <v>821</v>
      </c>
      <c r="C64" s="1060" t="s">
        <v>866</v>
      </c>
      <c r="D64" s="1060">
        <f>Interactive!AH67</f>
        <v>0</v>
      </c>
      <c r="E64" s="1067">
        <f>Interactive!AI67</f>
        <v>100</v>
      </c>
      <c r="F64" s="1067">
        <f>Interactive!AJ67</f>
        <v>125</v>
      </c>
      <c r="G64" s="1067">
        <f>Interactive!AK67</f>
        <v>150</v>
      </c>
      <c r="H64" s="1067">
        <f>Interactive!AL67</f>
        <v>200</v>
      </c>
      <c r="I64" s="1067">
        <f>Interactive!AM67</f>
        <v>250</v>
      </c>
      <c r="J64" s="1068">
        <f>Interactive!AN67</f>
        <v>300</v>
      </c>
    </row>
    <row r="65" spans="2:10" x14ac:dyDescent="0.2">
      <c r="B65" s="1069">
        <v>0</v>
      </c>
      <c r="C65" s="1070" t="s">
        <v>838</v>
      </c>
      <c r="D65" s="1071">
        <f ca="1">Interactive!AH68</f>
        <v>1.0447988685991174</v>
      </c>
      <c r="E65" s="1070">
        <f>Interactive!AI68</f>
        <v>1.0447988685991174</v>
      </c>
      <c r="F65" s="1070">
        <f>Interactive!AJ68</f>
        <v>0.99852380522485373</v>
      </c>
      <c r="G65" s="1070">
        <f>Interactive!AK68</f>
        <v>0.96491710921748119</v>
      </c>
      <c r="H65" s="1071">
        <f>Interactive!AL68</f>
        <v>0.91837035246227527</v>
      </c>
      <c r="I65" s="1070">
        <f>Interactive!AM68</f>
        <v>0.8868964324502504</v>
      </c>
      <c r="J65" s="1072">
        <f>Interactive!AN68</f>
        <v>0.86373594875768511</v>
      </c>
    </row>
    <row r="66" spans="2:10" x14ac:dyDescent="0.2">
      <c r="B66" s="983"/>
      <c r="C66" s="983"/>
      <c r="D66" s="1073"/>
    </row>
    <row r="67" spans="2:10" x14ac:dyDescent="0.2">
      <c r="B67" s="983"/>
      <c r="C67" s="983"/>
      <c r="D67" s="1073"/>
    </row>
    <row r="68" spans="2:10" x14ac:dyDescent="0.2">
      <c r="B68" s="983"/>
      <c r="C68" s="983"/>
      <c r="D68" s="1073"/>
    </row>
    <row r="69" spans="2:10" ht="38.25" x14ac:dyDescent="0.2">
      <c r="B69" s="1552" t="s">
        <v>285</v>
      </c>
      <c r="C69" s="1553" t="s">
        <v>806</v>
      </c>
      <c r="D69" s="1554" t="s">
        <v>807</v>
      </c>
    </row>
    <row r="70" spans="2:10" x14ac:dyDescent="0.2">
      <c r="B70" s="1555" t="s">
        <v>808</v>
      </c>
      <c r="C70" s="1556">
        <f>SUM($E$43:$I$43)</f>
        <v>1309</v>
      </c>
      <c r="D70" s="1557">
        <f>SUMPRODUCT($E$43:$I$43,$E$44:$I$44)/C70</f>
        <v>0.58298616045382778</v>
      </c>
    </row>
    <row r="71" spans="2:10" x14ac:dyDescent="0.2">
      <c r="B71" s="1039" t="s">
        <v>809</v>
      </c>
      <c r="C71" s="1558">
        <f>SUM($E$45:$H$45)</f>
        <v>870</v>
      </c>
      <c r="D71" s="1559">
        <f>SUMPRODUCT($E$45:$H$45,$E$46:$H$46)/C71</f>
        <v>0.90413120087724164</v>
      </c>
    </row>
    <row r="72" spans="2:10" x14ac:dyDescent="0.2">
      <c r="B72" s="1033" t="s">
        <v>698</v>
      </c>
      <c r="C72" s="1067">
        <f>SUM($E$31:$H$31)</f>
        <v>238</v>
      </c>
      <c r="D72" s="1560">
        <f>SUMPRODUCT($E$31:$H$31,$E$32:$H$32)/C72</f>
        <v>0.80757698768326369</v>
      </c>
    </row>
    <row r="73" spans="2:10" x14ac:dyDescent="0.2">
      <c r="B73" s="1039" t="s">
        <v>700</v>
      </c>
      <c r="C73" s="1558">
        <f>SUM($E$37:$G$37)</f>
        <v>226</v>
      </c>
      <c r="D73" s="1559">
        <f>SUMPRODUCT($E$37:$G$37,$E$38:$G$38)/C73</f>
        <v>0.82154056346418547</v>
      </c>
    </row>
    <row r="74" spans="2:10" x14ac:dyDescent="0.2">
      <c r="B74" s="1033" t="s">
        <v>701</v>
      </c>
      <c r="C74" s="1067">
        <f>SUM($E$39:$J$39)</f>
        <v>926</v>
      </c>
      <c r="D74" s="1560">
        <f>SUMPRODUCT($E$39:$J$39,$E$40:$J$40)/C74</f>
        <v>0.9669703255747959</v>
      </c>
    </row>
    <row r="75" spans="2:10" x14ac:dyDescent="0.2">
      <c r="B75" s="1561" t="s">
        <v>799</v>
      </c>
      <c r="C75" s="1562">
        <f>SUM($E$35:$H$35)</f>
        <v>645</v>
      </c>
      <c r="D75" s="1563">
        <f>SUMPRODUCT($E$35:$H$35,$E$36:$H$36)/C75</f>
        <v>0.95476238601303987</v>
      </c>
    </row>
    <row r="76" spans="2:10" ht="13.5" customHeight="1" x14ac:dyDescent="0.2">
      <c r="B76" s="983"/>
      <c r="C76" s="983"/>
      <c r="D76" s="1073"/>
    </row>
    <row r="78" spans="2:10" hidden="1" x14ac:dyDescent="0.2">
      <c r="B78" s="986" t="s">
        <v>694</v>
      </c>
      <c r="C78" s="1075">
        <v>1.1251600260956778</v>
      </c>
      <c r="D78" s="1075">
        <v>0.93890178389788514</v>
      </c>
      <c r="E78" s="1075">
        <v>0.87681570316528723</v>
      </c>
      <c r="F78" s="1075">
        <v>0.84577266279898911</v>
      </c>
      <c r="G78" s="1075">
        <v>0.82714683857920956</v>
      </c>
      <c r="H78" s="1075">
        <v>0.81472962243268954</v>
      </c>
    </row>
    <row r="79" spans="2:10" hidden="1" x14ac:dyDescent="0.2">
      <c r="B79" s="952"/>
      <c r="C79" s="987" t="s">
        <v>531</v>
      </c>
      <c r="D79" s="987"/>
      <c r="E79" s="987" t="s">
        <v>532</v>
      </c>
      <c r="F79" s="987"/>
      <c r="G79" s="987" t="s">
        <v>533</v>
      </c>
    </row>
    <row r="80" spans="2:10" hidden="1" x14ac:dyDescent="0.2">
      <c r="B80" s="1569" t="s">
        <v>285</v>
      </c>
      <c r="C80" s="1570" t="s">
        <v>28</v>
      </c>
      <c r="D80" s="1570"/>
      <c r="E80" s="1571" t="s">
        <v>536</v>
      </c>
      <c r="F80" s="1570"/>
      <c r="G80" s="1572" t="s">
        <v>534</v>
      </c>
    </row>
    <row r="81" spans="2:36" hidden="1" x14ac:dyDescent="0.2">
      <c r="B81" s="1033" t="str">
        <f>'Summary Tables'!$E$5</f>
        <v>Wheat Standalone (Starch)</v>
      </c>
      <c r="C81" s="1036">
        <f ca="1">'Summary Tables'!$E$14</f>
        <v>0.68187109818006619</v>
      </c>
      <c r="D81" s="1035">
        <f t="shared" ref="D81:D88" ca="1" si="5">E81/C81-1</f>
        <v>0</v>
      </c>
      <c r="E81" s="1036">
        <f ca="1">'Summary Tables'!$E$14</f>
        <v>0.68187109818006619</v>
      </c>
      <c r="F81" s="1035">
        <f t="shared" ref="F81:F88" ca="1" si="6">G81/E81-1</f>
        <v>0</v>
      </c>
      <c r="G81" s="1037">
        <f ca="1">'Summary Tables'!$E$14</f>
        <v>0.68187109818006619</v>
      </c>
    </row>
    <row r="82" spans="2:36" hidden="1" x14ac:dyDescent="0.2">
      <c r="B82" s="1033" t="str">
        <f>'Summary Tables'!$F$5</f>
        <v>Wheat Integrated (Starch)</v>
      </c>
      <c r="C82" s="1036">
        <f ca="1">'Summary Tables'!$F$14</f>
        <v>0.63608976560445862</v>
      </c>
      <c r="D82" s="1035">
        <f t="shared" ca="1" si="5"/>
        <v>0</v>
      </c>
      <c r="E82" s="1036">
        <f ca="1">'Summary Tables'!$F$14</f>
        <v>0.63608976560445862</v>
      </c>
      <c r="F82" s="1035">
        <f t="shared" ca="1" si="6"/>
        <v>0</v>
      </c>
      <c r="G82" s="1037">
        <f ca="1">'Summary Tables'!$F$14</f>
        <v>0.63608976560445862</v>
      </c>
    </row>
    <row r="83" spans="2:36" hidden="1" x14ac:dyDescent="0.2">
      <c r="B83" s="1033" t="str">
        <f>'Summary Tables'!$G$5</f>
        <v>Imported Starch</v>
      </c>
      <c r="C83" s="1036">
        <f ca="1">'Summary Tables'!$G$14</f>
        <v>0.89833258408233352</v>
      </c>
      <c r="D83" s="1035">
        <f t="shared" ca="1" si="5"/>
        <v>0</v>
      </c>
      <c r="E83" s="1036">
        <f ca="1">'Summary Tables'!$G$14</f>
        <v>0.89833258408233352</v>
      </c>
      <c r="F83" s="1035">
        <f t="shared" ca="1" si="6"/>
        <v>0</v>
      </c>
      <c r="G83" s="1037">
        <f ca="1">'Summary Tables'!$G$14</f>
        <v>0.89833258408233352</v>
      </c>
    </row>
    <row r="84" spans="2:36" hidden="1" x14ac:dyDescent="0.2">
      <c r="B84" s="1033" t="str">
        <f>'Summary Tables'!$H$5</f>
        <v>Sorghum (Starch)</v>
      </c>
      <c r="C84" s="1036">
        <f ca="1">'Summary Tables'!$H$14</f>
        <v>0.76744606237382851</v>
      </c>
      <c r="D84" s="1035">
        <f t="shared" ca="1" si="5"/>
        <v>0</v>
      </c>
      <c r="E84" s="1036">
        <f ca="1">'Summary Tables'!$H$14</f>
        <v>0.76744606237382851</v>
      </c>
      <c r="F84" s="1035">
        <f t="shared" ca="1" si="6"/>
        <v>0</v>
      </c>
      <c r="G84" s="1037">
        <f ca="1">'Summary Tables'!$H$14</f>
        <v>0.76744606237382851</v>
      </c>
    </row>
    <row r="85" spans="2:36" hidden="1" x14ac:dyDescent="0.2">
      <c r="B85" s="1033" t="str">
        <f>'Summary Tables'!$I$5</f>
        <v>C-Syrup (Sucrosic)</v>
      </c>
      <c r="C85" s="1036">
        <f ca="1">'Summary Tables'!$I$14</f>
        <v>0.71680495123617016</v>
      </c>
      <c r="D85" s="1035">
        <f t="shared" ca="1" si="5"/>
        <v>0</v>
      </c>
      <c r="E85" s="1036">
        <f ca="1">'Summary Tables'!$I$14</f>
        <v>0.71680495123617016</v>
      </c>
      <c r="F85" s="1035">
        <f t="shared" ca="1" si="6"/>
        <v>0</v>
      </c>
      <c r="G85" s="1037">
        <f ca="1">'Summary Tables'!$I$14</f>
        <v>0.71680495123617016</v>
      </c>
    </row>
    <row r="86" spans="2:36" hidden="1" x14ac:dyDescent="0.2">
      <c r="B86" s="1033" t="str">
        <f>'Summary Tables'!$J$5</f>
        <v>B-Syrup (Sucrosic)</v>
      </c>
      <c r="C86" s="1036">
        <f ca="1">'Summary Tables'!$J$14</f>
        <v>1.0133352923374939</v>
      </c>
      <c r="D86" s="1035">
        <f t="shared" ca="1" si="5"/>
        <v>0</v>
      </c>
      <c r="E86" s="1036">
        <f ca="1">'Summary Tables'!$J$14</f>
        <v>1.0133352923374939</v>
      </c>
      <c r="F86" s="1035">
        <f t="shared" ca="1" si="6"/>
        <v>0</v>
      </c>
      <c r="G86" s="1037">
        <f ca="1">'Summary Tables'!$J$14</f>
        <v>1.0133352923374939</v>
      </c>
    </row>
    <row r="87" spans="2:36" hidden="1" x14ac:dyDescent="0.2">
      <c r="B87" s="1033" t="str">
        <f>'Summary Tables'!$K$5</f>
        <v>Cane trash (Cellulosic)</v>
      </c>
      <c r="C87" s="1036">
        <f ca="1">'Summary Tables'!$K$14</f>
        <v>1.0447988685991174</v>
      </c>
      <c r="D87" s="1035">
        <f t="shared" ca="1" si="5"/>
        <v>0</v>
      </c>
      <c r="E87" s="1036">
        <f ca="1">'Summary Tables'!$K$14</f>
        <v>1.0447988685991174</v>
      </c>
      <c r="F87" s="1035">
        <f t="shared" ca="1" si="6"/>
        <v>0</v>
      </c>
      <c r="G87" s="1037">
        <f ca="1">'Summary Tables'!$K$14</f>
        <v>1.0447988685991174</v>
      </c>
    </row>
    <row r="88" spans="2:36" hidden="1" x14ac:dyDescent="0.2">
      <c r="B88" s="1573" t="str">
        <f>'Summary Tables'!$L$5</f>
        <v>Forest Residues (Cellulosic)</v>
      </c>
      <c r="C88" s="1574">
        <f ca="1">'Summary Tables'!$L$14</f>
        <v>1.0561136602781689</v>
      </c>
      <c r="D88" s="1529">
        <f t="shared" ca="1" si="5"/>
        <v>0</v>
      </c>
      <c r="E88" s="1574">
        <f ca="1">'Summary Tables'!$L$14</f>
        <v>1.0561136602781689</v>
      </c>
      <c r="F88" s="1529">
        <f t="shared" ca="1" si="6"/>
        <v>0</v>
      </c>
      <c r="G88" s="1575">
        <f ca="1">'Summary Tables'!$L$14</f>
        <v>1.0561136602781689</v>
      </c>
    </row>
    <row r="91" spans="2:36" ht="38.25" x14ac:dyDescent="0.2">
      <c r="B91" s="1564" t="s">
        <v>285</v>
      </c>
      <c r="C91" s="1565" t="s">
        <v>806</v>
      </c>
      <c r="D91" s="1565" t="s">
        <v>807</v>
      </c>
      <c r="E91" s="1566" t="s">
        <v>979</v>
      </c>
    </row>
    <row r="92" spans="2:36" x14ac:dyDescent="0.2">
      <c r="B92" s="1033" t="s">
        <v>867</v>
      </c>
      <c r="C92" s="1067">
        <f t="shared" ref="C92:D97" si="7">C70</f>
        <v>1309</v>
      </c>
      <c r="D92" s="1161">
        <f t="shared" si="7"/>
        <v>0.58298616045382778</v>
      </c>
      <c r="E92" s="1567">
        <f t="shared" ref="E92:E97" si="8">RANK(D92,$D$92:$D$97,1)</f>
        <v>1</v>
      </c>
    </row>
    <row r="93" spans="2:36" ht="25.5" x14ac:dyDescent="0.2">
      <c r="B93" s="1576" t="s">
        <v>1032</v>
      </c>
      <c r="C93" s="1558">
        <f t="shared" si="7"/>
        <v>870</v>
      </c>
      <c r="D93" s="1577">
        <f t="shared" si="7"/>
        <v>0.90413120087724164</v>
      </c>
      <c r="E93" s="1058">
        <f t="shared" si="8"/>
        <v>4</v>
      </c>
    </row>
    <row r="94" spans="2:36" ht="25.5" x14ac:dyDescent="0.2">
      <c r="B94" s="1568" t="s">
        <v>1028</v>
      </c>
      <c r="C94" s="1067">
        <f t="shared" si="7"/>
        <v>238</v>
      </c>
      <c r="D94" s="1161">
        <f t="shared" si="7"/>
        <v>0.80757698768326369</v>
      </c>
      <c r="E94" s="1567">
        <f t="shared" si="8"/>
        <v>2</v>
      </c>
      <c r="G94" s="1078"/>
    </row>
    <row r="95" spans="2:36" ht="25.5" x14ac:dyDescent="0.2">
      <c r="B95" s="1576" t="s">
        <v>1029</v>
      </c>
      <c r="C95" s="1558">
        <f t="shared" si="7"/>
        <v>226</v>
      </c>
      <c r="D95" s="1577">
        <f t="shared" si="7"/>
        <v>0.82154056346418547</v>
      </c>
      <c r="E95" s="1058">
        <f t="shared" si="8"/>
        <v>3</v>
      </c>
      <c r="AJ95" s="1581">
        <v>4100</v>
      </c>
    </row>
    <row r="96" spans="2:36" ht="25.5" x14ac:dyDescent="0.2">
      <c r="B96" s="1568" t="s">
        <v>1030</v>
      </c>
      <c r="C96" s="1067">
        <f t="shared" si="7"/>
        <v>926</v>
      </c>
      <c r="D96" s="1161">
        <f t="shared" si="7"/>
        <v>0.9669703255747959</v>
      </c>
      <c r="E96" s="1567">
        <f t="shared" si="8"/>
        <v>6</v>
      </c>
      <c r="AJ96" s="1581">
        <v>500</v>
      </c>
    </row>
    <row r="97" spans="1:37" ht="25.5" x14ac:dyDescent="0.2">
      <c r="B97" s="1578" t="s">
        <v>1031</v>
      </c>
      <c r="C97" s="1562">
        <f t="shared" si="7"/>
        <v>645</v>
      </c>
      <c r="D97" s="1579">
        <f t="shared" si="7"/>
        <v>0.95476238601303987</v>
      </c>
      <c r="E97" s="1580">
        <f t="shared" si="8"/>
        <v>5</v>
      </c>
      <c r="L97" s="927"/>
      <c r="M97" s="927"/>
      <c r="N97" s="927"/>
      <c r="AJ97" s="1581">
        <v>100</v>
      </c>
    </row>
    <row r="98" spans="1:37" x14ac:dyDescent="0.2">
      <c r="E98" s="1077"/>
      <c r="L98" s="927"/>
      <c r="M98" s="927"/>
      <c r="N98" s="927"/>
      <c r="O98" s="927"/>
      <c r="P98" s="927"/>
      <c r="Q98" s="927"/>
      <c r="R98" s="927"/>
      <c r="S98" s="927"/>
      <c r="T98" s="927"/>
      <c r="U98" s="927"/>
      <c r="V98" s="927"/>
      <c r="W98" s="927"/>
      <c r="X98" s="927"/>
      <c r="Y98" s="927"/>
      <c r="Z98" s="927"/>
      <c r="AA98" s="927"/>
      <c r="AB98" s="927"/>
      <c r="AC98" s="927"/>
      <c r="AD98" s="927"/>
      <c r="AE98" s="927"/>
      <c r="AF98" s="927"/>
      <c r="AG98" s="927"/>
      <c r="AH98" s="927"/>
      <c r="AI98" s="927"/>
      <c r="AJ98" s="927"/>
      <c r="AK98" s="927"/>
    </row>
    <row r="99" spans="1:37" x14ac:dyDescent="0.2">
      <c r="E99" s="1077"/>
      <c r="L99" s="927"/>
      <c r="M99" s="927"/>
      <c r="N99" s="927"/>
      <c r="O99" s="927"/>
      <c r="P99" s="927"/>
      <c r="Q99" s="927"/>
      <c r="R99" s="927"/>
      <c r="S99" s="927"/>
      <c r="T99" s="927"/>
      <c r="U99" s="927"/>
      <c r="V99" s="927"/>
      <c r="W99" s="927"/>
      <c r="X99" s="927"/>
      <c r="Y99" s="927"/>
      <c r="Z99" s="927"/>
      <c r="AA99" s="927"/>
      <c r="AB99" s="927"/>
      <c r="AC99" s="927"/>
      <c r="AD99" s="927"/>
      <c r="AE99" s="927"/>
      <c r="AF99" s="927"/>
      <c r="AG99" s="927"/>
      <c r="AH99" s="927"/>
      <c r="AI99" s="927"/>
      <c r="AJ99" s="927"/>
      <c r="AK99" s="927"/>
    </row>
    <row r="100" spans="1:37" x14ac:dyDescent="0.2">
      <c r="B100" s="1046" t="s">
        <v>1043</v>
      </c>
      <c r="L100" s="927"/>
      <c r="M100" s="1582">
        <f>M101</f>
        <v>0</v>
      </c>
      <c r="N100" s="1582">
        <f t="shared" ref="N100:AJ100" si="9">N101</f>
        <v>0</v>
      </c>
      <c r="O100" s="1582">
        <f t="shared" si="9"/>
        <v>1309</v>
      </c>
      <c r="P100" s="1582">
        <f t="shared" si="9"/>
        <v>1309</v>
      </c>
      <c r="Q100" s="1582">
        <f t="shared" si="9"/>
        <v>1309</v>
      </c>
      <c r="R100" s="1582">
        <f t="shared" si="9"/>
        <v>1309</v>
      </c>
      <c r="S100" s="1582">
        <f t="shared" si="9"/>
        <v>1547</v>
      </c>
      <c r="T100" s="1582">
        <f t="shared" si="9"/>
        <v>1547</v>
      </c>
      <c r="U100" s="1582">
        <f t="shared" si="9"/>
        <v>1547</v>
      </c>
      <c r="V100" s="1582">
        <f t="shared" si="9"/>
        <v>1547</v>
      </c>
      <c r="W100" s="1582">
        <f t="shared" si="9"/>
        <v>1773</v>
      </c>
      <c r="X100" s="1582">
        <f t="shared" si="9"/>
        <v>1773</v>
      </c>
      <c r="Y100" s="1582">
        <f t="shared" si="9"/>
        <v>1773</v>
      </c>
      <c r="Z100" s="1582">
        <f t="shared" si="9"/>
        <v>1773</v>
      </c>
      <c r="AA100" s="1582">
        <f t="shared" si="9"/>
        <v>2643</v>
      </c>
      <c r="AB100" s="1582">
        <f t="shared" si="9"/>
        <v>2643</v>
      </c>
      <c r="AC100" s="1582">
        <f t="shared" si="9"/>
        <v>2643</v>
      </c>
      <c r="AD100" s="1582">
        <f t="shared" si="9"/>
        <v>2643</v>
      </c>
      <c r="AE100" s="1582">
        <f t="shared" si="9"/>
        <v>3288</v>
      </c>
      <c r="AF100" s="1582">
        <f t="shared" si="9"/>
        <v>3288</v>
      </c>
      <c r="AG100" s="1582">
        <f t="shared" si="9"/>
        <v>3288</v>
      </c>
      <c r="AH100" s="1582">
        <f t="shared" si="9"/>
        <v>3288</v>
      </c>
      <c r="AI100" s="1582">
        <f t="shared" si="9"/>
        <v>4214</v>
      </c>
      <c r="AJ100" s="1582">
        <f t="shared" si="9"/>
        <v>4214</v>
      </c>
      <c r="AK100" s="927"/>
    </row>
    <row r="101" spans="1:37" ht="13.5" customHeight="1" x14ac:dyDescent="0.2">
      <c r="B101" s="1545" t="s">
        <v>285</v>
      </c>
      <c r="C101" s="1606" t="s">
        <v>1033</v>
      </c>
      <c r="D101" s="1606"/>
      <c r="E101" s="1606"/>
      <c r="F101" s="1606"/>
      <c r="H101" s="1606" t="s">
        <v>1034</v>
      </c>
      <c r="I101" s="1606"/>
      <c r="J101" s="1606"/>
      <c r="K101" s="1606"/>
      <c r="L101" s="927"/>
      <c r="M101" s="1583">
        <f>C102</f>
        <v>0</v>
      </c>
      <c r="N101" s="1583">
        <f>D102</f>
        <v>0</v>
      </c>
      <c r="O101" s="1583">
        <f>E102</f>
        <v>1309</v>
      </c>
      <c r="P101" s="1583">
        <f>F102</f>
        <v>1309</v>
      </c>
      <c r="Q101" s="1583">
        <f>C103</f>
        <v>1309</v>
      </c>
      <c r="R101" s="1583">
        <f>D103</f>
        <v>1309</v>
      </c>
      <c r="S101" s="1583">
        <f>E103</f>
        <v>1547</v>
      </c>
      <c r="T101" s="1583">
        <f>F103</f>
        <v>1547</v>
      </c>
      <c r="U101" s="1583">
        <f>C104</f>
        <v>1547</v>
      </c>
      <c r="V101" s="1583">
        <f>D104</f>
        <v>1547</v>
      </c>
      <c r="W101" s="1583">
        <f>E104</f>
        <v>1773</v>
      </c>
      <c r="X101" s="1583">
        <f>F104</f>
        <v>1773</v>
      </c>
      <c r="Y101" s="1583">
        <f>C105</f>
        <v>1773</v>
      </c>
      <c r="Z101" s="1583">
        <f>D105</f>
        <v>1773</v>
      </c>
      <c r="AA101" s="1583">
        <f>E105</f>
        <v>2643</v>
      </c>
      <c r="AB101" s="1583">
        <f>F105</f>
        <v>2643</v>
      </c>
      <c r="AC101" s="1583">
        <f>C106</f>
        <v>2643</v>
      </c>
      <c r="AD101" s="1583">
        <f>D106</f>
        <v>2643</v>
      </c>
      <c r="AE101" s="1583">
        <f>E106</f>
        <v>3288</v>
      </c>
      <c r="AF101" s="1583">
        <f>F106</f>
        <v>3288</v>
      </c>
      <c r="AG101" s="1583">
        <f>C107</f>
        <v>3288</v>
      </c>
      <c r="AH101" s="1583">
        <f>D107</f>
        <v>3288</v>
      </c>
      <c r="AI101" s="1583">
        <f>E107</f>
        <v>4214</v>
      </c>
      <c r="AJ101" s="1583">
        <f>F107</f>
        <v>4214</v>
      </c>
      <c r="AK101" s="927"/>
    </row>
    <row r="102" spans="1:37" ht="13.5" customHeight="1" x14ac:dyDescent="0.2">
      <c r="A102" s="926">
        <v>1</v>
      </c>
      <c r="B102" s="926" t="str">
        <f t="shared" ref="B102:B107" si="10">INDEX($B$92:$B$97,MATCH(A102,$E$92:$E$97,0))</f>
        <v>Wheat Standalone (Starch)</v>
      </c>
      <c r="C102" s="1078">
        <f>D102</f>
        <v>0</v>
      </c>
      <c r="D102" s="1078">
        <v>0</v>
      </c>
      <c r="E102" s="1078">
        <f>INDEX($C$92:$C$97,MATCH(A102,$E$92:$E$97,0))</f>
        <v>1309</v>
      </c>
      <c r="F102" s="1078">
        <f>E102</f>
        <v>1309</v>
      </c>
      <c r="H102" s="926">
        <v>0</v>
      </c>
      <c r="I102" s="1074">
        <f t="shared" ref="I102:I107" si="11">INDEX($D$92:$D$97,MATCH(A102,$E$92:$E$97,0))</f>
        <v>0.58298616045382778</v>
      </c>
      <c r="J102" s="1074">
        <f>I102</f>
        <v>0.58298616045382778</v>
      </c>
      <c r="K102" s="926">
        <v>0</v>
      </c>
      <c r="L102" s="927"/>
      <c r="M102" s="927">
        <f>H102</f>
        <v>0</v>
      </c>
      <c r="N102" s="927">
        <f>I102</f>
        <v>0.58298616045382778</v>
      </c>
      <c r="O102" s="927">
        <f>J102</f>
        <v>0.58298616045382778</v>
      </c>
      <c r="P102" s="927">
        <f>K102</f>
        <v>0</v>
      </c>
      <c r="Q102" s="927"/>
      <c r="R102" s="927"/>
      <c r="S102" s="927"/>
      <c r="T102" s="927"/>
      <c r="U102" s="927"/>
      <c r="V102" s="927"/>
      <c r="W102" s="927"/>
      <c r="X102" s="927"/>
      <c r="Y102" s="927"/>
      <c r="Z102" s="927"/>
      <c r="AA102" s="927"/>
      <c r="AB102" s="927"/>
      <c r="AC102" s="927"/>
      <c r="AD102" s="927"/>
      <c r="AE102" s="927"/>
      <c r="AF102" s="927"/>
      <c r="AG102" s="927"/>
      <c r="AH102" s="927"/>
      <c r="AI102" s="927"/>
      <c r="AJ102" s="927"/>
      <c r="AK102" s="927"/>
    </row>
    <row r="103" spans="1:37" ht="13.5" customHeight="1" x14ac:dyDescent="0.2">
      <c r="A103" s="926">
        <v>2</v>
      </c>
      <c r="B103" s="926" t="str">
        <f t="shared" si="10"/>
        <v>C-Syrup 
(Sucrosic)</v>
      </c>
      <c r="C103" s="1078">
        <f t="shared" ref="C103:C107" si="12">D103</f>
        <v>1309</v>
      </c>
      <c r="D103" s="1078">
        <f>E102</f>
        <v>1309</v>
      </c>
      <c r="E103" s="1078">
        <f>INDEX($C$92:$C$97,MATCH(A103,$E$92:$E$97,0))+E102</f>
        <v>1547</v>
      </c>
      <c r="F103" s="1078">
        <f t="shared" ref="F103:F107" si="13">E103</f>
        <v>1547</v>
      </c>
      <c r="H103" s="926">
        <v>0</v>
      </c>
      <c r="I103" s="1074">
        <f t="shared" si="11"/>
        <v>0.80757698768326369</v>
      </c>
      <c r="J103" s="1074">
        <f t="shared" ref="J103:J107" si="14">I103</f>
        <v>0.80757698768326369</v>
      </c>
      <c r="K103" s="926">
        <v>0</v>
      </c>
      <c r="L103" s="927"/>
      <c r="M103" s="927">
        <f>IF(M$101=K$111,0,
IF($E103=M$101,$I103,
IF($D103=M$101,$I103,0)))</f>
        <v>0</v>
      </c>
      <c r="N103" s="927"/>
      <c r="O103" s="927"/>
      <c r="P103" s="927"/>
      <c r="Q103" s="927">
        <f>H103</f>
        <v>0</v>
      </c>
      <c r="R103" s="927">
        <f>I103</f>
        <v>0.80757698768326369</v>
      </c>
      <c r="S103" s="927">
        <f>J103</f>
        <v>0.80757698768326369</v>
      </c>
      <c r="T103" s="927">
        <f>K103</f>
        <v>0</v>
      </c>
      <c r="U103" s="927"/>
      <c r="V103" s="927"/>
      <c r="W103" s="927"/>
      <c r="X103" s="927"/>
      <c r="Y103" s="927"/>
      <c r="Z103" s="927"/>
      <c r="AA103" s="927"/>
      <c r="AB103" s="927"/>
      <c r="AC103" s="927"/>
      <c r="AD103" s="927"/>
      <c r="AE103" s="927"/>
      <c r="AF103" s="927"/>
      <c r="AG103" s="927"/>
      <c r="AH103" s="927"/>
      <c r="AI103" s="927"/>
      <c r="AJ103" s="927"/>
      <c r="AK103" s="927"/>
    </row>
    <row r="104" spans="1:37" ht="13.5" customHeight="1" x14ac:dyDescent="0.2">
      <c r="A104" s="926">
        <v>3</v>
      </c>
      <c r="B104" s="926" t="str">
        <f t="shared" si="10"/>
        <v>Sorghum 
(Starch)</v>
      </c>
      <c r="C104" s="1078">
        <f t="shared" si="12"/>
        <v>1547</v>
      </c>
      <c r="D104" s="1078">
        <f>E103</f>
        <v>1547</v>
      </c>
      <c r="E104" s="1078">
        <f>INDEX($C$92:$C$97,MATCH(A104,$E$92:$E$97,0))+E103</f>
        <v>1773</v>
      </c>
      <c r="F104" s="1078">
        <f t="shared" si="13"/>
        <v>1773</v>
      </c>
      <c r="H104" s="926">
        <v>0</v>
      </c>
      <c r="I104" s="1074">
        <f t="shared" si="11"/>
        <v>0.82154056346418547</v>
      </c>
      <c r="J104" s="1074">
        <f t="shared" si="14"/>
        <v>0.82154056346418547</v>
      </c>
      <c r="K104" s="926">
        <v>0</v>
      </c>
      <c r="L104" s="927"/>
      <c r="M104" s="927">
        <f>IF(M$101=K$111,0,
IF($E104=M$101,$I104,
IF($D104=M$101,$I104,0)))</f>
        <v>0</v>
      </c>
      <c r="N104" s="927"/>
      <c r="O104" s="927"/>
      <c r="P104" s="927"/>
      <c r="Q104" s="927"/>
      <c r="R104" s="927"/>
      <c r="S104" s="927"/>
      <c r="T104" s="927"/>
      <c r="U104" s="927">
        <f>H104</f>
        <v>0</v>
      </c>
      <c r="V104" s="927">
        <f>I104</f>
        <v>0.82154056346418547</v>
      </c>
      <c r="W104" s="927">
        <f>J104</f>
        <v>0.82154056346418547</v>
      </c>
      <c r="X104" s="927">
        <f>K104</f>
        <v>0</v>
      </c>
      <c r="Y104" s="927"/>
      <c r="Z104" s="927"/>
      <c r="AA104" s="927"/>
      <c r="AB104" s="927"/>
      <c r="AC104" s="927"/>
      <c r="AD104" s="927"/>
      <c r="AE104" s="927"/>
      <c r="AF104" s="927"/>
      <c r="AG104" s="927"/>
      <c r="AH104" s="927"/>
      <c r="AI104" s="927"/>
      <c r="AJ104" s="927"/>
      <c r="AK104" s="927"/>
    </row>
    <row r="105" spans="1:37" ht="13.5" customHeight="1" x14ac:dyDescent="0.2">
      <c r="A105" s="926">
        <v>4</v>
      </c>
      <c r="B105" s="926" t="str">
        <f t="shared" si="10"/>
        <v>Cane Trash 
(Cellulosic)</v>
      </c>
      <c r="C105" s="1078">
        <f t="shared" si="12"/>
        <v>1773</v>
      </c>
      <c r="D105" s="1078">
        <f>E104</f>
        <v>1773</v>
      </c>
      <c r="E105" s="1078">
        <f>INDEX($C$92:$C$97,MATCH(A105,$E$92:$E$97,0))+E104</f>
        <v>2643</v>
      </c>
      <c r="F105" s="1078">
        <f t="shared" si="13"/>
        <v>2643</v>
      </c>
      <c r="H105" s="926">
        <v>0</v>
      </c>
      <c r="I105" s="1074">
        <f t="shared" si="11"/>
        <v>0.90413120087724164</v>
      </c>
      <c r="J105" s="1074">
        <f t="shared" si="14"/>
        <v>0.90413120087724164</v>
      </c>
      <c r="K105" s="926">
        <v>0</v>
      </c>
      <c r="L105" s="927"/>
      <c r="M105" s="927">
        <f>IF(M$101=K$111,0,
IF($E105=M$101,$I105,
IF($D105=M$101,$I105,0)))</f>
        <v>0</v>
      </c>
      <c r="N105" s="927"/>
      <c r="O105" s="927"/>
      <c r="P105" s="927"/>
      <c r="Q105" s="927"/>
      <c r="R105" s="927"/>
      <c r="S105" s="927"/>
      <c r="T105" s="927"/>
      <c r="U105" s="927"/>
      <c r="V105" s="927"/>
      <c r="W105" s="927"/>
      <c r="X105" s="927"/>
      <c r="Y105" s="927">
        <f>H105</f>
        <v>0</v>
      </c>
      <c r="Z105" s="927">
        <f>I105</f>
        <v>0.90413120087724164</v>
      </c>
      <c r="AA105" s="927">
        <f>J105</f>
        <v>0.90413120087724164</v>
      </c>
      <c r="AB105" s="927">
        <f>K105</f>
        <v>0</v>
      </c>
      <c r="AC105" s="927"/>
      <c r="AD105" s="927"/>
      <c r="AE105" s="927"/>
      <c r="AF105" s="927"/>
      <c r="AG105" s="927"/>
      <c r="AH105" s="927"/>
      <c r="AI105" s="927"/>
      <c r="AJ105" s="927"/>
      <c r="AK105" s="927"/>
    </row>
    <row r="106" spans="1:37" ht="13.5" customHeight="1" x14ac:dyDescent="0.2">
      <c r="A106" s="926">
        <v>5</v>
      </c>
      <c r="B106" s="926" t="str">
        <f t="shared" si="10"/>
        <v>B-Syrup 
(Sucrosic)</v>
      </c>
      <c r="C106" s="1078">
        <f t="shared" si="12"/>
        <v>2643</v>
      </c>
      <c r="D106" s="1078">
        <f>E105</f>
        <v>2643</v>
      </c>
      <c r="E106" s="1078">
        <f>INDEX($C$92:$C$97,MATCH(A106,$E$92:$E$97,0))+E105</f>
        <v>3288</v>
      </c>
      <c r="F106" s="1078">
        <f t="shared" si="13"/>
        <v>3288</v>
      </c>
      <c r="H106" s="926">
        <v>0</v>
      </c>
      <c r="I106" s="1074">
        <f t="shared" si="11"/>
        <v>0.95476238601303987</v>
      </c>
      <c r="J106" s="1074">
        <f t="shared" si="14"/>
        <v>0.95476238601303987</v>
      </c>
      <c r="K106" s="926">
        <v>0</v>
      </c>
      <c r="L106" s="927"/>
      <c r="M106" s="927">
        <f>IF(M$101=K$111,0,
IF($E106=M$101,$I106,
IF($D106=M$101,$I106,0)))</f>
        <v>0</v>
      </c>
      <c r="N106" s="927"/>
      <c r="O106" s="927"/>
      <c r="P106" s="927"/>
      <c r="Q106" s="927"/>
      <c r="R106" s="927"/>
      <c r="S106" s="927"/>
      <c r="T106" s="927"/>
      <c r="U106" s="927"/>
      <c r="V106" s="927"/>
      <c r="W106" s="927"/>
      <c r="X106" s="927"/>
      <c r="Y106" s="927"/>
      <c r="Z106" s="927"/>
      <c r="AA106" s="927"/>
      <c r="AB106" s="927"/>
      <c r="AC106" s="927">
        <f>H106</f>
        <v>0</v>
      </c>
      <c r="AD106" s="927">
        <f>I106</f>
        <v>0.95476238601303987</v>
      </c>
      <c r="AE106" s="927">
        <f>J106</f>
        <v>0.95476238601303987</v>
      </c>
      <c r="AF106" s="927">
        <f>K106</f>
        <v>0</v>
      </c>
      <c r="AG106" s="927"/>
      <c r="AH106" s="927"/>
      <c r="AI106" s="927"/>
      <c r="AJ106" s="927"/>
      <c r="AK106" s="927"/>
    </row>
    <row r="107" spans="1:37" ht="13.5" customHeight="1" x14ac:dyDescent="0.2">
      <c r="A107" s="926">
        <v>6</v>
      </c>
      <c r="B107" s="926" t="str">
        <f t="shared" si="10"/>
        <v>Forest Residues 
(Cellulosic)</v>
      </c>
      <c r="C107" s="1078">
        <f t="shared" si="12"/>
        <v>3288</v>
      </c>
      <c r="D107" s="1078">
        <f>E106</f>
        <v>3288</v>
      </c>
      <c r="E107" s="1078">
        <f>INDEX($C$92:$C$97,MATCH(A107,$E$92:$E$97,0))+E106</f>
        <v>4214</v>
      </c>
      <c r="F107" s="1078">
        <f t="shared" si="13"/>
        <v>4214</v>
      </c>
      <c r="H107" s="926">
        <v>0</v>
      </c>
      <c r="I107" s="1074">
        <f t="shared" si="11"/>
        <v>0.9669703255747959</v>
      </c>
      <c r="J107" s="1074">
        <f t="shared" si="14"/>
        <v>0.9669703255747959</v>
      </c>
      <c r="K107" s="926">
        <v>0</v>
      </c>
      <c r="L107" s="927"/>
      <c r="M107" s="927">
        <f>IF(M$101=K$111,0,
IF($E107=M$101,$I107,
IF($D107=M$101,$I107,0)))</f>
        <v>0</v>
      </c>
      <c r="N107" s="927"/>
      <c r="O107" s="927"/>
      <c r="P107" s="927"/>
      <c r="Q107" s="927"/>
      <c r="R107" s="927"/>
      <c r="S107" s="927"/>
      <c r="T107" s="927"/>
      <c r="U107" s="927"/>
      <c r="V107" s="927"/>
      <c r="W107" s="927"/>
      <c r="X107" s="927"/>
      <c r="Y107" s="927"/>
      <c r="Z107" s="927"/>
      <c r="AA107" s="927"/>
      <c r="AB107" s="927"/>
      <c r="AC107" s="927"/>
      <c r="AD107" s="927"/>
      <c r="AE107" s="927"/>
      <c r="AF107" s="927"/>
      <c r="AG107" s="927">
        <f>H107</f>
        <v>0</v>
      </c>
      <c r="AH107" s="927">
        <f>I107</f>
        <v>0.9669703255747959</v>
      </c>
      <c r="AI107" s="927">
        <f>J107</f>
        <v>0.9669703255747959</v>
      </c>
      <c r="AJ107" s="927">
        <f>K107</f>
        <v>0</v>
      </c>
      <c r="AK107" s="927"/>
    </row>
    <row r="108" spans="1:37" ht="13.5" customHeight="1" x14ac:dyDescent="0.2">
      <c r="L108" s="927"/>
      <c r="M108" s="927"/>
      <c r="N108" s="927"/>
      <c r="O108" s="927"/>
      <c r="P108" s="927"/>
      <c r="Q108" s="927"/>
      <c r="R108" s="927"/>
      <c r="S108" s="927"/>
      <c r="T108" s="927"/>
      <c r="U108" s="927"/>
      <c r="V108" s="927"/>
      <c r="W108" s="927"/>
      <c r="X108" s="927"/>
      <c r="Y108" s="927"/>
      <c r="Z108" s="927"/>
      <c r="AA108" s="927"/>
      <c r="AB108" s="927"/>
      <c r="AC108" s="927"/>
      <c r="AD108" s="927"/>
      <c r="AE108" s="927"/>
      <c r="AF108" s="927"/>
      <c r="AG108" s="927"/>
      <c r="AH108" s="927"/>
      <c r="AI108" s="927"/>
      <c r="AJ108" s="927"/>
      <c r="AK108" s="927"/>
    </row>
    <row r="109" spans="1:37" ht="13.5" customHeight="1" x14ac:dyDescent="0.2">
      <c r="L109" s="927"/>
      <c r="M109" s="927"/>
      <c r="N109" s="927"/>
      <c r="O109" s="927"/>
      <c r="P109" s="927"/>
      <c r="Q109" s="927"/>
      <c r="R109" s="927"/>
      <c r="S109" s="927"/>
      <c r="T109" s="927"/>
      <c r="U109" s="927"/>
      <c r="V109" s="927"/>
      <c r="W109" s="927"/>
      <c r="X109" s="927"/>
      <c r="Y109" s="927"/>
      <c r="Z109" s="927"/>
      <c r="AA109" s="927"/>
      <c r="AB109" s="927"/>
      <c r="AC109" s="927"/>
      <c r="AD109" s="927"/>
      <c r="AE109" s="927"/>
      <c r="AF109" s="927"/>
      <c r="AG109" s="927"/>
      <c r="AH109" s="927"/>
      <c r="AI109" s="927"/>
      <c r="AJ109" s="927"/>
      <c r="AK109" s="927"/>
    </row>
    <row r="110" spans="1:37" ht="13.5" customHeight="1" x14ac:dyDescent="0.2">
      <c r="L110" s="927"/>
      <c r="M110" s="927"/>
      <c r="N110" s="927"/>
      <c r="O110" s="927"/>
      <c r="P110" s="927"/>
      <c r="Q110" s="927"/>
      <c r="R110" s="927"/>
      <c r="S110" s="927"/>
      <c r="T110" s="927"/>
      <c r="U110" s="927"/>
      <c r="V110" s="927"/>
      <c r="W110" s="927"/>
      <c r="X110" s="927"/>
      <c r="Y110" s="927"/>
      <c r="Z110" s="927"/>
      <c r="AA110" s="927"/>
      <c r="AB110" s="927"/>
      <c r="AC110" s="927"/>
      <c r="AD110" s="927"/>
      <c r="AE110" s="927"/>
      <c r="AF110" s="927"/>
      <c r="AG110" s="927"/>
      <c r="AH110" s="927"/>
      <c r="AI110" s="927"/>
      <c r="AJ110" s="927"/>
      <c r="AK110" s="927"/>
    </row>
    <row r="111" spans="1:37" x14ac:dyDescent="0.2">
      <c r="B111" s="1046" t="s">
        <v>1044</v>
      </c>
      <c r="L111" s="927"/>
      <c r="M111" s="927"/>
      <c r="N111" s="927"/>
      <c r="O111" s="927"/>
      <c r="P111" s="927"/>
      <c r="Q111" s="927"/>
      <c r="R111" s="927"/>
      <c r="S111" s="927"/>
      <c r="T111" s="927"/>
      <c r="U111" s="927"/>
      <c r="V111" s="927"/>
      <c r="W111" s="927"/>
      <c r="X111" s="927"/>
      <c r="Y111" s="927"/>
      <c r="Z111" s="927"/>
      <c r="AA111" s="927"/>
      <c r="AB111" s="927"/>
      <c r="AC111" s="927"/>
      <c r="AD111" s="927"/>
      <c r="AE111" s="927"/>
      <c r="AF111" s="927"/>
      <c r="AG111" s="927"/>
      <c r="AH111" s="927"/>
      <c r="AI111" s="927"/>
      <c r="AJ111" s="927"/>
      <c r="AK111" s="927"/>
    </row>
    <row r="112" spans="1:37" x14ac:dyDescent="0.2">
      <c r="B112" s="926" t="s">
        <v>867</v>
      </c>
      <c r="C112" s="1078">
        <f>D112</f>
        <v>0</v>
      </c>
      <c r="D112" s="1078">
        <f>INDEX($D$102:$D$107,MATCH(B112,$B$102:$B$107,0))</f>
        <v>0</v>
      </c>
      <c r="E112" s="1078">
        <f>INDEX($E$102:$E$107,MATCH(B112,$B$102:$B$107,0))</f>
        <v>1309</v>
      </c>
      <c r="F112" s="1078">
        <f>E112</f>
        <v>1309</v>
      </c>
      <c r="H112" s="926">
        <v>0</v>
      </c>
      <c r="I112" s="1074">
        <f>INDEX($I$102:$I$107,MATCH(B112,$B$102:$B$107,0))</f>
        <v>0.58298616045382778</v>
      </c>
      <c r="J112" s="1074">
        <f>I112</f>
        <v>0.58298616045382778</v>
      </c>
      <c r="K112" s="926">
        <v>0</v>
      </c>
      <c r="L112" s="927"/>
      <c r="M112" s="927">
        <f>INDEX(M$102:M$107,MATCH($B112,$B$102:$B$107,0))</f>
        <v>0</v>
      </c>
      <c r="N112" s="927">
        <f t="shared" ref="N112:AJ117" si="15">INDEX(N$102:N$107,MATCH($B112,$B$102:$B$107,0))</f>
        <v>0.58298616045382778</v>
      </c>
      <c r="O112" s="927">
        <f t="shared" si="15"/>
        <v>0.58298616045382778</v>
      </c>
      <c r="P112" s="927">
        <f t="shared" si="15"/>
        <v>0</v>
      </c>
      <c r="Q112" s="927">
        <f t="shared" si="15"/>
        <v>0</v>
      </c>
      <c r="R112" s="927">
        <f t="shared" si="15"/>
        <v>0</v>
      </c>
      <c r="S112" s="927">
        <f t="shared" si="15"/>
        <v>0</v>
      </c>
      <c r="T112" s="927">
        <f t="shared" si="15"/>
        <v>0</v>
      </c>
      <c r="U112" s="927">
        <f t="shared" si="15"/>
        <v>0</v>
      </c>
      <c r="V112" s="927">
        <f t="shared" si="15"/>
        <v>0</v>
      </c>
      <c r="W112" s="927">
        <f t="shared" si="15"/>
        <v>0</v>
      </c>
      <c r="X112" s="927">
        <f t="shared" si="15"/>
        <v>0</v>
      </c>
      <c r="Y112" s="927">
        <f t="shared" si="15"/>
        <v>0</v>
      </c>
      <c r="Z112" s="927">
        <f t="shared" si="15"/>
        <v>0</v>
      </c>
      <c r="AA112" s="927">
        <f t="shared" si="15"/>
        <v>0</v>
      </c>
      <c r="AB112" s="927">
        <f t="shared" si="15"/>
        <v>0</v>
      </c>
      <c r="AC112" s="927">
        <f t="shared" si="15"/>
        <v>0</v>
      </c>
      <c r="AD112" s="927">
        <f t="shared" si="15"/>
        <v>0</v>
      </c>
      <c r="AE112" s="927">
        <f t="shared" si="15"/>
        <v>0</v>
      </c>
      <c r="AF112" s="927">
        <f t="shared" si="15"/>
        <v>0</v>
      </c>
      <c r="AG112" s="927">
        <f t="shared" si="15"/>
        <v>0</v>
      </c>
      <c r="AH112" s="927">
        <f t="shared" si="15"/>
        <v>0</v>
      </c>
      <c r="AI112" s="927">
        <f t="shared" si="15"/>
        <v>0</v>
      </c>
      <c r="AJ112" s="927">
        <f t="shared" si="15"/>
        <v>0</v>
      </c>
      <c r="AK112" s="927"/>
    </row>
    <row r="113" spans="2:37" x14ac:dyDescent="0.2">
      <c r="B113" s="926" t="s">
        <v>1028</v>
      </c>
      <c r="C113" s="1078">
        <f t="shared" ref="C113:C117" si="16">D113</f>
        <v>1309</v>
      </c>
      <c r="D113" s="1078">
        <f t="shared" ref="D113:D117" si="17">INDEX($D$102:$D$107,MATCH(B113,$B$102:$B$107,0))</f>
        <v>1309</v>
      </c>
      <c r="E113" s="1078">
        <f t="shared" ref="E113:E117" si="18">INDEX($E$102:$E$107,MATCH(B113,$B$102:$B$107,0))</f>
        <v>1547</v>
      </c>
      <c r="F113" s="1078">
        <f t="shared" ref="F113:F117" si="19">E113</f>
        <v>1547</v>
      </c>
      <c r="H113" s="926">
        <v>0</v>
      </c>
      <c r="I113" s="1074">
        <f t="shared" ref="I113:I117" si="20">INDEX($I$102:$I$107,MATCH(B113,$B$102:$B$107,0))</f>
        <v>0.80757698768326369</v>
      </c>
      <c r="J113" s="1074">
        <f t="shared" ref="J113:J117" si="21">I113</f>
        <v>0.80757698768326369</v>
      </c>
      <c r="K113" s="926">
        <v>0</v>
      </c>
      <c r="L113" s="927"/>
      <c r="M113" s="927">
        <f t="shared" ref="M113:AB117" si="22">INDEX(M$102:M$107,MATCH($B113,$B$102:$B$107,0))</f>
        <v>0</v>
      </c>
      <c r="N113" s="927">
        <f t="shared" si="22"/>
        <v>0</v>
      </c>
      <c r="O113" s="927">
        <f t="shared" si="22"/>
        <v>0</v>
      </c>
      <c r="P113" s="927">
        <f t="shared" si="22"/>
        <v>0</v>
      </c>
      <c r="Q113" s="927">
        <f t="shared" si="22"/>
        <v>0</v>
      </c>
      <c r="R113" s="927">
        <f t="shared" si="22"/>
        <v>0.80757698768326369</v>
      </c>
      <c r="S113" s="927">
        <f t="shared" si="22"/>
        <v>0.80757698768326369</v>
      </c>
      <c r="T113" s="927">
        <f t="shared" si="22"/>
        <v>0</v>
      </c>
      <c r="U113" s="927">
        <f t="shared" si="22"/>
        <v>0</v>
      </c>
      <c r="V113" s="927">
        <f t="shared" si="22"/>
        <v>0</v>
      </c>
      <c r="W113" s="927">
        <f t="shared" si="22"/>
        <v>0</v>
      </c>
      <c r="X113" s="927">
        <f t="shared" si="22"/>
        <v>0</v>
      </c>
      <c r="Y113" s="927">
        <f t="shared" si="22"/>
        <v>0</v>
      </c>
      <c r="Z113" s="927">
        <f t="shared" si="22"/>
        <v>0</v>
      </c>
      <c r="AA113" s="927">
        <f t="shared" si="22"/>
        <v>0</v>
      </c>
      <c r="AB113" s="927">
        <f t="shared" si="22"/>
        <v>0</v>
      </c>
      <c r="AC113" s="927">
        <f t="shared" si="15"/>
        <v>0</v>
      </c>
      <c r="AD113" s="927">
        <f t="shared" si="15"/>
        <v>0</v>
      </c>
      <c r="AE113" s="927">
        <f t="shared" si="15"/>
        <v>0</v>
      </c>
      <c r="AF113" s="927">
        <f t="shared" si="15"/>
        <v>0</v>
      </c>
      <c r="AG113" s="927">
        <f t="shared" si="15"/>
        <v>0</v>
      </c>
      <c r="AH113" s="927">
        <f t="shared" si="15"/>
        <v>0</v>
      </c>
      <c r="AI113" s="927">
        <f t="shared" si="15"/>
        <v>0</v>
      </c>
      <c r="AJ113" s="927">
        <f t="shared" si="15"/>
        <v>0</v>
      </c>
      <c r="AK113" s="927"/>
    </row>
    <row r="114" spans="2:37" x14ac:dyDescent="0.2">
      <c r="B114" s="926" t="s">
        <v>1029</v>
      </c>
      <c r="C114" s="1078">
        <f t="shared" si="16"/>
        <v>1547</v>
      </c>
      <c r="D114" s="1078">
        <f t="shared" si="17"/>
        <v>1547</v>
      </c>
      <c r="E114" s="1078">
        <f t="shared" si="18"/>
        <v>1773</v>
      </c>
      <c r="F114" s="1078">
        <f t="shared" si="19"/>
        <v>1773</v>
      </c>
      <c r="H114" s="926">
        <v>0</v>
      </c>
      <c r="I114" s="1074">
        <f t="shared" si="20"/>
        <v>0.82154056346418547</v>
      </c>
      <c r="J114" s="1074">
        <f t="shared" si="21"/>
        <v>0.82154056346418547</v>
      </c>
      <c r="K114" s="926">
        <v>0</v>
      </c>
      <c r="L114" s="927"/>
      <c r="M114" s="927">
        <f t="shared" si="22"/>
        <v>0</v>
      </c>
      <c r="N114" s="927">
        <f t="shared" si="15"/>
        <v>0</v>
      </c>
      <c r="O114" s="927">
        <f t="shared" si="15"/>
        <v>0</v>
      </c>
      <c r="P114" s="927">
        <f t="shared" si="15"/>
        <v>0</v>
      </c>
      <c r="Q114" s="927">
        <f t="shared" si="15"/>
        <v>0</v>
      </c>
      <c r="R114" s="927">
        <f t="shared" si="15"/>
        <v>0</v>
      </c>
      <c r="S114" s="927">
        <f t="shared" si="15"/>
        <v>0</v>
      </c>
      <c r="T114" s="927">
        <f t="shared" si="15"/>
        <v>0</v>
      </c>
      <c r="U114" s="927">
        <f t="shared" si="15"/>
        <v>0</v>
      </c>
      <c r="V114" s="927">
        <f t="shared" si="15"/>
        <v>0.82154056346418547</v>
      </c>
      <c r="W114" s="927">
        <f t="shared" si="15"/>
        <v>0.82154056346418547</v>
      </c>
      <c r="X114" s="927">
        <f t="shared" si="15"/>
        <v>0</v>
      </c>
      <c r="Y114" s="927">
        <f t="shared" si="15"/>
        <v>0</v>
      </c>
      <c r="Z114" s="927">
        <f t="shared" si="15"/>
        <v>0</v>
      </c>
      <c r="AA114" s="927">
        <f t="shared" si="15"/>
        <v>0</v>
      </c>
      <c r="AB114" s="927">
        <f t="shared" si="15"/>
        <v>0</v>
      </c>
      <c r="AC114" s="927">
        <f t="shared" si="15"/>
        <v>0</v>
      </c>
      <c r="AD114" s="927">
        <f t="shared" si="15"/>
        <v>0</v>
      </c>
      <c r="AE114" s="927">
        <f t="shared" si="15"/>
        <v>0</v>
      </c>
      <c r="AF114" s="927">
        <f t="shared" si="15"/>
        <v>0</v>
      </c>
      <c r="AG114" s="927">
        <f t="shared" si="15"/>
        <v>0</v>
      </c>
      <c r="AH114" s="927">
        <f t="shared" si="15"/>
        <v>0</v>
      </c>
      <c r="AI114" s="927">
        <f t="shared" si="15"/>
        <v>0</v>
      </c>
      <c r="AJ114" s="927">
        <f t="shared" si="15"/>
        <v>0</v>
      </c>
      <c r="AK114" s="927"/>
    </row>
    <row r="115" spans="2:37" x14ac:dyDescent="0.2">
      <c r="B115" s="926" t="s">
        <v>1032</v>
      </c>
      <c r="C115" s="1078">
        <f t="shared" si="16"/>
        <v>1773</v>
      </c>
      <c r="D115" s="1078">
        <f t="shared" si="17"/>
        <v>1773</v>
      </c>
      <c r="E115" s="1078">
        <f t="shared" si="18"/>
        <v>2643</v>
      </c>
      <c r="F115" s="1078">
        <f t="shared" si="19"/>
        <v>2643</v>
      </c>
      <c r="H115" s="926">
        <v>0</v>
      </c>
      <c r="I115" s="1074">
        <f t="shared" si="20"/>
        <v>0.90413120087724164</v>
      </c>
      <c r="J115" s="1074">
        <f t="shared" si="21"/>
        <v>0.90413120087724164</v>
      </c>
      <c r="K115" s="926">
        <v>0</v>
      </c>
      <c r="L115" s="927"/>
      <c r="M115" s="927">
        <f t="shared" si="22"/>
        <v>0</v>
      </c>
      <c r="N115" s="927">
        <f t="shared" si="15"/>
        <v>0</v>
      </c>
      <c r="O115" s="927">
        <f t="shared" si="15"/>
        <v>0</v>
      </c>
      <c r="P115" s="927">
        <f t="shared" si="15"/>
        <v>0</v>
      </c>
      <c r="Q115" s="927">
        <f t="shared" si="15"/>
        <v>0</v>
      </c>
      <c r="R115" s="927">
        <f t="shared" si="15"/>
        <v>0</v>
      </c>
      <c r="S115" s="927">
        <f t="shared" si="15"/>
        <v>0</v>
      </c>
      <c r="T115" s="927">
        <f t="shared" si="15"/>
        <v>0</v>
      </c>
      <c r="U115" s="927">
        <f t="shared" si="15"/>
        <v>0</v>
      </c>
      <c r="V115" s="927">
        <f t="shared" si="15"/>
        <v>0</v>
      </c>
      <c r="W115" s="927">
        <f t="shared" si="15"/>
        <v>0</v>
      </c>
      <c r="X115" s="927">
        <f t="shared" si="15"/>
        <v>0</v>
      </c>
      <c r="Y115" s="927">
        <f t="shared" si="15"/>
        <v>0</v>
      </c>
      <c r="Z115" s="927">
        <f t="shared" si="15"/>
        <v>0.90413120087724164</v>
      </c>
      <c r="AA115" s="927">
        <f t="shared" si="15"/>
        <v>0.90413120087724164</v>
      </c>
      <c r="AB115" s="927">
        <f t="shared" si="15"/>
        <v>0</v>
      </c>
      <c r="AC115" s="927">
        <f t="shared" si="15"/>
        <v>0</v>
      </c>
      <c r="AD115" s="927">
        <f t="shared" si="15"/>
        <v>0</v>
      </c>
      <c r="AE115" s="927">
        <f t="shared" si="15"/>
        <v>0</v>
      </c>
      <c r="AF115" s="927">
        <f t="shared" si="15"/>
        <v>0</v>
      </c>
      <c r="AG115" s="927">
        <f t="shared" si="15"/>
        <v>0</v>
      </c>
      <c r="AH115" s="927">
        <f t="shared" si="15"/>
        <v>0</v>
      </c>
      <c r="AI115" s="927">
        <f t="shared" si="15"/>
        <v>0</v>
      </c>
      <c r="AJ115" s="927">
        <f t="shared" si="15"/>
        <v>0</v>
      </c>
      <c r="AK115" s="927"/>
    </row>
    <row r="116" spans="2:37" x14ac:dyDescent="0.2">
      <c r="B116" s="926" t="s">
        <v>1031</v>
      </c>
      <c r="C116" s="1078">
        <f t="shared" si="16"/>
        <v>2643</v>
      </c>
      <c r="D116" s="1078">
        <f t="shared" si="17"/>
        <v>2643</v>
      </c>
      <c r="E116" s="1078">
        <f t="shared" si="18"/>
        <v>3288</v>
      </c>
      <c r="F116" s="1078">
        <f t="shared" si="19"/>
        <v>3288</v>
      </c>
      <c r="H116" s="926">
        <v>0</v>
      </c>
      <c r="I116" s="1074">
        <f t="shared" si="20"/>
        <v>0.95476238601303987</v>
      </c>
      <c r="J116" s="1074">
        <f t="shared" si="21"/>
        <v>0.95476238601303987</v>
      </c>
      <c r="K116" s="926">
        <v>0</v>
      </c>
      <c r="L116" s="927"/>
      <c r="M116" s="927">
        <f t="shared" si="22"/>
        <v>0</v>
      </c>
      <c r="N116" s="927">
        <f t="shared" si="15"/>
        <v>0</v>
      </c>
      <c r="O116" s="927">
        <f t="shared" si="15"/>
        <v>0</v>
      </c>
      <c r="P116" s="927">
        <f t="shared" si="15"/>
        <v>0</v>
      </c>
      <c r="Q116" s="927">
        <f t="shared" si="15"/>
        <v>0</v>
      </c>
      <c r="R116" s="927">
        <f t="shared" si="15"/>
        <v>0</v>
      </c>
      <c r="S116" s="927">
        <f t="shared" si="15"/>
        <v>0</v>
      </c>
      <c r="T116" s="927">
        <f t="shared" si="15"/>
        <v>0</v>
      </c>
      <c r="U116" s="927">
        <f t="shared" si="15"/>
        <v>0</v>
      </c>
      <c r="V116" s="927">
        <f t="shared" si="15"/>
        <v>0</v>
      </c>
      <c r="W116" s="927">
        <f t="shared" si="15"/>
        <v>0</v>
      </c>
      <c r="X116" s="927">
        <f t="shared" si="15"/>
        <v>0</v>
      </c>
      <c r="Y116" s="927">
        <f t="shared" si="15"/>
        <v>0</v>
      </c>
      <c r="Z116" s="927">
        <f t="shared" si="15"/>
        <v>0</v>
      </c>
      <c r="AA116" s="927">
        <f t="shared" si="15"/>
        <v>0</v>
      </c>
      <c r="AB116" s="927">
        <f t="shared" si="15"/>
        <v>0</v>
      </c>
      <c r="AC116" s="927">
        <f t="shared" si="15"/>
        <v>0</v>
      </c>
      <c r="AD116" s="927">
        <f t="shared" si="15"/>
        <v>0.95476238601303987</v>
      </c>
      <c r="AE116" s="927">
        <f t="shared" si="15"/>
        <v>0.95476238601303987</v>
      </c>
      <c r="AF116" s="927">
        <f t="shared" si="15"/>
        <v>0</v>
      </c>
      <c r="AG116" s="927">
        <f t="shared" si="15"/>
        <v>0</v>
      </c>
      <c r="AH116" s="927">
        <f t="shared" si="15"/>
        <v>0</v>
      </c>
      <c r="AI116" s="927">
        <f t="shared" si="15"/>
        <v>0</v>
      </c>
      <c r="AJ116" s="927">
        <f t="shared" si="15"/>
        <v>0</v>
      </c>
      <c r="AK116" s="927"/>
    </row>
    <row r="117" spans="2:37" x14ac:dyDescent="0.2">
      <c r="B117" s="926" t="s">
        <v>1030</v>
      </c>
      <c r="C117" s="1078">
        <f t="shared" si="16"/>
        <v>3288</v>
      </c>
      <c r="D117" s="1078">
        <f t="shared" si="17"/>
        <v>3288</v>
      </c>
      <c r="E117" s="1078">
        <f t="shared" si="18"/>
        <v>4214</v>
      </c>
      <c r="F117" s="1078">
        <f t="shared" si="19"/>
        <v>4214</v>
      </c>
      <c r="H117" s="926">
        <v>0</v>
      </c>
      <c r="I117" s="1074">
        <f t="shared" si="20"/>
        <v>0.9669703255747959</v>
      </c>
      <c r="J117" s="1074">
        <f t="shared" si="21"/>
        <v>0.9669703255747959</v>
      </c>
      <c r="K117" s="926">
        <v>0</v>
      </c>
      <c r="L117" s="927"/>
      <c r="M117" s="927">
        <f t="shared" si="22"/>
        <v>0</v>
      </c>
      <c r="N117" s="927">
        <f t="shared" si="15"/>
        <v>0</v>
      </c>
      <c r="O117" s="927">
        <f t="shared" si="15"/>
        <v>0</v>
      </c>
      <c r="P117" s="927">
        <f t="shared" si="15"/>
        <v>0</v>
      </c>
      <c r="Q117" s="927">
        <f t="shared" si="15"/>
        <v>0</v>
      </c>
      <c r="R117" s="927">
        <f t="shared" si="15"/>
        <v>0</v>
      </c>
      <c r="S117" s="927">
        <f t="shared" si="15"/>
        <v>0</v>
      </c>
      <c r="T117" s="927">
        <f t="shared" si="15"/>
        <v>0</v>
      </c>
      <c r="U117" s="927">
        <f t="shared" si="15"/>
        <v>0</v>
      </c>
      <c r="V117" s="927">
        <f t="shared" si="15"/>
        <v>0</v>
      </c>
      <c r="W117" s="927">
        <f t="shared" si="15"/>
        <v>0</v>
      </c>
      <c r="X117" s="927">
        <f t="shared" si="15"/>
        <v>0</v>
      </c>
      <c r="Y117" s="927">
        <f t="shared" si="15"/>
        <v>0</v>
      </c>
      <c r="Z117" s="927">
        <f t="shared" si="15"/>
        <v>0</v>
      </c>
      <c r="AA117" s="927">
        <f t="shared" si="15"/>
        <v>0</v>
      </c>
      <c r="AB117" s="927">
        <f t="shared" si="15"/>
        <v>0</v>
      </c>
      <c r="AC117" s="927">
        <f t="shared" si="15"/>
        <v>0</v>
      </c>
      <c r="AD117" s="927">
        <f t="shared" si="15"/>
        <v>0</v>
      </c>
      <c r="AE117" s="927">
        <f t="shared" si="15"/>
        <v>0</v>
      </c>
      <c r="AF117" s="927">
        <f t="shared" si="15"/>
        <v>0</v>
      </c>
      <c r="AG117" s="927">
        <f t="shared" si="15"/>
        <v>0</v>
      </c>
      <c r="AH117" s="927">
        <f t="shared" si="15"/>
        <v>0.9669703255747959</v>
      </c>
      <c r="AI117" s="927">
        <f t="shared" si="15"/>
        <v>0.9669703255747959</v>
      </c>
      <c r="AJ117" s="927">
        <f t="shared" si="15"/>
        <v>0</v>
      </c>
      <c r="AK117" s="927"/>
    </row>
    <row r="118" spans="2:37" x14ac:dyDescent="0.2">
      <c r="L118" s="927"/>
      <c r="M118" s="927"/>
      <c r="N118" s="927"/>
    </row>
    <row r="119" spans="2:37" x14ac:dyDescent="0.2">
      <c r="L119" s="927"/>
      <c r="M119" s="1583">
        <v>4000</v>
      </c>
      <c r="N119" s="927"/>
    </row>
    <row r="120" spans="2:37" x14ac:dyDescent="0.2">
      <c r="L120" s="927"/>
      <c r="M120" s="927"/>
      <c r="N120" s="927"/>
    </row>
    <row r="121" spans="2:37" x14ac:dyDescent="0.2">
      <c r="L121" s="927"/>
      <c r="M121" s="927"/>
      <c r="N121" s="927"/>
    </row>
    <row r="122" spans="2:37" x14ac:dyDescent="0.2">
      <c r="L122" s="927"/>
      <c r="M122" s="927"/>
      <c r="N122" s="927"/>
    </row>
    <row r="123" spans="2:37" x14ac:dyDescent="0.2">
      <c r="C123" s="926" t="s">
        <v>814</v>
      </c>
      <c r="L123" s="927"/>
      <c r="M123" s="927"/>
      <c r="N123" s="927"/>
    </row>
    <row r="124" spans="2:37" x14ac:dyDescent="0.2">
      <c r="D124" s="926" t="s">
        <v>815</v>
      </c>
      <c r="E124" s="926" t="s">
        <v>816</v>
      </c>
      <c r="F124" s="926" t="s">
        <v>817</v>
      </c>
      <c r="G124" s="926" t="s">
        <v>820</v>
      </c>
      <c r="L124" s="927"/>
      <c r="M124" s="1584"/>
      <c r="N124" s="1584"/>
      <c r="O124" s="1078"/>
      <c r="P124" s="1078"/>
      <c r="Q124" s="1078"/>
      <c r="R124" s="1078"/>
      <c r="S124" s="1078"/>
      <c r="T124" s="1078"/>
      <c r="U124" s="1078"/>
      <c r="V124" s="1078"/>
      <c r="W124" s="1078"/>
      <c r="X124" s="1078"/>
      <c r="Y124" s="1078"/>
      <c r="Z124" s="1078"/>
      <c r="AA124" s="1078"/>
      <c r="AB124" s="1078"/>
      <c r="AC124" s="1078"/>
      <c r="AD124" s="1078"/>
      <c r="AE124" s="1078"/>
      <c r="AF124" s="1078"/>
    </row>
    <row r="125" spans="2:37" x14ac:dyDescent="0.2">
      <c r="B125" s="1064" t="str">
        <f>B112</f>
        <v>Wheat Standalone (Starch)</v>
      </c>
      <c r="C125" s="979" t="s">
        <v>818</v>
      </c>
      <c r="D125" s="979">
        <v>0</v>
      </c>
      <c r="E125" s="979">
        <v>0</v>
      </c>
      <c r="F125" s="1542">
        <f>+E102</f>
        <v>1309</v>
      </c>
      <c r="G125" s="1543">
        <f>+E102</f>
        <v>1309</v>
      </c>
      <c r="L125" s="927"/>
      <c r="M125" s="927"/>
      <c r="N125" s="927"/>
    </row>
    <row r="126" spans="2:37" x14ac:dyDescent="0.2">
      <c r="B126" s="1064"/>
      <c r="C126" s="979" t="s">
        <v>819</v>
      </c>
      <c r="D126" s="979">
        <v>0</v>
      </c>
      <c r="E126" s="1542">
        <f>I112</f>
        <v>0.58298616045382778</v>
      </c>
      <c r="F126" s="1544">
        <f>+D92</f>
        <v>0.58298616045382778</v>
      </c>
      <c r="G126" s="979">
        <v>0</v>
      </c>
      <c r="L126" s="927"/>
      <c r="M126" s="927"/>
      <c r="N126" s="927"/>
    </row>
    <row r="127" spans="2:37" x14ac:dyDescent="0.2">
      <c r="B127" s="1010" t="str">
        <f>B113</f>
        <v>C-Syrup 
(Sucrosic)</v>
      </c>
      <c r="C127" s="926" t="s">
        <v>818</v>
      </c>
      <c r="D127" s="1078">
        <f t="shared" ref="D127:D136" si="23">+G125</f>
        <v>1309</v>
      </c>
      <c r="E127" s="1078">
        <f>+D127</f>
        <v>1309</v>
      </c>
      <c r="F127" s="1078">
        <f>+E103</f>
        <v>1547</v>
      </c>
      <c r="G127" s="1078">
        <f>+F127</f>
        <v>1547</v>
      </c>
      <c r="L127" s="927"/>
      <c r="M127" s="927"/>
      <c r="N127" s="927"/>
    </row>
    <row r="128" spans="2:37" x14ac:dyDescent="0.2">
      <c r="B128" s="1010"/>
      <c r="C128" s="926" t="s">
        <v>819</v>
      </c>
      <c r="D128" s="926">
        <f t="shared" si="23"/>
        <v>0</v>
      </c>
      <c r="E128" s="1074">
        <f>I113</f>
        <v>0.80757698768326369</v>
      </c>
      <c r="F128" s="1074">
        <f>+E128</f>
        <v>0.80757698768326369</v>
      </c>
      <c r="G128" s="926">
        <v>0</v>
      </c>
      <c r="L128" s="927"/>
      <c r="M128" s="927"/>
      <c r="N128" s="927"/>
    </row>
    <row r="129" spans="2:14" x14ac:dyDescent="0.2">
      <c r="B129" s="1064" t="str">
        <f>B114</f>
        <v>Sorghum 
(Starch)</v>
      </c>
      <c r="C129" s="979" t="s">
        <v>818</v>
      </c>
      <c r="D129" s="1543">
        <f t="shared" si="23"/>
        <v>1547</v>
      </c>
      <c r="E129" s="1543">
        <f>+D129</f>
        <v>1547</v>
      </c>
      <c r="F129" s="1543">
        <f>+E104</f>
        <v>1773</v>
      </c>
      <c r="G129" s="1543">
        <f>+F129</f>
        <v>1773</v>
      </c>
      <c r="L129" s="927"/>
      <c r="M129" s="927"/>
      <c r="N129" s="927"/>
    </row>
    <row r="130" spans="2:14" x14ac:dyDescent="0.2">
      <c r="B130" s="1064"/>
      <c r="C130" s="979" t="s">
        <v>819</v>
      </c>
      <c r="D130" s="979">
        <f t="shared" si="23"/>
        <v>0</v>
      </c>
      <c r="E130" s="1542">
        <f>I114</f>
        <v>0.82154056346418547</v>
      </c>
      <c r="F130" s="1542">
        <f>+E130</f>
        <v>0.82154056346418547</v>
      </c>
      <c r="G130" s="979">
        <v>0</v>
      </c>
      <c r="L130" s="927"/>
      <c r="M130" s="927"/>
      <c r="N130" s="927"/>
    </row>
    <row r="131" spans="2:14" x14ac:dyDescent="0.2">
      <c r="B131" s="1010" t="str">
        <f>B115</f>
        <v>Cane Trash 
(Cellulosic)</v>
      </c>
      <c r="C131" s="926" t="s">
        <v>818</v>
      </c>
      <c r="D131" s="1078">
        <f t="shared" si="23"/>
        <v>1773</v>
      </c>
      <c r="E131" s="1078">
        <f>+D131</f>
        <v>1773</v>
      </c>
      <c r="F131" s="1078">
        <f>+E105</f>
        <v>2643</v>
      </c>
      <c r="G131" s="1078">
        <f>+F131</f>
        <v>2643</v>
      </c>
      <c r="L131" s="927"/>
      <c r="M131" s="927"/>
      <c r="N131" s="927"/>
    </row>
    <row r="132" spans="2:14" x14ac:dyDescent="0.2">
      <c r="C132" s="926" t="s">
        <v>819</v>
      </c>
      <c r="D132" s="926">
        <f t="shared" si="23"/>
        <v>0</v>
      </c>
      <c r="E132" s="1074">
        <f>I115</f>
        <v>0.90413120087724164</v>
      </c>
      <c r="F132" s="1074">
        <f>+E132</f>
        <v>0.90413120087724164</v>
      </c>
      <c r="G132" s="926">
        <v>0</v>
      </c>
      <c r="L132" s="927"/>
      <c r="M132" s="927"/>
      <c r="N132" s="927"/>
    </row>
    <row r="133" spans="2:14" x14ac:dyDescent="0.2">
      <c r="B133" s="1064" t="str">
        <f>B116</f>
        <v>B-Syrup 
(Sucrosic)</v>
      </c>
      <c r="C133" s="979" t="s">
        <v>818</v>
      </c>
      <c r="D133" s="1543">
        <f t="shared" si="23"/>
        <v>2643</v>
      </c>
      <c r="E133" s="1543">
        <f>+D133</f>
        <v>2643</v>
      </c>
      <c r="F133" s="1543">
        <f>+E106</f>
        <v>3288</v>
      </c>
      <c r="G133" s="1543">
        <f>+F133</f>
        <v>3288</v>
      </c>
      <c r="L133" s="927"/>
      <c r="M133" s="927"/>
      <c r="N133" s="927"/>
    </row>
    <row r="134" spans="2:14" x14ac:dyDescent="0.2">
      <c r="B134" s="979"/>
      <c r="C134" s="979" t="s">
        <v>819</v>
      </c>
      <c r="D134" s="979">
        <f t="shared" si="23"/>
        <v>0</v>
      </c>
      <c r="E134" s="1542">
        <f>I116</f>
        <v>0.95476238601303987</v>
      </c>
      <c r="F134" s="1542">
        <f>+E134</f>
        <v>0.95476238601303987</v>
      </c>
      <c r="G134" s="979">
        <v>0</v>
      </c>
      <c r="L134" s="927"/>
      <c r="M134" s="927"/>
      <c r="N134" s="927"/>
    </row>
    <row r="135" spans="2:14" x14ac:dyDescent="0.2">
      <c r="B135" s="1010" t="str">
        <f>B117</f>
        <v>Forest Residues 
(Cellulosic)</v>
      </c>
      <c r="C135" s="926" t="s">
        <v>818</v>
      </c>
      <c r="D135" s="1078">
        <f t="shared" si="23"/>
        <v>3288</v>
      </c>
      <c r="E135" s="1078">
        <f>+D135</f>
        <v>3288</v>
      </c>
      <c r="F135" s="1078">
        <f>+E107</f>
        <v>4214</v>
      </c>
      <c r="G135" s="1078">
        <f>+F135</f>
        <v>4214</v>
      </c>
      <c r="L135" s="927"/>
      <c r="M135" s="927"/>
      <c r="N135" s="927"/>
    </row>
    <row r="136" spans="2:14" x14ac:dyDescent="0.2">
      <c r="C136" s="926" t="s">
        <v>819</v>
      </c>
      <c r="D136" s="926">
        <f t="shared" si="23"/>
        <v>0</v>
      </c>
      <c r="E136" s="1074">
        <f>I117</f>
        <v>0.9669703255747959</v>
      </c>
      <c r="F136" s="1074">
        <f>+E136</f>
        <v>0.9669703255747959</v>
      </c>
      <c r="G136" s="926">
        <v>0</v>
      </c>
      <c r="L136" s="927"/>
      <c r="M136" s="927"/>
      <c r="N136" s="927"/>
    </row>
    <row r="137" spans="2:14" x14ac:dyDescent="0.2">
      <c r="L137" s="927"/>
      <c r="M137" s="927"/>
      <c r="N137" s="927"/>
    </row>
    <row r="138" spans="2:14" x14ac:dyDescent="0.2">
      <c r="L138" s="927"/>
      <c r="M138" s="927"/>
      <c r="N138" s="927"/>
    </row>
    <row r="139" spans="2:14" x14ac:dyDescent="0.2">
      <c r="B139" s="1046" t="s">
        <v>1045</v>
      </c>
      <c r="L139" s="927"/>
      <c r="M139" s="927"/>
      <c r="N139" s="927"/>
    </row>
    <row r="140" spans="2:14" x14ac:dyDescent="0.2">
      <c r="D140" s="926" t="str">
        <f>E140</f>
        <v>X Location</v>
      </c>
      <c r="E140" s="926" t="s">
        <v>1025</v>
      </c>
      <c r="F140" s="926" t="s">
        <v>1026</v>
      </c>
      <c r="G140" s="926" t="s">
        <v>1027</v>
      </c>
      <c r="L140" s="927"/>
      <c r="M140" s="927"/>
      <c r="N140" s="927"/>
    </row>
    <row r="141" spans="2:14" x14ac:dyDescent="0.2">
      <c r="B141" s="926" t="str">
        <f t="shared" ref="B141:B146" si="24">B112</f>
        <v>Wheat Standalone (Starch)</v>
      </c>
      <c r="D141" s="926">
        <f t="shared" ref="D141:D146" si="25">E141</f>
        <v>654.5</v>
      </c>
      <c r="E141" s="1541">
        <f t="shared" ref="E141:E146" si="26">(D112+E112)/2</f>
        <v>654.5</v>
      </c>
      <c r="F141" s="926">
        <v>1</v>
      </c>
      <c r="G141" s="926">
        <f t="shared" ref="G141:G146" si="27">F141*I112</f>
        <v>0.58298616045382778</v>
      </c>
      <c r="L141" s="927"/>
      <c r="M141" s="927"/>
      <c r="N141" s="927"/>
    </row>
    <row r="142" spans="2:14" x14ac:dyDescent="0.2">
      <c r="B142" s="926" t="str">
        <f t="shared" si="24"/>
        <v>C-Syrup 
(Sucrosic)</v>
      </c>
      <c r="D142" s="926">
        <f t="shared" si="25"/>
        <v>1428</v>
      </c>
      <c r="E142" s="1541">
        <f t="shared" si="26"/>
        <v>1428</v>
      </c>
      <c r="F142" s="926">
        <v>0.7</v>
      </c>
      <c r="G142" s="926">
        <f t="shared" si="27"/>
        <v>0.56530389137828452</v>
      </c>
      <c r="L142" s="927"/>
      <c r="M142" s="927"/>
      <c r="N142" s="927"/>
    </row>
    <row r="143" spans="2:14" x14ac:dyDescent="0.2">
      <c r="B143" s="926" t="str">
        <f t="shared" si="24"/>
        <v>Sorghum 
(Starch)</v>
      </c>
      <c r="D143" s="926">
        <f t="shared" si="25"/>
        <v>1660</v>
      </c>
      <c r="E143" s="1541">
        <f t="shared" si="26"/>
        <v>1660</v>
      </c>
      <c r="F143" s="926">
        <v>0.5</v>
      </c>
      <c r="G143" s="926">
        <f t="shared" si="27"/>
        <v>0.41077028173209273</v>
      </c>
      <c r="L143" s="927"/>
      <c r="M143" s="927"/>
      <c r="N143" s="927"/>
    </row>
    <row r="144" spans="2:14" x14ac:dyDescent="0.2">
      <c r="B144" s="926" t="str">
        <f t="shared" si="24"/>
        <v>Cane Trash 
(Cellulosic)</v>
      </c>
      <c r="D144" s="926">
        <f t="shared" si="25"/>
        <v>2208</v>
      </c>
      <c r="E144" s="1541">
        <f t="shared" si="26"/>
        <v>2208</v>
      </c>
      <c r="F144" s="926">
        <v>1</v>
      </c>
      <c r="G144" s="926">
        <f t="shared" si="27"/>
        <v>0.90413120087724164</v>
      </c>
    </row>
    <row r="145" spans="2:7" x14ac:dyDescent="0.2">
      <c r="B145" s="926" t="str">
        <f t="shared" si="24"/>
        <v>B-Syrup 
(Sucrosic)</v>
      </c>
      <c r="D145" s="926">
        <f t="shared" si="25"/>
        <v>2965.5</v>
      </c>
      <c r="E145" s="1541">
        <f t="shared" si="26"/>
        <v>2965.5</v>
      </c>
      <c r="F145" s="926">
        <v>1</v>
      </c>
      <c r="G145" s="926">
        <f t="shared" si="27"/>
        <v>0.95476238601303987</v>
      </c>
    </row>
    <row r="146" spans="2:7" x14ac:dyDescent="0.2">
      <c r="B146" s="926" t="str">
        <f t="shared" si="24"/>
        <v>Forest Residues 
(Cellulosic)</v>
      </c>
      <c r="D146" s="926">
        <f t="shared" si="25"/>
        <v>3751</v>
      </c>
      <c r="E146" s="1541">
        <f t="shared" si="26"/>
        <v>3751</v>
      </c>
      <c r="F146" s="926">
        <v>1</v>
      </c>
      <c r="G146" s="926">
        <f t="shared" si="27"/>
        <v>0.9669703255747959</v>
      </c>
    </row>
  </sheetData>
  <sheetProtection password="C82C" sheet="1" objects="1" scenarios="1" selectLockedCells="1"/>
  <mergeCells count="2">
    <mergeCell ref="H101:K101"/>
    <mergeCell ref="C101:F10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N193"/>
  <sheetViews>
    <sheetView showGridLines="0" zoomScaleNormal="100" workbookViewId="0">
      <selection activeCell="J2" sqref="J2"/>
    </sheetView>
  </sheetViews>
  <sheetFormatPr defaultRowHeight="12.75" x14ac:dyDescent="0.2"/>
  <cols>
    <col min="1" max="1" width="1.7109375" style="926" customWidth="1"/>
    <col min="2" max="3" width="1.7109375" style="927" customWidth="1"/>
    <col min="4" max="4" width="32.7109375" style="926" customWidth="1"/>
    <col min="5" max="11" width="17.7109375" style="926" customWidth="1"/>
    <col min="12" max="12" width="16" style="926" customWidth="1"/>
    <col min="13" max="16384" width="9.140625" style="926"/>
  </cols>
  <sheetData>
    <row r="1" spans="2:14" ht="15.75" x14ac:dyDescent="0.25">
      <c r="C1" s="1129"/>
      <c r="D1" s="1130" t="s">
        <v>769</v>
      </c>
      <c r="F1" s="1607" t="s">
        <v>24</v>
      </c>
      <c r="G1" s="1607"/>
      <c r="H1" s="1607"/>
      <c r="I1" s="1607"/>
    </row>
    <row r="2" spans="2:14" ht="15.75" x14ac:dyDescent="0.25">
      <c r="C2" s="1129"/>
      <c r="F2" s="922"/>
      <c r="G2" s="1131">
        <f>Assumptions!$C$5</f>
        <v>100</v>
      </c>
      <c r="H2" s="1132" t="s">
        <v>339</v>
      </c>
      <c r="I2" s="922"/>
    </row>
    <row r="3" spans="2:14" ht="9.75" customHeight="1" x14ac:dyDescent="0.25">
      <c r="C3" s="1129"/>
    </row>
    <row r="4" spans="2:14" x14ac:dyDescent="0.2">
      <c r="D4" s="1133" t="s">
        <v>823</v>
      </c>
    </row>
    <row r="5" spans="2:14" ht="24" customHeight="1" x14ac:dyDescent="0.2">
      <c r="D5" s="987"/>
      <c r="E5" s="1134" t="str">
        <f>'Costs per L'!E183</f>
        <v>Wheat Standalone (Starch)</v>
      </c>
      <c r="F5" s="1134" t="str">
        <f>'Costs per L'!E38</f>
        <v>Wheat Integrated (Starch)</v>
      </c>
      <c r="G5" s="1134" t="str">
        <f>'Costs per L'!E154</f>
        <v>Imported Starch</v>
      </c>
      <c r="H5" s="1134" t="str">
        <f>'Costs per L'!E96</f>
        <v>Sorghum (Starch)</v>
      </c>
      <c r="I5" s="1134" t="str">
        <f>'Costs per L'!E10</f>
        <v>C-Syrup (Sucrosic)</v>
      </c>
      <c r="J5" s="1134" t="str">
        <f>'Costs per L'!E66</f>
        <v>B-Syrup (Sucrosic)</v>
      </c>
      <c r="K5" s="1134" t="str">
        <f>'Costs per L'!E213</f>
        <v>Cane trash (Cellulosic)</v>
      </c>
      <c r="L5" s="1134" t="str">
        <f>'Costs per L'!E125</f>
        <v>Forest Residues (Cellulosic)</v>
      </c>
      <c r="N5" s="1135"/>
    </row>
    <row r="6" spans="2:14" x14ac:dyDescent="0.2">
      <c r="D6" s="1136" t="s">
        <v>285</v>
      </c>
      <c r="E6" s="1073">
        <f>INDEX('Costs per L'!$L:$L,MATCH('Summary Tables'!E$5&amp;"."&amp;'Summary Tables'!$D6,'Costs per L'!$B:$B,0))</f>
        <v>0.40460232575607785</v>
      </c>
      <c r="F6" s="1073">
        <f>INDEX('Costs per L'!$L:$L,MATCH('Summary Tables'!F$5&amp;"."&amp;'Summary Tables'!$D6,'Costs per L'!$B:$B,0))</f>
        <v>0.36414209318047031</v>
      </c>
      <c r="G6" s="1073">
        <f>INDEX('Costs per L'!$L:$L,MATCH('Summary Tables'!G$5&amp;"."&amp;'Summary Tables'!$D6,'Costs per L'!$B:$B,0))</f>
        <v>0.63670048635840526</v>
      </c>
      <c r="H6" s="1073">
        <f>INDEX('Costs per L'!$L:$L,MATCH('Summary Tables'!H$5&amp;"."&amp;'Summary Tables'!$D6,'Costs per L'!$B:$B,0))</f>
        <v>0.4748416586395186</v>
      </c>
      <c r="I6" s="1073">
        <f>INDEX('Costs per L'!$L:$L,MATCH('Summary Tables'!I$5&amp;"."&amp;'Summary Tables'!$D6,'Costs per L'!$B:$B,0))</f>
        <v>0.45639812910317262</v>
      </c>
      <c r="J6" s="1073">
        <f>INDEX('Costs per L'!$L:$L,MATCH('Summary Tables'!J$5&amp;"."&amp;'Summary Tables'!$D6,'Costs per L'!$B:$B,0))</f>
        <v>0.70060545151550524</v>
      </c>
      <c r="K6" s="1073">
        <f>INDEX('Costs per L'!$L:$L,MATCH('Summary Tables'!K$5&amp;"."&amp;'Summary Tables'!$D6,'Costs per L'!$B:$B,0))</f>
        <v>0.12976769853356743</v>
      </c>
      <c r="L6" s="1073">
        <f>INDEX('Costs per L'!$L:$L,MATCH('Summary Tables'!L$5&amp;"."&amp;'Summary Tables'!$D6,'Costs per L'!$B:$B,0))</f>
        <v>0.28738122087646673</v>
      </c>
      <c r="N6" s="1135"/>
    </row>
    <row r="7" spans="2:14" x14ac:dyDescent="0.2">
      <c r="D7" s="1136" t="s">
        <v>526</v>
      </c>
      <c r="E7" s="1073">
        <f>INDEX('Costs per L'!$L:$L,MATCH('Summary Tables'!E$5&amp;"."&amp;'Summary Tables'!$D7,'Costs per L'!$B:$B,0))</f>
        <v>0.16489243992072367</v>
      </c>
      <c r="F7" s="1073">
        <f>INDEX('Costs per L'!$L:$L,MATCH('Summary Tables'!F$5&amp;"."&amp;'Summary Tables'!$D7,'Costs per L'!$B:$B,0))</f>
        <v>0.16489243992072367</v>
      </c>
      <c r="G7" s="1073">
        <f>INDEX('Costs per L'!$L:$L,MATCH('Summary Tables'!G$5&amp;"."&amp;'Summary Tables'!$D7,'Costs per L'!$B:$B,0))</f>
        <v>9.467636907750672E-2</v>
      </c>
      <c r="H7" s="1073">
        <f>INDEX('Costs per L'!$L:$L,MATCH('Summary Tables'!H$5&amp;"."&amp;'Summary Tables'!$D7,'Costs per L'!$B:$B,0))</f>
        <v>0.17044653485309652</v>
      </c>
      <c r="I7" s="1073">
        <f>INDEX('Costs per L'!$L:$L,MATCH('Summary Tables'!I$5&amp;"."&amp;'Summary Tables'!$D7,'Costs per L'!$B:$B,0))</f>
        <v>0.27260382558262797</v>
      </c>
      <c r="J7" s="1073">
        <f>INDEX('Costs per L'!$L:$L,MATCH('Summary Tables'!J$5&amp;"."&amp;'Summary Tables'!$D7,'Costs per L'!$B:$B,0))</f>
        <v>0.26400832748451825</v>
      </c>
      <c r="K7" s="1073">
        <f>INDEX('Costs per L'!$L:$L,MATCH('Summary Tables'!K$5&amp;"."&amp;'Summary Tables'!$D7,'Costs per L'!$B:$B,0))</f>
        <v>0.48579512125787611</v>
      </c>
      <c r="L7" s="1073">
        <f>INDEX('Costs per L'!$L:$L,MATCH('Summary Tables'!L$5&amp;"."&amp;'Summary Tables'!$D7,'Costs per L'!$B:$B,0))</f>
        <v>0.39987472226470944</v>
      </c>
      <c r="N7" s="1135"/>
    </row>
    <row r="8" spans="2:14" x14ac:dyDescent="0.2">
      <c r="D8" s="1136" t="s">
        <v>218</v>
      </c>
      <c r="E8" s="1073">
        <f>INDEX('Costs per L'!$L:$L,MATCH('Summary Tables'!E$5&amp;"."&amp;'Summary Tables'!$D8,'Costs per L'!$B:$B,0))</f>
        <v>4.6959051621599975E-2</v>
      </c>
      <c r="F8" s="1073">
        <f>INDEX('Costs per L'!$L:$L,MATCH('Summary Tables'!F$5&amp;"."&amp;'Summary Tables'!$D8,'Costs per L'!$B:$B,0))</f>
        <v>4.6959051621599975E-2</v>
      </c>
      <c r="G8" s="1073">
        <f>INDEX('Costs per L'!$L:$L,MATCH('Summary Tables'!G$5&amp;"."&amp;'Summary Tables'!$D8,'Costs per L'!$B:$B,0))</f>
        <v>4.4506516666666655E-2</v>
      </c>
      <c r="H8" s="1073">
        <f>INDEX('Costs per L'!$L:$L,MATCH('Summary Tables'!H$5&amp;"."&amp;'Summary Tables'!$D8,'Costs per L'!$B:$B,0))</f>
        <v>5.8389648282000023E-2</v>
      </c>
      <c r="I8" s="1073">
        <f>INDEX('Costs per L'!$L:$L,MATCH('Summary Tables'!I$5&amp;"."&amp;'Summary Tables'!$D8,'Costs per L'!$B:$B,0))</f>
        <v>4.2564626552025003E-2</v>
      </c>
      <c r="J8" s="1073">
        <f>INDEX('Costs per L'!$L:$L,MATCH('Summary Tables'!J$5&amp;"."&amp;'Summary Tables'!$D8,'Costs per L'!$B:$B,0))</f>
        <v>4.2564641666666667E-2</v>
      </c>
      <c r="K8" s="1073">
        <f>INDEX('Costs per L'!$L:$L,MATCH('Summary Tables'!K$5&amp;"."&amp;'Summary Tables'!$D8,'Costs per L'!$B:$B,0))</f>
        <v>0.12342534656932501</v>
      </c>
      <c r="L8" s="1073">
        <f>INDEX('Costs per L'!$L:$L,MATCH('Summary Tables'!L$5&amp;"."&amp;'Summary Tables'!$D8,'Costs per L'!$B:$B,0))</f>
        <v>0.12105838455634998</v>
      </c>
      <c r="N8" s="1135"/>
    </row>
    <row r="9" spans="2:14" x14ac:dyDescent="0.2">
      <c r="D9" s="1136" t="s">
        <v>527</v>
      </c>
      <c r="E9" s="1073">
        <f>INDEX('Costs per L'!$L:$L,MATCH('Summary Tables'!E$5&amp;"."&amp;'Summary Tables'!$D9,'Costs per L'!$B:$B,0))</f>
        <v>4.6837000000000011E-2</v>
      </c>
      <c r="F9" s="1073">
        <f>INDEX('Costs per L'!$L:$L,MATCH('Summary Tables'!F$5&amp;"."&amp;'Summary Tables'!$D9,'Costs per L'!$B:$B,0))</f>
        <v>4.1515900000000015E-2</v>
      </c>
      <c r="G9" s="1073">
        <f>INDEX('Costs per L'!$L:$L,MATCH('Summary Tables'!G$5&amp;"."&amp;'Summary Tables'!$D9,'Costs per L'!$B:$B,0))</f>
        <v>4.8495324999999992E-2</v>
      </c>
      <c r="H9" s="1073">
        <f>INDEX('Costs per L'!$L:$L,MATCH('Summary Tables'!H$5&amp;"."&amp;'Summary Tables'!$D9,'Costs per L'!$B:$B,0))</f>
        <v>5.89171E-2</v>
      </c>
      <c r="I9" s="1073">
        <f>INDEX('Costs per L'!$L:$L,MATCH('Summary Tables'!I$5&amp;"."&amp;'Summary Tables'!$D9,'Costs per L'!$B:$B,0))</f>
        <v>5.0237418750000006E-2</v>
      </c>
      <c r="J9" s="1137">
        <f>INDEX('Costs per L'!$L:$L,MATCH('Summary Tables'!J$5&amp;"."&amp;'Summary Tables'!$D9,'Costs per L'!$B:$B,0))</f>
        <v>5.0237418750000006E-2</v>
      </c>
      <c r="K9" s="1073">
        <f>INDEX('Costs per L'!$L:$L,MATCH('Summary Tables'!K$5&amp;"."&amp;'Summary Tables'!$D9,'Costs per L'!$B:$B,0))</f>
        <v>5.9812993750000001E-2</v>
      </c>
      <c r="L9" s="1073">
        <f>INDEX('Costs per L'!$L:$L,MATCH('Summary Tables'!L$5&amp;"."&amp;'Summary Tables'!$D9,'Costs per L'!$B:$B,0))</f>
        <v>5.967006250000001E-2</v>
      </c>
      <c r="N9" s="1135"/>
    </row>
    <row r="10" spans="2:14" x14ac:dyDescent="0.2">
      <c r="D10" s="1136" t="str">
        <f>D19</f>
        <v>Return on RAB + depn</v>
      </c>
      <c r="E10" s="1073">
        <f t="shared" ref="E10:L10" ca="1" si="0">E19</f>
        <v>0.14759712977952097</v>
      </c>
      <c r="F10" s="1073">
        <f t="shared" ref="F10" ca="1" si="1">F19</f>
        <v>0.14759712977952097</v>
      </c>
      <c r="G10" s="1073">
        <f t="shared" ca="1" si="0"/>
        <v>0.14486691381386835</v>
      </c>
      <c r="H10" s="1073">
        <f t="shared" ca="1" si="0"/>
        <v>0.18035972136735184</v>
      </c>
      <c r="I10" s="1073">
        <f t="shared" ca="1" si="0"/>
        <v>0.14827968377093406</v>
      </c>
      <c r="J10" s="1073">
        <f t="shared" ca="1" si="0"/>
        <v>0.14827968377093406</v>
      </c>
      <c r="K10" s="1073">
        <f t="shared" ca="1" si="0"/>
        <v>0.29253988292576855</v>
      </c>
      <c r="L10" s="1073">
        <f t="shared" ca="1" si="0"/>
        <v>0.28776200498587656</v>
      </c>
      <c r="N10" s="1135"/>
    </row>
    <row r="11" spans="2:14" x14ac:dyDescent="0.2">
      <c r="D11" s="1138" t="s">
        <v>635</v>
      </c>
      <c r="E11" s="1073">
        <f>INDEX('Costs per L'!$L:$L,MATCH('Summary Tables'!E$5&amp;"."&amp;'Summary Tables'!$D11,'Costs per L'!$B:$B,0))</f>
        <v>-0.12901684889785631</v>
      </c>
      <c r="F11" s="1073">
        <f>INDEX('Costs per L'!$L:$L,MATCH('Summary Tables'!F$5&amp;"."&amp;'Summary Tables'!$D11,'Costs per L'!$B:$B,0))</f>
        <v>-0.12901684889785631</v>
      </c>
      <c r="G11" s="1073">
        <f>INDEX('Costs per L'!$L:$L,MATCH('Summary Tables'!G$5&amp;"."&amp;'Summary Tables'!$D11,'Costs per L'!$B:$B,0))</f>
        <v>-7.0913026834113366E-2</v>
      </c>
      <c r="H11" s="1073">
        <f>INDEX('Costs per L'!$L:$L,MATCH('Summary Tables'!H$5&amp;"."&amp;'Summary Tables'!$D11,'Costs per L'!$B:$B,0))</f>
        <v>-0.17550860076813843</v>
      </c>
      <c r="I11" s="1073">
        <f>INDEX('Costs per L'!$L:$L,MATCH('Summary Tables'!I$5&amp;"."&amp;'Summary Tables'!$D11,'Costs per L'!$B:$B,0))</f>
        <v>-0.25327873252258948</v>
      </c>
      <c r="J11" s="1073">
        <f>INDEX('Costs per L'!$L:$L,MATCH('Summary Tables'!J$5&amp;"."&amp;'Summary Tables'!$D11,'Costs per L'!$B:$B,0))</f>
        <v>-0.19236023085013057</v>
      </c>
      <c r="K11" s="1073">
        <f>INDEX('Costs per L'!$L:$L,MATCH('Summary Tables'!K$5&amp;"."&amp;'Summary Tables'!$D11,'Costs per L'!$B:$B,0))</f>
        <v>-4.654217443741971E-2</v>
      </c>
      <c r="L11" s="1073">
        <f>INDEX('Costs per L'!$L:$L,MATCH('Summary Tables'!L$5&amp;"."&amp;'Summary Tables'!$D11,'Costs per L'!$B:$B,0))</f>
        <v>-9.9632734905233708E-2</v>
      </c>
      <c r="N11" s="1135"/>
    </row>
    <row r="12" spans="2:14" ht="13.5" thickBot="1" x14ac:dyDescent="0.25">
      <c r="D12" s="998" t="s">
        <v>634</v>
      </c>
      <c r="E12" s="999">
        <f ca="1">SUM(E6:E11)</f>
        <v>0.68187109818006619</v>
      </c>
      <c r="F12" s="1139">
        <f ca="1">SUM(F6:F11)</f>
        <v>0.63608976560445862</v>
      </c>
      <c r="G12" s="1139">
        <f t="shared" ref="G12:L12" ca="1" si="2">SUM(G6:G11)</f>
        <v>0.89833258408233352</v>
      </c>
      <c r="H12" s="1139">
        <f t="shared" ca="1" si="2"/>
        <v>0.76744606237382851</v>
      </c>
      <c r="I12" s="1139">
        <f t="shared" ca="1" si="2"/>
        <v>0.71680495123617016</v>
      </c>
      <c r="J12" s="1139">
        <f t="shared" ca="1" si="2"/>
        <v>1.0133352923374939</v>
      </c>
      <c r="K12" s="1139">
        <f t="shared" ca="1" si="2"/>
        <v>1.0447988685991174</v>
      </c>
      <c r="L12" s="1139">
        <f t="shared" ca="1" si="2"/>
        <v>1.0561136602781689</v>
      </c>
    </row>
    <row r="13" spans="2:14" x14ac:dyDescent="0.2">
      <c r="D13" s="1138" t="str">
        <f>"Margin ("&amp;E17*100&amp;"%)"</f>
        <v>Margin (0%)</v>
      </c>
      <c r="E13" s="1003">
        <f ca="1">E12*$E$17</f>
        <v>0</v>
      </c>
      <c r="F13" s="1003">
        <f ca="1">F12*$E$17</f>
        <v>0</v>
      </c>
      <c r="G13" s="1003">
        <f t="shared" ref="G13:L13" ca="1" si="3">G12*$E$17</f>
        <v>0</v>
      </c>
      <c r="H13" s="1003">
        <f t="shared" ca="1" si="3"/>
        <v>0</v>
      </c>
      <c r="I13" s="1003">
        <f t="shared" ca="1" si="3"/>
        <v>0</v>
      </c>
      <c r="J13" s="1003">
        <f t="shared" ca="1" si="3"/>
        <v>0</v>
      </c>
      <c r="K13" s="1003">
        <f t="shared" ca="1" si="3"/>
        <v>0</v>
      </c>
      <c r="L13" s="1003">
        <f t="shared" ca="1" si="3"/>
        <v>0</v>
      </c>
    </row>
    <row r="14" spans="2:14" ht="13.5" thickBot="1" x14ac:dyDescent="0.25">
      <c r="D14" s="998" t="s">
        <v>693</v>
      </c>
      <c r="E14" s="1005">
        <f ca="1">E12*(1+$E$17)</f>
        <v>0.68187109818006619</v>
      </c>
      <c r="F14" s="1140">
        <f ca="1">F12*(1+$E$17)</f>
        <v>0.63608976560445862</v>
      </c>
      <c r="G14" s="1140">
        <f t="shared" ref="G14:J14" ca="1" si="4">G12*(1+$E$17)</f>
        <v>0.89833258408233352</v>
      </c>
      <c r="H14" s="1140">
        <f t="shared" ca="1" si="4"/>
        <v>0.76744606237382851</v>
      </c>
      <c r="I14" s="1140">
        <f t="shared" ca="1" si="4"/>
        <v>0.71680495123617016</v>
      </c>
      <c r="J14" s="1140">
        <f t="shared" ca="1" si="4"/>
        <v>1.0133352923374939</v>
      </c>
      <c r="K14" s="1140">
        <f t="shared" ref="K14:L14" ca="1" si="5">K12*(1+$E$17)</f>
        <v>1.0447988685991174</v>
      </c>
      <c r="L14" s="1140">
        <f t="shared" ca="1" si="5"/>
        <v>1.0561136602781689</v>
      </c>
    </row>
    <row r="15" spans="2:14" x14ac:dyDescent="0.2">
      <c r="D15" s="1141"/>
      <c r="E15" s="1009">
        <f>-E11</f>
        <v>0.12901684889785631</v>
      </c>
      <c r="F15" s="1009">
        <f>-F11</f>
        <v>0.12901684889785631</v>
      </c>
      <c r="G15" s="1009">
        <f t="shared" ref="G15:L15" si="6">-G11</f>
        <v>7.0913026834113366E-2</v>
      </c>
      <c r="H15" s="1009">
        <f t="shared" si="6"/>
        <v>0.17550860076813843</v>
      </c>
      <c r="I15" s="1009">
        <f t="shared" si="6"/>
        <v>0.25327873252258948</v>
      </c>
      <c r="J15" s="1009">
        <f t="shared" si="6"/>
        <v>0.19236023085013057</v>
      </c>
      <c r="K15" s="1009">
        <f t="shared" si="6"/>
        <v>4.654217443741971E-2</v>
      </c>
      <c r="L15" s="1009">
        <f t="shared" si="6"/>
        <v>9.9632734905233708E-2</v>
      </c>
      <c r="M15" s="927"/>
    </row>
    <row r="16" spans="2:14" s="922" customFormat="1" hidden="1" x14ac:dyDescent="0.2">
      <c r="B16" s="921"/>
      <c r="C16" s="921"/>
      <c r="D16" s="1141"/>
      <c r="E16" s="1009">
        <f ca="1">SUM(E12,E13)</f>
        <v>0.68187109818006619</v>
      </c>
      <c r="F16" s="1009">
        <f ca="1">SUM(F12,F13)</f>
        <v>0.63608976560445862</v>
      </c>
      <c r="G16" s="1009">
        <f t="shared" ref="G16:L16" ca="1" si="7">SUM(G12,G13)</f>
        <v>0.89833258408233352</v>
      </c>
      <c r="H16" s="1009">
        <f t="shared" ca="1" si="7"/>
        <v>0.76744606237382851</v>
      </c>
      <c r="I16" s="1009">
        <f t="shared" ca="1" si="7"/>
        <v>0.71680495123617016</v>
      </c>
      <c r="J16" s="1009">
        <f t="shared" ca="1" si="7"/>
        <v>1.0133352923374939</v>
      </c>
      <c r="K16" s="1009">
        <f t="shared" ca="1" si="7"/>
        <v>1.0447988685991174</v>
      </c>
      <c r="L16" s="1009">
        <f t="shared" ca="1" si="7"/>
        <v>1.0561136602781689</v>
      </c>
      <c r="M16" s="921"/>
    </row>
    <row r="17" spans="2:12" s="922" customFormat="1" hidden="1" x14ac:dyDescent="0.2">
      <c r="B17" s="921"/>
      <c r="C17" s="921"/>
      <c r="D17" s="1141" t="s">
        <v>682</v>
      </c>
      <c r="E17" s="1142">
        <f>Assumptions!F34</f>
        <v>0</v>
      </c>
      <c r="F17" s="1142"/>
    </row>
    <row r="18" spans="2:12" s="922" customFormat="1" hidden="1" x14ac:dyDescent="0.2">
      <c r="B18" s="921"/>
      <c r="C18" s="921"/>
      <c r="D18" s="1141"/>
      <c r="E18" s="1143"/>
      <c r="F18" s="1143"/>
    </row>
    <row r="19" spans="2:12" s="922" customFormat="1" hidden="1" x14ac:dyDescent="0.2">
      <c r="B19" s="921"/>
      <c r="C19" s="921"/>
      <c r="D19" s="1118" t="str">
        <f>IF(Assumptions!$C$30=Assumptions!$AH$106,'Summary Tables'!D20,'Summary Tables'!D21)</f>
        <v>Return on RAB + depn</v>
      </c>
      <c r="E19" s="1144">
        <f ca="1">IF(Assumptions!$C$30=Assumptions!$AH$106,'Summary Tables'!E20,'Summary Tables'!E21)</f>
        <v>0.14759712977952097</v>
      </c>
      <c r="F19" s="1144">
        <f ca="1">IF(Assumptions!$C$30=Assumptions!$AH$106,'Summary Tables'!F20,'Summary Tables'!F21)</f>
        <v>0.14759712977952097</v>
      </c>
      <c r="G19" s="1144">
        <f ca="1">IF(Assumptions!$C$30=Assumptions!$AH$106,'Summary Tables'!G20,'Summary Tables'!G21)</f>
        <v>0.14486691381386835</v>
      </c>
      <c r="H19" s="1144">
        <f ca="1">IF(Assumptions!$C$30=Assumptions!$AH$106,'Summary Tables'!H20,'Summary Tables'!H21)</f>
        <v>0.18035972136735184</v>
      </c>
      <c r="I19" s="1144">
        <f ca="1">IF(Assumptions!$C$30=Assumptions!$AH$106,'Summary Tables'!I20,'Summary Tables'!I21)</f>
        <v>0.14827968377093406</v>
      </c>
      <c r="J19" s="1144">
        <f ca="1">IF(Assumptions!$C$30=Assumptions!$AH$106,'Summary Tables'!J20,'Summary Tables'!J21)</f>
        <v>0.14827968377093406</v>
      </c>
      <c r="K19" s="1144">
        <f ca="1">IF(Assumptions!$C$30=Assumptions!$AH$106,'Summary Tables'!K20,'Summary Tables'!K21)</f>
        <v>0.29253988292576855</v>
      </c>
      <c r="L19" s="1144">
        <f ca="1">IF(Assumptions!$C$30=Assumptions!$AH$106,'Summary Tables'!L20,'Summary Tables'!L21)</f>
        <v>0.28776200498587656</v>
      </c>
    </row>
    <row r="20" spans="2:12" s="922" customFormat="1" hidden="1" x14ac:dyDescent="0.2">
      <c r="B20" s="921"/>
      <c r="C20" s="921"/>
      <c r="D20" s="1141" t="s">
        <v>528</v>
      </c>
      <c r="E20" s="1145">
        <f>INDEX('Costs per L'!$L:$L,MATCH('Summary Tables'!E$5&amp;"."&amp;'Summary Tables'!$D20,'Costs per L'!$B:$B,0))</f>
        <v>8.0698576308042141E-2</v>
      </c>
      <c r="F20" s="1145">
        <f>INDEX('Costs per L'!$L:$L,MATCH('Summary Tables'!F$5&amp;"."&amp;'Summary Tables'!$D20,'Costs per L'!$B:$B,0))</f>
        <v>8.0698576308042141E-2</v>
      </c>
      <c r="G20" s="1145">
        <f>INDEX('Costs per L'!$L:$L,MATCH('Summary Tables'!G$5&amp;"."&amp;'Summary Tables'!$D20,'Costs per L'!$B:$B,0))</f>
        <v>7.9205833584855251E-2</v>
      </c>
      <c r="H20" s="1145">
        <f>INDEX('Costs per L'!$L:$L,MATCH('Summary Tables'!H$5&amp;"."&amp;'Summary Tables'!$D20,'Costs per L'!$B:$B,0))</f>
        <v>9.8611488986284662E-2</v>
      </c>
      <c r="I20" s="1145">
        <f>INDEX('Costs per L'!$L:$L,MATCH('Summary Tables'!I$5&amp;"."&amp;'Summary Tables'!$D20,'Costs per L'!$B:$B,0))</f>
        <v>8.107176198883885E-2</v>
      </c>
      <c r="J20" s="1145">
        <f>INDEX('Costs per L'!$L:$L,MATCH('Summary Tables'!J$5&amp;"."&amp;'Summary Tables'!$D20,'Costs per L'!$B:$B,0))</f>
        <v>8.107176198883885E-2</v>
      </c>
      <c r="K20" s="1145">
        <f>INDEX('Costs per L'!$L:$L,MATCH('Summary Tables'!K$5&amp;"."&amp;'Summary Tables'!$D20,'Costs per L'!$B:$B,0))</f>
        <v>0.15994587496854146</v>
      </c>
      <c r="L20" s="1145">
        <f>INDEX('Costs per L'!$L:$L,MATCH('Summary Tables'!L$5&amp;"."&amp;'Summary Tables'!$D20,'Costs per L'!$B:$B,0))</f>
        <v>0.15733357520296443</v>
      </c>
    </row>
    <row r="21" spans="2:12" s="922" customFormat="1" hidden="1" x14ac:dyDescent="0.2">
      <c r="B21" s="921"/>
      <c r="C21" s="921"/>
      <c r="D21" s="1141" t="s">
        <v>978</v>
      </c>
      <c r="E21" s="1145">
        <f ca="1">INDEX(WACC!$F$22:$F$29,MATCH(E$5,WACC!$E$22:$E$29,0))</f>
        <v>0.14759712977952097</v>
      </c>
      <c r="F21" s="1145">
        <f ca="1">INDEX(WACC!$F$22:$F$29,MATCH(F$5,WACC!$E$22:$E$29,0))</f>
        <v>0.14759712977952097</v>
      </c>
      <c r="G21" s="1145">
        <f ca="1">INDEX(WACC!$F$22:$F$29,MATCH(G$5,WACC!$E$22:$E$29,0))</f>
        <v>0.14486691381386835</v>
      </c>
      <c r="H21" s="1145">
        <f ca="1">INDEX(WACC!$F$22:$F$29,MATCH(H$5,WACC!$E$22:$E$29,0))</f>
        <v>0.18035972136735184</v>
      </c>
      <c r="I21" s="1145">
        <f ca="1">INDEX(WACC!$F$22:$F$29,MATCH(I$5,WACC!$E$22:$E$29,0))</f>
        <v>0.14827968377093406</v>
      </c>
      <c r="J21" s="1145">
        <f ca="1">INDEX(WACC!$F$22:$F$29,MATCH(J$5,WACC!$E$22:$E$29,0))</f>
        <v>0.14827968377093406</v>
      </c>
      <c r="K21" s="1145">
        <f ca="1">INDEX(WACC!$F$22:$F$29,MATCH(K$5,WACC!$E$22:$E$29,0))</f>
        <v>0.29253988292576855</v>
      </c>
      <c r="L21" s="1145">
        <f ca="1">INDEX(WACC!$F$22:$F$29,MATCH(L$5,WACC!$E$22:$E$29,0))</f>
        <v>0.28776200498587656</v>
      </c>
    </row>
    <row r="22" spans="2:12" s="922" customFormat="1" hidden="1" x14ac:dyDescent="0.2">
      <c r="B22" s="921"/>
      <c r="C22" s="921"/>
      <c r="D22" s="1141"/>
      <c r="E22" s="1145"/>
      <c r="F22" s="1145"/>
      <c r="G22" s="1145"/>
      <c r="H22" s="1145"/>
      <c r="I22" s="1145"/>
      <c r="J22" s="1145"/>
      <c r="K22" s="1145"/>
      <c r="L22" s="1145"/>
    </row>
    <row r="23" spans="2:12" s="922" customFormat="1" hidden="1" x14ac:dyDescent="0.2">
      <c r="B23" s="921"/>
      <c r="C23" s="921"/>
      <c r="D23" s="1146" t="s">
        <v>850</v>
      </c>
      <c r="E23" s="1145"/>
      <c r="F23" s="1145"/>
      <c r="G23" s="1145"/>
      <c r="H23" s="1145"/>
      <c r="I23" s="1145"/>
      <c r="J23" s="1145"/>
      <c r="K23" s="1145"/>
      <c r="L23" s="1145"/>
    </row>
    <row r="24" spans="2:12" s="922" customFormat="1" hidden="1" x14ac:dyDescent="0.2">
      <c r="B24" s="921"/>
      <c r="C24" s="921"/>
      <c r="D24" s="1147" t="s">
        <v>634</v>
      </c>
      <c r="E24" s="1148">
        <f>INDEX('Costs per L'!$L:$L,MATCH('Summary Tables'!E$5&amp;"."&amp;'Summary Tables'!$D24,'Costs per L'!$B:$B,0))</f>
        <v>0.6149725447085872</v>
      </c>
      <c r="F24" s="1148"/>
      <c r="G24" s="1148">
        <f>INDEX('Costs per L'!$L:$L,MATCH('Summary Tables'!G$5&amp;"."&amp;'Summary Tables'!$D24,'Costs per L'!$B:$B,0))</f>
        <v>0.83267150385332045</v>
      </c>
      <c r="H24" s="1148">
        <f>INDEX('Costs per L'!$L:$L,MATCH('Summary Tables'!H$5&amp;"."&amp;'Summary Tables'!$D24,'Costs per L'!$B:$B,0))</f>
        <v>0.68569782999276141</v>
      </c>
      <c r="I24" s="1148">
        <f>INDEX('Costs per L'!$L:$L,MATCH('Summary Tables'!I$5&amp;"."&amp;'Summary Tables'!$D24,'Costs per L'!$B:$B,0))</f>
        <v>0.64959702945407494</v>
      </c>
      <c r="J24" s="1148">
        <f>INDEX('Costs per L'!$L:$L,MATCH('Summary Tables'!J$5&amp;"."&amp;'Summary Tables'!$D24,'Costs per L'!$B:$B,0))</f>
        <v>0.94612737055539864</v>
      </c>
      <c r="K24" s="1148">
        <f>INDEX('Costs per L'!$L:$L,MATCH('Summary Tables'!K$5&amp;"."&amp;'Summary Tables'!$D24,'Costs per L'!$B:$B,0))</f>
        <v>0.91220486064189044</v>
      </c>
      <c r="L24" s="1148">
        <f>INDEX('Costs per L'!$L:$L,MATCH('Summary Tables'!L$5&amp;"."&amp;'Summary Tables'!$D24,'Costs per L'!$B:$B,0))</f>
        <v>0.92568523049525675</v>
      </c>
    </row>
    <row r="25" spans="2:12" s="922" customFormat="1" hidden="1" x14ac:dyDescent="0.2">
      <c r="B25" s="921"/>
      <c r="C25" s="921"/>
      <c r="D25" s="1141"/>
      <c r="E25" s="1145"/>
      <c r="F25" s="1145"/>
      <c r="G25" s="1145"/>
      <c r="H25" s="1145"/>
      <c r="I25" s="1145"/>
      <c r="J25" s="1145"/>
      <c r="K25" s="1145"/>
      <c r="L25" s="1145"/>
    </row>
    <row r="26" spans="2:12" s="922" customFormat="1" hidden="1" x14ac:dyDescent="0.2">
      <c r="B26" s="921"/>
      <c r="C26" s="921"/>
      <c r="D26" s="1141"/>
      <c r="E26" s="1149"/>
      <c r="F26" s="1149"/>
      <c r="G26" s="1150"/>
      <c r="H26" s="1150"/>
      <c r="I26" s="1150"/>
      <c r="J26" s="1150"/>
      <c r="K26" s="1150"/>
      <c r="L26" s="1150"/>
    </row>
    <row r="27" spans="2:12" x14ac:dyDescent="0.2">
      <c r="D27" s="1133" t="s">
        <v>824</v>
      </c>
    </row>
    <row r="28" spans="2:12" ht="24" customHeight="1" x14ac:dyDescent="0.2">
      <c r="D28" s="987"/>
      <c r="E28" s="1134" t="str">
        <f>E5</f>
        <v>Wheat Standalone (Starch)</v>
      </c>
      <c r="F28" s="1134" t="str">
        <f>F5</f>
        <v>Wheat Integrated (Starch)</v>
      </c>
      <c r="G28" s="1134" t="str">
        <f t="shared" ref="G28:L28" si="8">G5</f>
        <v>Imported Starch</v>
      </c>
      <c r="H28" s="1134" t="str">
        <f t="shared" si="8"/>
        <v>Sorghum (Starch)</v>
      </c>
      <c r="I28" s="1134" t="str">
        <f t="shared" si="8"/>
        <v>C-Syrup (Sucrosic)</v>
      </c>
      <c r="J28" s="1134" t="str">
        <f t="shared" si="8"/>
        <v>B-Syrup (Sucrosic)</v>
      </c>
      <c r="K28" s="1134" t="str">
        <f t="shared" si="8"/>
        <v>Cane trash (Cellulosic)</v>
      </c>
      <c r="L28" s="1134" t="str">
        <f t="shared" si="8"/>
        <v>Forest Residues (Cellulosic)</v>
      </c>
    </row>
    <row r="29" spans="2:12" x14ac:dyDescent="0.2">
      <c r="D29" s="1136" t="str">
        <f>D6</f>
        <v>Feedstock</v>
      </c>
      <c r="E29" s="1004">
        <f>E6*$G$2*10^6</f>
        <v>40460232.575607784</v>
      </c>
      <c r="F29" s="1004">
        <f>F6*$G$2*10^6</f>
        <v>36414209.318047032</v>
      </c>
      <c r="G29" s="1004">
        <f t="shared" ref="G29:L29" si="9">G6*$G$2*10^6</f>
        <v>63670048.63584052</v>
      </c>
      <c r="H29" s="1004">
        <f t="shared" si="9"/>
        <v>47484165.863951862</v>
      </c>
      <c r="I29" s="1004">
        <f t="shared" si="9"/>
        <v>45639812.910317257</v>
      </c>
      <c r="J29" s="1004">
        <f t="shared" si="9"/>
        <v>70060545.151550531</v>
      </c>
      <c r="K29" s="1004">
        <f t="shared" si="9"/>
        <v>12976769.853356743</v>
      </c>
      <c r="L29" s="1004">
        <f t="shared" si="9"/>
        <v>28738122.087646674</v>
      </c>
    </row>
    <row r="30" spans="2:12" x14ac:dyDescent="0.2">
      <c r="D30" s="1136" t="str">
        <f t="shared" ref="D30:D34" si="10">D7</f>
        <v>Direct Costs</v>
      </c>
      <c r="E30" s="1004">
        <f t="shared" ref="E30:L30" si="11">E7*$G$2*10^6</f>
        <v>16489243.992072368</v>
      </c>
      <c r="F30" s="1004">
        <f t="shared" ref="F30" si="12">F7*$G$2*10^6</f>
        <v>16489243.992072368</v>
      </c>
      <c r="G30" s="1004">
        <f t="shared" si="11"/>
        <v>9467636.9077506717</v>
      </c>
      <c r="H30" s="1004">
        <f t="shared" si="11"/>
        <v>17044653.485309653</v>
      </c>
      <c r="I30" s="1004">
        <f t="shared" si="11"/>
        <v>27260382.558262799</v>
      </c>
      <c r="J30" s="1004">
        <f t="shared" si="11"/>
        <v>26400832.748451825</v>
      </c>
      <c r="K30" s="1004">
        <f t="shared" si="11"/>
        <v>48579512.125787608</v>
      </c>
      <c r="L30" s="1004">
        <f t="shared" si="11"/>
        <v>39987472.22647094</v>
      </c>
    </row>
    <row r="31" spans="2:12" x14ac:dyDescent="0.2">
      <c r="D31" s="1136" t="str">
        <f t="shared" si="10"/>
        <v>Maintenance</v>
      </c>
      <c r="E31" s="1004">
        <f t="shared" ref="E31:L31" si="13">E8*$G$2*10^6</f>
        <v>4695905.162159997</v>
      </c>
      <c r="F31" s="1004">
        <f t="shared" ref="F31" si="14">F8*$G$2*10^6</f>
        <v>4695905.162159997</v>
      </c>
      <c r="G31" s="1004">
        <f t="shared" si="13"/>
        <v>4450651.6666666651</v>
      </c>
      <c r="H31" s="1004">
        <f t="shared" si="13"/>
        <v>5838964.8282000022</v>
      </c>
      <c r="I31" s="1004">
        <f t="shared" si="13"/>
        <v>4256462.6552025005</v>
      </c>
      <c r="J31" s="1004">
        <f t="shared" si="13"/>
        <v>4256464.166666666</v>
      </c>
      <c r="K31" s="1004">
        <f t="shared" si="13"/>
        <v>12342534.656932499</v>
      </c>
      <c r="L31" s="1004">
        <f t="shared" si="13"/>
        <v>12105838.455634998</v>
      </c>
    </row>
    <row r="32" spans="2:12" x14ac:dyDescent="0.2">
      <c r="D32" s="1136" t="str">
        <f t="shared" si="10"/>
        <v>Indirect Costs</v>
      </c>
      <c r="E32" s="1004">
        <f t="shared" ref="E32:L32" si="15">E9*$G$2*10^6</f>
        <v>4683700.0000000009</v>
      </c>
      <c r="F32" s="1004">
        <f t="shared" ref="F32" si="16">F9*$G$2*10^6</f>
        <v>4151590.0000000014</v>
      </c>
      <c r="G32" s="1004">
        <f t="shared" si="15"/>
        <v>4849532.5</v>
      </c>
      <c r="H32" s="1004">
        <f t="shared" si="15"/>
        <v>5891710</v>
      </c>
      <c r="I32" s="1004">
        <f t="shared" si="15"/>
        <v>5023741.8750000009</v>
      </c>
      <c r="J32" s="1004">
        <f t="shared" si="15"/>
        <v>5023741.8750000009</v>
      </c>
      <c r="K32" s="1004">
        <f t="shared" si="15"/>
        <v>5981299.375</v>
      </c>
      <c r="L32" s="1004">
        <f t="shared" si="15"/>
        <v>5967006.2500000009</v>
      </c>
    </row>
    <row r="33" spans="4:14" x14ac:dyDescent="0.2">
      <c r="D33" s="1136" t="str">
        <f t="shared" si="10"/>
        <v>Return on RAB + depn</v>
      </c>
      <c r="E33" s="1004">
        <f t="shared" ref="E33:L33" ca="1" si="17">E10*$G$2*10^6</f>
        <v>14759712.977952097</v>
      </c>
      <c r="F33" s="1004">
        <f t="shared" ref="F33" ca="1" si="18">F10*$G$2*10^6</f>
        <v>14759712.977952097</v>
      </c>
      <c r="G33" s="1004">
        <f t="shared" ca="1" si="17"/>
        <v>14486691.381386835</v>
      </c>
      <c r="H33" s="1004">
        <f t="shared" ca="1" si="17"/>
        <v>18035972.136735186</v>
      </c>
      <c r="I33" s="1004">
        <f t="shared" ca="1" si="17"/>
        <v>14827968.377093406</v>
      </c>
      <c r="J33" s="1004">
        <f t="shared" ca="1" si="17"/>
        <v>14827968.377093406</v>
      </c>
      <c r="K33" s="1004">
        <f t="shared" ca="1" si="17"/>
        <v>29253988.292576853</v>
      </c>
      <c r="L33" s="1004">
        <f t="shared" ca="1" si="17"/>
        <v>28776200.498587657</v>
      </c>
    </row>
    <row r="34" spans="4:14" x14ac:dyDescent="0.2">
      <c r="D34" s="1136" t="str">
        <f t="shared" si="10"/>
        <v>Co-product credit</v>
      </c>
      <c r="E34" s="1004">
        <f t="shared" ref="E34:L37" si="19">E11*$G$2*10^6</f>
        <v>-12901684.889785631</v>
      </c>
      <c r="F34" s="1004">
        <f t="shared" ref="F34" si="20">F11*$G$2*10^6</f>
        <v>-12901684.889785631</v>
      </c>
      <c r="G34" s="1004">
        <f t="shared" si="19"/>
        <v>-7091302.6834113365</v>
      </c>
      <c r="H34" s="1004">
        <f t="shared" si="19"/>
        <v>-17550860.076813843</v>
      </c>
      <c r="I34" s="1004">
        <f t="shared" si="19"/>
        <v>-25327873.252258945</v>
      </c>
      <c r="J34" s="1004">
        <f t="shared" si="19"/>
        <v>-19236023.085013054</v>
      </c>
      <c r="K34" s="1004">
        <f t="shared" si="19"/>
        <v>-4654217.4437419716</v>
      </c>
      <c r="L34" s="1004">
        <f t="shared" si="19"/>
        <v>-9963273.49052337</v>
      </c>
    </row>
    <row r="35" spans="4:14" ht="13.5" thickBot="1" x14ac:dyDescent="0.25">
      <c r="D35" s="998" t="s">
        <v>634</v>
      </c>
      <c r="E35" s="1151">
        <f t="shared" ca="1" si="19"/>
        <v>68187109.81800662</v>
      </c>
      <c r="F35" s="1000">
        <f t="shared" ref="F35" ca="1" si="21">F12*$G$2*10^6</f>
        <v>63608976.56044586</v>
      </c>
      <c r="G35" s="1000">
        <f t="shared" ca="1" si="19"/>
        <v>89833258.408233345</v>
      </c>
      <c r="H35" s="1000">
        <f t="shared" ca="1" si="19"/>
        <v>76744606.237382859</v>
      </c>
      <c r="I35" s="1000">
        <f t="shared" ca="1" si="19"/>
        <v>71680495.123617023</v>
      </c>
      <c r="J35" s="1000">
        <f t="shared" ca="1" si="19"/>
        <v>101333529.23374939</v>
      </c>
      <c r="K35" s="1000">
        <f t="shared" ca="1" si="19"/>
        <v>104479886.85991174</v>
      </c>
      <c r="L35" s="1000">
        <f t="shared" ca="1" si="19"/>
        <v>105611366.02781689</v>
      </c>
    </row>
    <row r="36" spans="4:14" x14ac:dyDescent="0.2">
      <c r="D36" s="1138" t="str">
        <f>"Margin ("&amp;E17*100&amp;"%)"</f>
        <v>Margin (0%)</v>
      </c>
      <c r="E36" s="1004">
        <f t="shared" ca="1" si="19"/>
        <v>0</v>
      </c>
      <c r="F36" s="1004">
        <f t="shared" ref="F36" ca="1" si="22">F13*$G$2*10^6</f>
        <v>0</v>
      </c>
      <c r="G36" s="1004">
        <f t="shared" ca="1" si="19"/>
        <v>0</v>
      </c>
      <c r="H36" s="1004">
        <f t="shared" ca="1" si="19"/>
        <v>0</v>
      </c>
      <c r="I36" s="1004">
        <f t="shared" ca="1" si="19"/>
        <v>0</v>
      </c>
      <c r="J36" s="1004">
        <f t="shared" ca="1" si="19"/>
        <v>0</v>
      </c>
      <c r="K36" s="1004">
        <f t="shared" ca="1" si="19"/>
        <v>0</v>
      </c>
      <c r="L36" s="1004">
        <f t="shared" ca="1" si="19"/>
        <v>0</v>
      </c>
    </row>
    <row r="37" spans="4:14" ht="13.5" thickBot="1" x14ac:dyDescent="0.25">
      <c r="D37" s="998" t="s">
        <v>693</v>
      </c>
      <c r="E37" s="1152">
        <f t="shared" ca="1" si="19"/>
        <v>68187109.81800662</v>
      </c>
      <c r="F37" s="1006">
        <f t="shared" ref="F37" ca="1" si="23">F14*$G$2*10^6</f>
        <v>63608976.56044586</v>
      </c>
      <c r="G37" s="1006">
        <f t="shared" ca="1" si="19"/>
        <v>89833258.408233345</v>
      </c>
      <c r="H37" s="1006">
        <f t="shared" ca="1" si="19"/>
        <v>76744606.237382859</v>
      </c>
      <c r="I37" s="1006">
        <f t="shared" ca="1" si="19"/>
        <v>71680495.123617023</v>
      </c>
      <c r="J37" s="1006">
        <f t="shared" ca="1" si="19"/>
        <v>101333529.23374939</v>
      </c>
      <c r="K37" s="1006">
        <f t="shared" ca="1" si="19"/>
        <v>104479886.85991174</v>
      </c>
      <c r="L37" s="1006">
        <f t="shared" ca="1" si="19"/>
        <v>105611366.02781689</v>
      </c>
    </row>
    <row r="39" spans="4:14" x14ac:dyDescent="0.2">
      <c r="E39" s="1153">
        <f t="shared" ref="E39:J39" ca="1" si="24">E29/SUM(E29:E33)</f>
        <v>0.49896206647796865</v>
      </c>
      <c r="F39" s="1153"/>
      <c r="G39" s="1153">
        <f t="shared" ca="1" si="24"/>
        <v>0.65690314115158943</v>
      </c>
      <c r="H39" s="1153">
        <f t="shared" ca="1" si="24"/>
        <v>0.50356785665317672</v>
      </c>
      <c r="I39" s="1153">
        <f t="shared" ca="1" si="24"/>
        <v>0.47047294655526822</v>
      </c>
      <c r="J39" s="1153">
        <f t="shared" ca="1" si="24"/>
        <v>0.5810799144905513</v>
      </c>
      <c r="K39" s="1153">
        <f ca="1">K29/SUM(K29:K33)</f>
        <v>0.11890664184360099</v>
      </c>
      <c r="L39" s="1153">
        <f t="shared" ref="L39" ca="1" si="25">L29/SUM(L29:L33)</f>
        <v>0.24865422213223767</v>
      </c>
      <c r="M39" s="927"/>
      <c r="N39" s="927"/>
    </row>
    <row r="41" spans="4:14" x14ac:dyDescent="0.2">
      <c r="D41" s="1133" t="s">
        <v>651</v>
      </c>
    </row>
    <row r="42" spans="4:14" ht="24.75" customHeight="1" x14ac:dyDescent="0.2">
      <c r="D42" s="987"/>
      <c r="E42" s="988" t="str">
        <f t="shared" ref="E42:L42" si="26">E5</f>
        <v>Wheat Standalone (Starch)</v>
      </c>
      <c r="F42" s="988" t="str">
        <f t="shared" si="26"/>
        <v>Wheat Integrated (Starch)</v>
      </c>
      <c r="G42" s="988" t="str">
        <f t="shared" si="26"/>
        <v>Imported Starch</v>
      </c>
      <c r="H42" s="988" t="str">
        <f t="shared" si="26"/>
        <v>Sorghum (Starch)</v>
      </c>
      <c r="I42" s="988" t="str">
        <f t="shared" si="26"/>
        <v>C-Syrup (Sucrosic)</v>
      </c>
      <c r="J42" s="988" t="str">
        <f t="shared" si="26"/>
        <v>B-Syrup (Sucrosic)</v>
      </c>
      <c r="K42" s="988" t="str">
        <f t="shared" si="26"/>
        <v>Cane trash (Cellulosic)</v>
      </c>
      <c r="L42" s="988" t="str">
        <f t="shared" si="26"/>
        <v>Forest Residues (Cellulosic)</v>
      </c>
    </row>
    <row r="43" spans="4:14" x14ac:dyDescent="0.2">
      <c r="D43" s="1154" t="s">
        <v>529</v>
      </c>
      <c r="E43" s="1155">
        <f>INDEX('Costs per L'!$L:$L,MATCH('Summary Tables'!E$5&amp;"."&amp;'Summary Tables'!$D43,'Costs per L'!$B:$B,0))</f>
        <v>1.4718</v>
      </c>
      <c r="F43" s="1155">
        <f>INDEX('Costs per L'!$L:$L,MATCH('Summary Tables'!F$5&amp;"."&amp;'Summary Tables'!$D43,'Costs per L'!$B:$B,0))</f>
        <v>1.4718</v>
      </c>
      <c r="G43" s="1155">
        <f>INDEX('Costs per L'!$L:$L,MATCH('Summary Tables'!G$5&amp;"."&amp;'Summary Tables'!$D43,'Costs per L'!$B:$B,0))</f>
        <v>1.4445749999999997</v>
      </c>
      <c r="H43" s="1155">
        <f>INDEX('Costs per L'!$L:$L,MATCH('Summary Tables'!H$5&amp;"."&amp;'Summary Tables'!$D43,'Costs per L'!$B:$B,0))</f>
        <v>1.7985000000000002</v>
      </c>
      <c r="I43" s="1155">
        <f>INDEX('Costs per L'!$L:$L,MATCH('Summary Tables'!I$5&amp;"."&amp;'Summary Tables'!$D43,'Costs per L'!$B:$B,0))</f>
        <v>1.4786062499999999</v>
      </c>
      <c r="J43" s="1155">
        <f>INDEX('Costs per L'!$L:$L,MATCH('Summary Tables'!J$5&amp;"."&amp;'Summary Tables'!$D43,'Costs per L'!$B:$B,0))</f>
        <v>1.4786062499999999</v>
      </c>
      <c r="K43" s="1155">
        <f>INDEX('Costs per L'!$L:$L,MATCH('Summary Tables'!K$5&amp;"."&amp;'Summary Tables'!$D43,'Costs per L'!$B:$B,0))</f>
        <v>2.9171312500000002</v>
      </c>
      <c r="L43" s="1155">
        <f>INDEX('Costs per L'!$L:$L,MATCH('Summary Tables'!L$5&amp;"."&amp;'Summary Tables'!$D43,'Costs per L'!$B:$B,0))</f>
        <v>2.8694875</v>
      </c>
    </row>
    <row r="46" spans="4:14" x14ac:dyDescent="0.2">
      <c r="D46" s="1133" t="s">
        <v>652</v>
      </c>
    </row>
    <row r="47" spans="4:14" ht="38.25" x14ac:dyDescent="0.2">
      <c r="D47" s="987"/>
      <c r="E47" s="1134" t="str">
        <f>E5</f>
        <v>Wheat Standalone (Starch)</v>
      </c>
      <c r="F47" s="1134" t="str">
        <f t="shared" ref="F47:L47" si="27">F5</f>
        <v>Wheat Integrated (Starch)</v>
      </c>
      <c r="G47" s="1134" t="str">
        <f t="shared" si="27"/>
        <v>Imported Starch</v>
      </c>
      <c r="H47" s="1134" t="str">
        <f t="shared" si="27"/>
        <v>Sorghum (Starch)</v>
      </c>
      <c r="I47" s="1134" t="str">
        <f t="shared" si="27"/>
        <v>C-Syrup (Sucrosic)</v>
      </c>
      <c r="J47" s="1134" t="str">
        <f t="shared" si="27"/>
        <v>B-Syrup (Sucrosic)</v>
      </c>
      <c r="K47" s="1134" t="str">
        <f t="shared" si="27"/>
        <v>Cane trash (Cellulosic)</v>
      </c>
      <c r="L47" s="1134" t="str">
        <f t="shared" si="27"/>
        <v>Forest Residues (Cellulosic)</v>
      </c>
    </row>
    <row r="48" spans="4:14" x14ac:dyDescent="0.2">
      <c r="D48" s="1154" t="s">
        <v>285</v>
      </c>
      <c r="E48" s="1155">
        <f>INDEX('Costs per L'!$L:$L,MATCH('Summary Tables'!E$5&amp;"."&amp;'Summary Tables'!$D48,'Costs per L'!$B:$B,0))</f>
        <v>0.40460232575607785</v>
      </c>
      <c r="F48" s="1155">
        <f>INDEX('Costs per L'!$L:$L,MATCH('Summary Tables'!F$5&amp;"."&amp;'Summary Tables'!$D48,'Costs per L'!$B:$B,0))</f>
        <v>0.36414209318047031</v>
      </c>
      <c r="G48" s="1155">
        <f>INDEX('Costs per L'!$L:$L,MATCH('Summary Tables'!G$5&amp;"."&amp;'Summary Tables'!$D48,'Costs per L'!$B:$B,0))</f>
        <v>0.63670048635840526</v>
      </c>
      <c r="H48" s="1155">
        <f>INDEX('Costs per L'!$L:$L,MATCH('Summary Tables'!H$5&amp;"."&amp;'Summary Tables'!$D48,'Costs per L'!$B:$B,0))</f>
        <v>0.4748416586395186</v>
      </c>
      <c r="I48" s="1155">
        <f>INDEX('Costs per L'!$L:$L,MATCH('Summary Tables'!I$5&amp;"."&amp;'Summary Tables'!$D48,'Costs per L'!$B:$B,0))</f>
        <v>0.45639812910317262</v>
      </c>
      <c r="J48" s="1155">
        <f>INDEX('Costs per L'!$L:$L,MATCH('Summary Tables'!J$5&amp;"."&amp;'Summary Tables'!$D48,'Costs per L'!$B:$B,0))</f>
        <v>0.70060545151550524</v>
      </c>
      <c r="K48" s="1155">
        <f>INDEX('Costs per L'!$L:$L,MATCH('Summary Tables'!K$5&amp;"."&amp;'Summary Tables'!$D48,'Costs per L'!$B:$B,0))</f>
        <v>0.12976769853356743</v>
      </c>
      <c r="L48" s="1155">
        <f>INDEX('Costs per L'!$L:$L,MATCH('Summary Tables'!L$5&amp;"."&amp;'Summary Tables'!$D48,'Costs per L'!$B:$B,0))</f>
        <v>0.28738122087646673</v>
      </c>
    </row>
    <row r="50" spans="2:13" x14ac:dyDescent="0.2">
      <c r="D50" s="1133" t="s">
        <v>1007</v>
      </c>
    </row>
    <row r="51" spans="2:13" ht="38.25" x14ac:dyDescent="0.2">
      <c r="D51" s="1156"/>
      <c r="E51" s="1157" t="str">
        <f>E5</f>
        <v>Wheat Standalone (Starch)</v>
      </c>
      <c r="F51" s="1157" t="str">
        <f t="shared" ref="F51:L51" si="28">F5</f>
        <v>Wheat Integrated (Starch)</v>
      </c>
      <c r="G51" s="1157" t="str">
        <f t="shared" si="28"/>
        <v>Imported Starch</v>
      </c>
      <c r="H51" s="1157" t="str">
        <f t="shared" si="28"/>
        <v>Sorghum (Starch)</v>
      </c>
      <c r="I51" s="1157" t="str">
        <f t="shared" si="28"/>
        <v>C-Syrup (Sucrosic)</v>
      </c>
      <c r="J51" s="1157" t="str">
        <f t="shared" si="28"/>
        <v>B-Syrup (Sucrosic)</v>
      </c>
      <c r="K51" s="1157" t="str">
        <f t="shared" si="28"/>
        <v>Cane trash (Cellulosic)</v>
      </c>
      <c r="L51" s="1157" t="str">
        <f t="shared" si="28"/>
        <v>Forest Residues (Cellulosic)</v>
      </c>
    </row>
    <row r="52" spans="2:13" s="922" customFormat="1" x14ac:dyDescent="0.2">
      <c r="B52" s="921"/>
      <c r="C52" s="921"/>
      <c r="D52" s="1158" t="s">
        <v>634</v>
      </c>
      <c r="E52" s="1034">
        <f ca="1">E14</f>
        <v>0.68187109818006619</v>
      </c>
      <c r="F52" s="1034">
        <f t="shared" ref="F52:L52" ca="1" si="29">F14</f>
        <v>0.63608976560445862</v>
      </c>
      <c r="G52" s="1034">
        <f t="shared" ca="1" si="29"/>
        <v>0.89833258408233352</v>
      </c>
      <c r="H52" s="1034">
        <f t="shared" ca="1" si="29"/>
        <v>0.76744606237382851</v>
      </c>
      <c r="I52" s="1034">
        <f t="shared" ca="1" si="29"/>
        <v>0.71680495123617016</v>
      </c>
      <c r="J52" s="1034">
        <f t="shared" ca="1" si="29"/>
        <v>1.0133352923374939</v>
      </c>
      <c r="K52" s="1034">
        <f t="shared" ca="1" si="29"/>
        <v>1.0447988685991174</v>
      </c>
      <c r="L52" s="1034">
        <f t="shared" ca="1" si="29"/>
        <v>1.0561136602781689</v>
      </c>
    </row>
    <row r="53" spans="2:13" x14ac:dyDescent="0.2">
      <c r="D53" s="1158" t="s">
        <v>982</v>
      </c>
      <c r="E53" s="1159">
        <f>-20/180</f>
        <v>-0.1111111111111111</v>
      </c>
      <c r="F53" s="1160">
        <v>-0.2</v>
      </c>
      <c r="G53" s="1160">
        <v>-0.4</v>
      </c>
      <c r="H53" s="1160">
        <v>-0.3</v>
      </c>
      <c r="I53" s="1159">
        <f>-20/120</f>
        <v>-0.16666666666666666</v>
      </c>
      <c r="J53" s="1160">
        <v>-0.3</v>
      </c>
      <c r="K53" s="1160">
        <v>-0.2</v>
      </c>
      <c r="L53" s="1160">
        <v>-0.2</v>
      </c>
    </row>
    <row r="54" spans="2:13" x14ac:dyDescent="0.2">
      <c r="D54" s="1158" t="s">
        <v>983</v>
      </c>
      <c r="E54" s="1159">
        <f>50/180</f>
        <v>0.27777777777777779</v>
      </c>
      <c r="F54" s="1160">
        <v>0.2</v>
      </c>
      <c r="G54" s="1160">
        <v>0.6</v>
      </c>
      <c r="H54" s="1160">
        <v>0.3</v>
      </c>
      <c r="I54" s="1160">
        <f>10/120</f>
        <v>8.3333333333333329E-2</v>
      </c>
      <c r="J54" s="1160">
        <v>0.3</v>
      </c>
      <c r="K54" s="1160">
        <v>0.2</v>
      </c>
      <c r="L54" s="1160">
        <v>0.2</v>
      </c>
    </row>
    <row r="55" spans="2:13" x14ac:dyDescent="0.2">
      <c r="D55" s="1158" t="s">
        <v>988</v>
      </c>
      <c r="E55" s="1161">
        <f>ABS(E53*E$6)</f>
        <v>4.4955813972897538E-2</v>
      </c>
      <c r="F55" s="1161">
        <f t="shared" ref="F55:L55" si="30">ABS(F53*F$6)</f>
        <v>7.2828418636094058E-2</v>
      </c>
      <c r="G55" s="1161">
        <f t="shared" si="30"/>
        <v>0.2546801945433621</v>
      </c>
      <c r="H55" s="1161">
        <f t="shared" si="30"/>
        <v>0.14245249759185558</v>
      </c>
      <c r="I55" s="1161">
        <f t="shared" si="30"/>
        <v>7.6066354850528761E-2</v>
      </c>
      <c r="J55" s="1161">
        <f t="shared" si="30"/>
        <v>0.21018163545465157</v>
      </c>
      <c r="K55" s="1161">
        <f t="shared" si="30"/>
        <v>2.5953539706713488E-2</v>
      </c>
      <c r="L55" s="1161">
        <f t="shared" si="30"/>
        <v>5.7476244175293345E-2</v>
      </c>
    </row>
    <row r="56" spans="2:13" x14ac:dyDescent="0.2">
      <c r="D56" s="1158" t="s">
        <v>989</v>
      </c>
      <c r="E56" s="1161">
        <f>E54*E$6</f>
        <v>0.11238953493224385</v>
      </c>
      <c r="F56" s="1161">
        <f t="shared" ref="F56:L56" si="31">F54*F$6</f>
        <v>7.2828418636094058E-2</v>
      </c>
      <c r="G56" s="1161">
        <f t="shared" si="31"/>
        <v>0.38202029181504316</v>
      </c>
      <c r="H56" s="1161">
        <f t="shared" si="31"/>
        <v>0.14245249759185558</v>
      </c>
      <c r="I56" s="1161">
        <f t="shared" si="31"/>
        <v>3.8033177425264381E-2</v>
      </c>
      <c r="J56" s="1161">
        <f t="shared" si="31"/>
        <v>0.21018163545465157</v>
      </c>
      <c r="K56" s="1161">
        <f t="shared" si="31"/>
        <v>2.5953539706713488E-2</v>
      </c>
      <c r="L56" s="1161">
        <f t="shared" si="31"/>
        <v>5.7476244175293345E-2</v>
      </c>
    </row>
    <row r="57" spans="2:13" x14ac:dyDescent="0.2">
      <c r="D57" s="1158" t="s">
        <v>992</v>
      </c>
      <c r="E57" s="1161">
        <f ca="1">E53*E$6+E52</f>
        <v>0.6369152842071687</v>
      </c>
      <c r="F57" s="1161">
        <f t="shared" ref="F57:L57" ca="1" si="32">F53*F$6+F52</f>
        <v>0.56326134696836461</v>
      </c>
      <c r="G57" s="1161">
        <f t="shared" ca="1" si="32"/>
        <v>0.64365238953897141</v>
      </c>
      <c r="H57" s="1161">
        <f t="shared" ca="1" si="32"/>
        <v>0.62499356478197288</v>
      </c>
      <c r="I57" s="1161">
        <f t="shared" ca="1" si="32"/>
        <v>0.64073859638564135</v>
      </c>
      <c r="J57" s="1161">
        <f t="shared" ca="1" si="32"/>
        <v>0.80315365688284235</v>
      </c>
      <c r="K57" s="1161">
        <f t="shared" ca="1" si="32"/>
        <v>1.018845328892404</v>
      </c>
      <c r="L57" s="1161">
        <f t="shared" ca="1" si="32"/>
        <v>0.99863741610287549</v>
      </c>
    </row>
    <row r="58" spans="2:13" x14ac:dyDescent="0.2">
      <c r="D58" s="1158" t="s">
        <v>991</v>
      </c>
      <c r="E58" s="1161">
        <f ca="1">E52+E56</f>
        <v>0.7942606331123101</v>
      </c>
      <c r="F58" s="1161">
        <f t="shared" ref="F58:L58" ca="1" si="33">F52+F56</f>
        <v>0.70891818424055264</v>
      </c>
      <c r="G58" s="1161">
        <f t="shared" ca="1" si="33"/>
        <v>1.2803528758973766</v>
      </c>
      <c r="H58" s="1161">
        <f t="shared" ca="1" si="33"/>
        <v>0.90989855996568414</v>
      </c>
      <c r="I58" s="1161">
        <f t="shared" ca="1" si="33"/>
        <v>0.75483812866143452</v>
      </c>
      <c r="J58" s="1161">
        <f t="shared" ca="1" si="33"/>
        <v>1.2235169277921454</v>
      </c>
      <c r="K58" s="1161">
        <f t="shared" ca="1" si="33"/>
        <v>1.0707524083058308</v>
      </c>
      <c r="L58" s="1161">
        <f t="shared" ca="1" si="33"/>
        <v>1.1135899044534623</v>
      </c>
    </row>
    <row r="59" spans="2:13" ht="51" x14ac:dyDescent="0.2">
      <c r="D59" s="1162" t="s">
        <v>76</v>
      </c>
      <c r="E59" s="1163" t="s">
        <v>987</v>
      </c>
      <c r="F59" s="1164" t="s">
        <v>758</v>
      </c>
      <c r="G59" s="1163" t="s">
        <v>986</v>
      </c>
      <c r="H59" s="1163" t="s">
        <v>990</v>
      </c>
      <c r="I59" s="1163" t="s">
        <v>985</v>
      </c>
      <c r="J59" s="1163" t="s">
        <v>984</v>
      </c>
      <c r="K59" s="1164" t="s">
        <v>758</v>
      </c>
      <c r="L59" s="1164" t="s">
        <v>758</v>
      </c>
    </row>
    <row r="61" spans="2:13" x14ac:dyDescent="0.2">
      <c r="E61" s="1165" t="str">
        <f>"+"&amp;ROUND(E54*100,0)&amp;"% upper 
" &amp;ROUND(E53*100,0)&amp;"% lower"</f>
        <v>+28% upper 
-11% lower</v>
      </c>
      <c r="F61" s="1165" t="str">
        <f t="shared" ref="F61:L61" si="34">"+"&amp;ROUND(F54*100,0)&amp;"% upper 
" &amp;ROUND(F53*100,0)&amp;"% lower"</f>
        <v>+20% upper 
-20% lower</v>
      </c>
      <c r="G61" s="1165" t="str">
        <f t="shared" si="34"/>
        <v>+60% upper 
-40% lower</v>
      </c>
      <c r="H61" s="1165" t="str">
        <f t="shared" si="34"/>
        <v>+30% upper 
-30% lower</v>
      </c>
      <c r="I61" s="1165" t="str">
        <f t="shared" si="34"/>
        <v>+8% upper 
-17% lower</v>
      </c>
      <c r="J61" s="1165" t="str">
        <f t="shared" si="34"/>
        <v>+30% upper 
-30% lower</v>
      </c>
      <c r="K61" s="1165" t="str">
        <f t="shared" si="34"/>
        <v>+20% upper 
-20% lower</v>
      </c>
      <c r="L61" s="1165" t="str">
        <f t="shared" si="34"/>
        <v>+20% upper 
-20% lower</v>
      </c>
      <c r="M61" s="927"/>
    </row>
    <row r="65" spans="2:10" x14ac:dyDescent="0.2">
      <c r="B65" s="927">
        <v>5</v>
      </c>
      <c r="C65" s="927" t="str">
        <f>'Costs per L'!E10</f>
        <v>C-Syrup (Sucrosic)</v>
      </c>
      <c r="D65" s="1133" t="str">
        <f>"Table "&amp;B65&amp;": "&amp;C65&amp;" production costs"</f>
        <v>Table 5: C-Syrup (Sucrosic) production costs</v>
      </c>
      <c r="H65" s="927"/>
    </row>
    <row r="66" spans="2:10" x14ac:dyDescent="0.2">
      <c r="D66" s="987" t="s">
        <v>716</v>
      </c>
      <c r="E66" s="987" t="s">
        <v>759</v>
      </c>
      <c r="F66" s="987" t="s">
        <v>714</v>
      </c>
      <c r="H66" s="927"/>
    </row>
    <row r="67" spans="2:10" x14ac:dyDescent="0.2">
      <c r="B67" s="927" t="s">
        <v>703</v>
      </c>
      <c r="D67" s="1076" t="s">
        <v>285</v>
      </c>
      <c r="E67" s="1166">
        <f>INDEX('C-Syrup (Sucrosic)'!$L:$L,MATCH($B67,'C-Syrup (Sucrosic)'!$A:$A,0))</f>
        <v>45639812.91031725</v>
      </c>
      <c r="F67" s="1167">
        <f>E67/($G$2*10^6)</f>
        <v>0.45639812910317251</v>
      </c>
      <c r="H67" s="1153">
        <f>E67/E$78</f>
        <v>0.55558341629930463</v>
      </c>
      <c r="I67" s="927"/>
      <c r="J67" s="927"/>
    </row>
    <row r="68" spans="2:10" x14ac:dyDescent="0.2">
      <c r="B68" s="927" t="s">
        <v>704</v>
      </c>
      <c r="D68" s="1076" t="s">
        <v>86</v>
      </c>
      <c r="E68" s="1166">
        <f>INDEX('C-Syrup (Sucrosic)'!$L:$L,MATCH($B68,'C-Syrup (Sucrosic)'!$A:$A,0))</f>
        <v>4615438.758262801</v>
      </c>
      <c r="F68" s="1167">
        <f t="shared" ref="F68:F77" si="35">E68/($G$2*10^6)</f>
        <v>4.6154387582628006E-2</v>
      </c>
      <c r="H68" s="1153">
        <f t="shared" ref="H68:H77" si="36">E68/E$78</f>
        <v>5.6184744623617749E-2</v>
      </c>
      <c r="I68" s="927"/>
      <c r="J68" s="927"/>
    </row>
    <row r="69" spans="2:10" x14ac:dyDescent="0.2">
      <c r="B69" s="927" t="s">
        <v>705</v>
      </c>
      <c r="D69" s="1076" t="s">
        <v>131</v>
      </c>
      <c r="E69" s="1166">
        <f>INDEX('C-Syrup (Sucrosic)'!$L:$L,MATCH($B69,'C-Syrup (Sucrosic)'!$A:$A,0))</f>
        <v>1265000</v>
      </c>
      <c r="F69" s="1167">
        <f t="shared" si="35"/>
        <v>1.265E-2</v>
      </c>
      <c r="H69" s="1153">
        <f t="shared" si="36"/>
        <v>1.5399121442492673E-2</v>
      </c>
      <c r="I69" s="927"/>
      <c r="J69" s="927"/>
    </row>
    <row r="70" spans="2:10" x14ac:dyDescent="0.2">
      <c r="B70" s="927" t="s">
        <v>706</v>
      </c>
      <c r="D70" s="1076" t="s">
        <v>139</v>
      </c>
      <c r="E70" s="1166">
        <f>INDEX('C-Syrup (Sucrosic)'!$L:$L,MATCH($B70,'C-Syrup (Sucrosic)'!$A:$A,0))</f>
        <v>3130000</v>
      </c>
      <c r="F70" s="1167">
        <f t="shared" si="35"/>
        <v>3.1300000000000001E-2</v>
      </c>
      <c r="H70" s="1153">
        <f t="shared" si="36"/>
        <v>3.8102174003954201E-2</v>
      </c>
      <c r="I70" s="927"/>
      <c r="J70" s="927"/>
    </row>
    <row r="71" spans="2:10" x14ac:dyDescent="0.2">
      <c r="B71" s="927" t="s">
        <v>707</v>
      </c>
      <c r="D71" s="1076" t="s">
        <v>594</v>
      </c>
      <c r="E71" s="1166">
        <f>INDEX('C-Syrup (Sucrosic)'!$L:$L,MATCH($B71,'C-Syrup (Sucrosic)'!$A:$A,0))</f>
        <v>784828.8</v>
      </c>
      <c r="F71" s="1167">
        <f t="shared" si="35"/>
        <v>7.8482880000000001E-3</v>
      </c>
      <c r="H71" s="1153">
        <f t="shared" si="36"/>
        <v>9.5538924923049759E-3</v>
      </c>
      <c r="I71" s="927"/>
      <c r="J71" s="927"/>
    </row>
    <row r="72" spans="2:10" x14ac:dyDescent="0.2">
      <c r="B72" s="927" t="s">
        <v>708</v>
      </c>
      <c r="D72" s="1076" t="s">
        <v>713</v>
      </c>
      <c r="E72" s="1166">
        <f>INDEX('C-Syrup (Sucrosic)'!$L:$L,MATCH($B72,'C-Syrup (Sucrosic)'!$A:$A,0))</f>
        <v>6312600</v>
      </c>
      <c r="F72" s="1167">
        <f t="shared" si="35"/>
        <v>6.3126000000000002E-2</v>
      </c>
      <c r="H72" s="1153">
        <f t="shared" si="36"/>
        <v>7.6844659302671342E-2</v>
      </c>
      <c r="I72" s="927"/>
      <c r="J72" s="927"/>
    </row>
    <row r="73" spans="2:10" x14ac:dyDescent="0.2">
      <c r="B73" s="927" t="s">
        <v>709</v>
      </c>
      <c r="D73" s="1076" t="s">
        <v>190</v>
      </c>
      <c r="E73" s="1166">
        <f>INDEX('C-Syrup (Sucrosic)'!$L:$L,MATCH($B73,'C-Syrup (Sucrosic)'!$A:$A,0))</f>
        <v>3438000</v>
      </c>
      <c r="F73" s="1167">
        <f t="shared" si="35"/>
        <v>3.4380000000000001E-2</v>
      </c>
      <c r="H73" s="1153">
        <f t="shared" si="36"/>
        <v>4.1851525311691548E-2</v>
      </c>
      <c r="I73" s="927"/>
      <c r="J73" s="927"/>
    </row>
    <row r="74" spans="2:10" x14ac:dyDescent="0.2">
      <c r="B74" s="927" t="s">
        <v>710</v>
      </c>
      <c r="D74" s="1076" t="s">
        <v>184</v>
      </c>
      <c r="E74" s="1166">
        <f>INDEX('C-Syrup (Sucrosic)'!$L:$L,MATCH($B74,'C-Syrup (Sucrosic)'!$A:$A,0))</f>
        <v>11152515</v>
      </c>
      <c r="F74" s="1167">
        <f t="shared" si="35"/>
        <v>0.11152515</v>
      </c>
      <c r="H74" s="1153">
        <f t="shared" si="36"/>
        <v>0.1357620022721116</v>
      </c>
      <c r="I74" s="927"/>
      <c r="J74" s="927"/>
    </row>
    <row r="75" spans="2:10" x14ac:dyDescent="0.2">
      <c r="B75" s="927" t="s">
        <v>711</v>
      </c>
      <c r="D75" s="1076" t="s">
        <v>218</v>
      </c>
      <c r="E75" s="1166">
        <f>INDEX('C-Syrup (Sucrosic)'!$L:$L,MATCH($B75,'C-Syrup (Sucrosic)'!$A:$A,0))</f>
        <v>2745000</v>
      </c>
      <c r="F75" s="1167">
        <f t="shared" si="35"/>
        <v>2.7449999999999999E-2</v>
      </c>
      <c r="H75" s="1153">
        <f t="shared" si="36"/>
        <v>3.3415484869282523E-2</v>
      </c>
      <c r="I75" s="927"/>
      <c r="J75" s="927"/>
    </row>
    <row r="76" spans="2:10" x14ac:dyDescent="0.2">
      <c r="B76" s="927" t="s">
        <v>712</v>
      </c>
      <c r="D76" s="1076" t="s">
        <v>223</v>
      </c>
      <c r="E76" s="1166">
        <f>INDEX('C-Syrup (Sucrosic)'!$L:$L,MATCH($B76,'C-Syrup (Sucrosic)'!$A:$A,0))</f>
        <v>1585741.875</v>
      </c>
      <c r="F76" s="1167">
        <f t="shared" si="35"/>
        <v>1.5857418750000001E-2</v>
      </c>
      <c r="H76" s="1153">
        <f t="shared" si="36"/>
        <v>1.930358237910754E-2</v>
      </c>
      <c r="I76" s="927"/>
      <c r="J76" s="927"/>
    </row>
    <row r="77" spans="2:10" x14ac:dyDescent="0.2">
      <c r="B77" s="927" t="s">
        <v>715</v>
      </c>
      <c r="D77" s="1168" t="s">
        <v>692</v>
      </c>
      <c r="E77" s="1169">
        <f>INDEX('C-Syrup (Sucrosic)'!$L:$L,MATCH($B77,'C-Syrup (Sucrosic)'!$A:$A,0))</f>
        <v>1478606.2500000002</v>
      </c>
      <c r="F77" s="1170">
        <f t="shared" si="35"/>
        <v>1.4786062500000002E-2</v>
      </c>
      <c r="H77" s="1153">
        <f t="shared" si="36"/>
        <v>1.7999397003461412E-2</v>
      </c>
      <c r="I77" s="927"/>
      <c r="J77" s="927"/>
    </row>
    <row r="78" spans="2:10" ht="13.5" thickBot="1" x14ac:dyDescent="0.25">
      <c r="D78" s="1171" t="s">
        <v>488</v>
      </c>
      <c r="E78" s="1172">
        <f>SUM(E67:E77)</f>
        <v>82147543.593580037</v>
      </c>
      <c r="F78" s="1173">
        <f>SUM(F67:F77)</f>
        <v>0.82147543593580052</v>
      </c>
      <c r="H78" s="1174">
        <f>'Costs per L'!AA18</f>
        <v>0.8218039999878255</v>
      </c>
      <c r="I78" s="1175">
        <f>H78/F78-1</f>
        <v>3.9996820069321259E-4</v>
      </c>
      <c r="J78" s="927"/>
    </row>
    <row r="79" spans="2:10" x14ac:dyDescent="0.2">
      <c r="E79" s="1176"/>
      <c r="F79" s="1177"/>
      <c r="H79" s="927"/>
      <c r="I79" s="927"/>
      <c r="J79" s="927"/>
    </row>
    <row r="80" spans="2:10" x14ac:dyDescent="0.2">
      <c r="B80" s="927">
        <f>B65+1</f>
        <v>6</v>
      </c>
      <c r="C80" s="927" t="str">
        <f>'Costs per L'!E38</f>
        <v>Wheat Integrated (Starch)</v>
      </c>
      <c r="D80" s="1133" t="str">
        <f>"Table "&amp;B80&amp;": "&amp;C80&amp;" production costs"</f>
        <v>Table 6: Wheat Integrated (Starch) production costs</v>
      </c>
      <c r="G80" s="922"/>
      <c r="H80" s="927"/>
      <c r="I80" s="927"/>
      <c r="J80" s="927"/>
    </row>
    <row r="81" spans="2:10" x14ac:dyDescent="0.2">
      <c r="D81" s="987" t="s">
        <v>716</v>
      </c>
      <c r="E81" s="987" t="s">
        <v>759</v>
      </c>
      <c r="F81" s="987" t="s">
        <v>714</v>
      </c>
      <c r="G81" s="922"/>
      <c r="H81" s="927"/>
      <c r="I81" s="927"/>
      <c r="J81" s="927"/>
    </row>
    <row r="82" spans="2:10" x14ac:dyDescent="0.2">
      <c r="B82" s="927" t="s">
        <v>703</v>
      </c>
      <c r="D82" s="1076" t="s">
        <v>285</v>
      </c>
      <c r="E82" s="1166">
        <f>ABS(INDEX('Wheat Integrated (Starch)'!$M:$M,MATCH($B82,'Wheat Integrated (Starch)'!$A:$A,0)))</f>
        <v>36414209.318047017</v>
      </c>
      <c r="F82" s="1178">
        <f t="shared" ref="F82:F91" si="37">E82/($G$2*10^6)</f>
        <v>0.36414209318047019</v>
      </c>
      <c r="G82" s="922"/>
      <c r="H82" s="1153">
        <f t="shared" ref="H82:H91" si="38">E82/E$92</f>
        <v>0.59417731268951302</v>
      </c>
      <c r="I82" s="927"/>
      <c r="J82" s="927"/>
    </row>
    <row r="83" spans="2:10" x14ac:dyDescent="0.2">
      <c r="B83" s="927" t="s">
        <v>704</v>
      </c>
      <c r="D83" s="1076" t="s">
        <v>86</v>
      </c>
      <c r="E83" s="1166">
        <f>ABS(INDEX('Wheat Integrated (Starch)'!$M:$M,MATCH($B83,'Wheat Integrated (Starch)'!$A:$A,0)))</f>
        <v>2713977.1410726625</v>
      </c>
      <c r="F83" s="1178">
        <f t="shared" si="37"/>
        <v>2.7139771410726626E-2</v>
      </c>
      <c r="G83" s="922"/>
      <c r="H83" s="1153">
        <f t="shared" si="38"/>
        <v>4.428446132933387E-2</v>
      </c>
      <c r="I83" s="927"/>
      <c r="J83" s="927"/>
    </row>
    <row r="84" spans="2:10" x14ac:dyDescent="0.2">
      <c r="B84" s="927" t="s">
        <v>705</v>
      </c>
      <c r="D84" s="1076" t="s">
        <v>131</v>
      </c>
      <c r="E84" s="1166">
        <f>ABS(INDEX('Wheat Integrated (Starch)'!$M:$M,MATCH($B84,'Wheat Integrated (Starch)'!$A:$A,0)))</f>
        <v>1981577.2997224142</v>
      </c>
      <c r="F84" s="1178">
        <f t="shared" si="37"/>
        <v>1.9815772997224142E-2</v>
      </c>
      <c r="G84" s="922"/>
      <c r="H84" s="1153">
        <f t="shared" si="38"/>
        <v>3.2333759180432839E-2</v>
      </c>
      <c r="I84" s="927"/>
      <c r="J84" s="927"/>
    </row>
    <row r="85" spans="2:10" x14ac:dyDescent="0.2">
      <c r="B85" s="927" t="s">
        <v>706</v>
      </c>
      <c r="D85" s="1076" t="s">
        <v>139</v>
      </c>
      <c r="E85" s="1166">
        <f>ABS(INDEX('Wheat Integrated (Starch)'!$M:$M,MATCH($B85,'Wheat Integrated (Starch)'!$A:$A,0)))</f>
        <v>2730000</v>
      </c>
      <c r="F85" s="1178">
        <f t="shared" si="37"/>
        <v>2.7300000000000001E-2</v>
      </c>
      <c r="G85" s="922"/>
      <c r="H85" s="1153">
        <f t="shared" si="38"/>
        <v>4.4545909248630861E-2</v>
      </c>
      <c r="I85" s="927"/>
      <c r="J85" s="927"/>
    </row>
    <row r="86" spans="2:10" x14ac:dyDescent="0.2">
      <c r="B86" s="927" t="s">
        <v>707</v>
      </c>
      <c r="D86" s="1076" t="s">
        <v>594</v>
      </c>
      <c r="E86" s="1166">
        <f>ABS(INDEX('Wheat Integrated (Starch)'!$M:$M,MATCH($B86,'Wheat Integrated (Starch)'!$A:$A,0)))</f>
        <v>1036409.9518324608</v>
      </c>
      <c r="F86" s="1178">
        <f t="shared" si="37"/>
        <v>1.0364099518324609E-2</v>
      </c>
      <c r="G86" s="922"/>
      <c r="H86" s="1153">
        <f t="shared" si="38"/>
        <v>1.6911290717474974E-2</v>
      </c>
      <c r="I86" s="927"/>
      <c r="J86" s="927"/>
    </row>
    <row r="87" spans="2:10" x14ac:dyDescent="0.2">
      <c r="B87" s="927" t="s">
        <v>709</v>
      </c>
      <c r="D87" s="1076" t="s">
        <v>190</v>
      </c>
      <c r="E87" s="1166">
        <f>ABS(INDEX('Wheat Integrated (Starch)'!$M:$M,MATCH($B87,'Wheat Integrated (Starch)'!$A:$A,0)))</f>
        <v>2910000</v>
      </c>
      <c r="F87" s="1178">
        <f t="shared" si="37"/>
        <v>2.9100000000000001E-2</v>
      </c>
      <c r="G87" s="922"/>
      <c r="H87" s="1153">
        <f t="shared" si="38"/>
        <v>4.7483002166123008E-2</v>
      </c>
      <c r="I87" s="927"/>
      <c r="J87" s="927"/>
    </row>
    <row r="88" spans="2:10" x14ac:dyDescent="0.2">
      <c r="B88" s="927" t="s">
        <v>710</v>
      </c>
      <c r="D88" s="1076" t="s">
        <v>184</v>
      </c>
      <c r="E88" s="1166">
        <f>ABS(INDEX('Wheat Integrated (Starch)'!$M:$M,MATCH($B88,'Wheat Integrated (Starch)'!$A:$A,0)))</f>
        <v>7594125</v>
      </c>
      <c r="F88" s="1178">
        <f t="shared" si="37"/>
        <v>7.5941250000000002E-2</v>
      </c>
      <c r="G88" s="922"/>
      <c r="H88" s="1179">
        <f t="shared" si="38"/>
        <v>0.12391472640027797</v>
      </c>
      <c r="I88" s="921"/>
      <c r="J88" s="921"/>
    </row>
    <row r="89" spans="2:10" x14ac:dyDescent="0.2">
      <c r="B89" s="927" t="s">
        <v>711</v>
      </c>
      <c r="D89" s="1076" t="s">
        <v>218</v>
      </c>
      <c r="E89" s="1166">
        <f>ABS(INDEX('Wheat Integrated (Starch)'!$M:$M,MATCH($B89,'Wheat Integrated (Starch)'!$A:$A,0)))</f>
        <v>3191400</v>
      </c>
      <c r="F89" s="1178">
        <f t="shared" si="37"/>
        <v>3.1913999999999998E-2</v>
      </c>
      <c r="G89" s="922"/>
      <c r="H89" s="1179">
        <f t="shared" si="38"/>
        <v>5.2074657427135726E-2</v>
      </c>
      <c r="I89" s="921"/>
      <c r="J89" s="921"/>
    </row>
    <row r="90" spans="2:10" x14ac:dyDescent="0.2">
      <c r="B90" s="927" t="s">
        <v>712</v>
      </c>
      <c r="D90" s="1076" t="s">
        <v>223</v>
      </c>
      <c r="E90" s="1166">
        <f>ABS(INDEX('Wheat Integrated (Starch)'!$M:$M,MATCH($B90,'Wheat Integrated (Starch)'!$A:$A,0)))</f>
        <v>1241590</v>
      </c>
      <c r="F90" s="1178">
        <f t="shared" si="37"/>
        <v>1.2415900000000001E-2</v>
      </c>
      <c r="G90" s="922"/>
      <c r="H90" s="1179">
        <f t="shared" si="38"/>
        <v>2.0259251085717064E-2</v>
      </c>
      <c r="I90" s="921"/>
      <c r="J90" s="921"/>
    </row>
    <row r="91" spans="2:10" x14ac:dyDescent="0.2">
      <c r="B91" s="927" t="s">
        <v>715</v>
      </c>
      <c r="D91" s="1076" t="s">
        <v>692</v>
      </c>
      <c r="E91" s="1166">
        <f>ABS(INDEX('Wheat Integrated (Starch)'!$M:$M,MATCH($B91,'Wheat Integrated (Starch)'!$A:$A,0)))</f>
        <v>1471800</v>
      </c>
      <c r="F91" s="1178">
        <f t="shared" si="37"/>
        <v>1.4718E-2</v>
      </c>
      <c r="G91" s="922"/>
      <c r="H91" s="1179">
        <f t="shared" si="38"/>
        <v>2.4015629755360771E-2</v>
      </c>
      <c r="I91" s="921"/>
      <c r="J91" s="921"/>
    </row>
    <row r="92" spans="2:10" ht="13.5" thickBot="1" x14ac:dyDescent="0.25">
      <c r="D92" s="1171" t="s">
        <v>488</v>
      </c>
      <c r="E92" s="1172">
        <f>SUM(E82:E91)</f>
        <v>61285088.710674547</v>
      </c>
      <c r="F92" s="1173">
        <f>SUM(F82:F91)</f>
        <v>0.61285088710674562</v>
      </c>
      <c r="G92" s="922"/>
      <c r="H92" s="1180">
        <f>'Costs per L'!AA46</f>
        <v>0.61750948472279388</v>
      </c>
      <c r="I92" s="1181">
        <f>H92/F92-1</f>
        <v>7.6015189241895875E-3</v>
      </c>
      <c r="J92" s="921"/>
    </row>
    <row r="93" spans="2:10" x14ac:dyDescent="0.2">
      <c r="D93" s="986" t="s">
        <v>718</v>
      </c>
      <c r="E93" s="1176"/>
      <c r="F93" s="1177"/>
      <c r="G93" s="922"/>
      <c r="H93" s="1182"/>
      <c r="I93" s="921"/>
      <c r="J93" s="921"/>
    </row>
    <row r="94" spans="2:10" x14ac:dyDescent="0.2">
      <c r="E94" s="1176"/>
      <c r="F94" s="1177"/>
      <c r="G94" s="922"/>
      <c r="H94" s="1182"/>
      <c r="I94" s="921"/>
      <c r="J94" s="921"/>
    </row>
    <row r="95" spans="2:10" x14ac:dyDescent="0.2">
      <c r="B95" s="927">
        <f>B80+1</f>
        <v>7</v>
      </c>
      <c r="C95" s="927" t="str">
        <f>'Costs per L'!E66</f>
        <v>B-Syrup (Sucrosic)</v>
      </c>
      <c r="D95" s="1133" t="str">
        <f>"Table "&amp;B95&amp;": "&amp;C95&amp;" production costs"</f>
        <v>Table 7: B-Syrup (Sucrosic) production costs</v>
      </c>
      <c r="H95" s="1182"/>
      <c r="I95" s="921"/>
      <c r="J95" s="921"/>
    </row>
    <row r="96" spans="2:10" x14ac:dyDescent="0.2">
      <c r="D96" s="987" t="s">
        <v>716</v>
      </c>
      <c r="E96" s="987" t="s">
        <v>759</v>
      </c>
      <c r="F96" s="987" t="s">
        <v>714</v>
      </c>
      <c r="H96" s="1182"/>
      <c r="I96" s="921"/>
      <c r="J96" s="921"/>
    </row>
    <row r="97" spans="2:11" x14ac:dyDescent="0.2">
      <c r="B97" s="927" t="s">
        <v>703</v>
      </c>
      <c r="D97" s="1076" t="s">
        <v>285</v>
      </c>
      <c r="E97" s="1166">
        <f>ABS(INDEX('B-Syrup (Sucrosic)'!$L:$L,MATCH($B97,'B-Syrup (Sucrosic)'!$A:$A,0)))</f>
        <v>70060545.151550502</v>
      </c>
      <c r="F97" s="1167">
        <f t="shared" ref="F97:F107" si="39">E97/($G$2*10^6)</f>
        <v>0.70060545151550502</v>
      </c>
      <c r="H97" s="1179">
        <f>E97/E$108</f>
        <v>0.66276974272662892</v>
      </c>
      <c r="I97" s="921"/>
      <c r="J97" s="921"/>
    </row>
    <row r="98" spans="2:11" x14ac:dyDescent="0.2">
      <c r="B98" s="927" t="s">
        <v>704</v>
      </c>
      <c r="D98" s="1076" t="s">
        <v>86</v>
      </c>
      <c r="E98" s="1166">
        <f>ABS(INDEX('B-Syrup (Sucrosic)'!$L:$L,MATCH($B98,'B-Syrup (Sucrosic)'!$A:$A,0)))</f>
        <v>3755888.9484518277</v>
      </c>
      <c r="F98" s="1167">
        <f t="shared" si="39"/>
        <v>3.7558889484518278E-2</v>
      </c>
      <c r="H98" s="1179">
        <f t="shared" ref="H98:H107" si="40">E98/E$108</f>
        <v>3.5530547852440121E-2</v>
      </c>
      <c r="I98" s="921"/>
      <c r="J98" s="921"/>
    </row>
    <row r="99" spans="2:11" x14ac:dyDescent="0.2">
      <c r="B99" s="927" t="s">
        <v>705</v>
      </c>
      <c r="D99" s="1076" t="s">
        <v>131</v>
      </c>
      <c r="E99" s="1166">
        <f>ABS(INDEX('B-Syrup (Sucrosic)'!$L:$L,MATCH($B99,'B-Syrup (Sucrosic)'!$A:$A,0)))</f>
        <v>1265000</v>
      </c>
      <c r="F99" s="1167">
        <f t="shared" si="39"/>
        <v>1.265E-2</v>
      </c>
      <c r="H99" s="1179">
        <f t="shared" si="40"/>
        <v>1.1966845572434588E-2</v>
      </c>
      <c r="I99" s="921"/>
      <c r="J99" s="921"/>
    </row>
    <row r="100" spans="2:11" x14ac:dyDescent="0.2">
      <c r="B100" s="927" t="s">
        <v>706</v>
      </c>
      <c r="D100" s="1076" t="s">
        <v>139</v>
      </c>
      <c r="E100" s="1166">
        <f>ABS(INDEX('B-Syrup (Sucrosic)'!$L:$L,MATCH($B100,'B-Syrup (Sucrosic)'!$A:$A,0)))</f>
        <v>3130000</v>
      </c>
      <c r="F100" s="1167">
        <f t="shared" si="39"/>
        <v>3.1300000000000001E-2</v>
      </c>
      <c r="H100" s="1179">
        <f t="shared" si="40"/>
        <v>2.9609665329423131E-2</v>
      </c>
      <c r="I100" s="921"/>
      <c r="J100" s="921"/>
    </row>
    <row r="101" spans="2:11" x14ac:dyDescent="0.2">
      <c r="B101" s="927" t="s">
        <v>707</v>
      </c>
      <c r="D101" s="1076" t="s">
        <v>594</v>
      </c>
      <c r="E101" s="1166">
        <f>ABS(INDEX('B-Syrup (Sucrosic)'!$L:$L,MATCH($B101,'B-Syrup (Sucrosic)'!$A:$A,0)))</f>
        <v>784828.8</v>
      </c>
      <c r="F101" s="1167">
        <f t="shared" si="39"/>
        <v>7.8482880000000001E-3</v>
      </c>
      <c r="H101" s="1153">
        <f t="shared" si="40"/>
        <v>7.4244466801574316E-3</v>
      </c>
      <c r="I101" s="927"/>
      <c r="J101" s="927"/>
    </row>
    <row r="102" spans="2:11" x14ac:dyDescent="0.2">
      <c r="B102" s="927" t="s">
        <v>708</v>
      </c>
      <c r="D102" s="1076" t="s">
        <v>436</v>
      </c>
      <c r="E102" s="1166">
        <f>ABS(INDEX('B-Syrup (Sucrosic)'!$L:$L,MATCH($B102,'B-Syrup (Sucrosic)'!$A:$A,0)))</f>
        <v>6312600</v>
      </c>
      <c r="F102" s="1167">
        <f t="shared" si="39"/>
        <v>6.3126000000000002E-2</v>
      </c>
      <c r="H102" s="1153">
        <f t="shared" si="40"/>
        <v>5.9716924395692157E-2</v>
      </c>
      <c r="I102" s="927"/>
      <c r="J102" s="927"/>
    </row>
    <row r="103" spans="2:11" x14ac:dyDescent="0.2">
      <c r="B103" s="927" t="s">
        <v>709</v>
      </c>
      <c r="D103" s="1076" t="s">
        <v>190</v>
      </c>
      <c r="E103" s="1166">
        <f>ABS(INDEX('B-Syrup (Sucrosic)'!$L:$L,MATCH($B103,'B-Syrup (Sucrosic)'!$A:$A,0)))</f>
        <v>3438000</v>
      </c>
      <c r="F103" s="1167">
        <f t="shared" si="39"/>
        <v>3.4380000000000001E-2</v>
      </c>
      <c r="H103" s="1153">
        <f t="shared" si="40"/>
        <v>3.2523332077494159E-2</v>
      </c>
      <c r="I103" s="927"/>
      <c r="J103" s="927"/>
    </row>
    <row r="104" spans="2:11" x14ac:dyDescent="0.2">
      <c r="B104" s="927" t="s">
        <v>710</v>
      </c>
      <c r="D104" s="1076" t="s">
        <v>184</v>
      </c>
      <c r="E104" s="1166">
        <f>ABS(INDEX('B-Syrup (Sucrosic)'!$L:$L,MATCH($B104,'B-Syrup (Sucrosic)'!$A:$A,0)))</f>
        <v>11152515</v>
      </c>
      <c r="F104" s="1167">
        <f t="shared" si="39"/>
        <v>0.11152515</v>
      </c>
      <c r="H104" s="1153">
        <f t="shared" si="40"/>
        <v>0.10550231205475125</v>
      </c>
      <c r="I104" s="927"/>
      <c r="J104" s="927"/>
    </row>
    <row r="105" spans="2:11" x14ac:dyDescent="0.2">
      <c r="B105" s="927" t="s">
        <v>711</v>
      </c>
      <c r="D105" s="1076" t="s">
        <v>218</v>
      </c>
      <c r="E105" s="1166">
        <f>ABS(INDEX('B-Syrup (Sucrosic)'!$L:$L,MATCH($B105,'B-Syrup (Sucrosic)'!$A:$A,0)))</f>
        <v>2745000</v>
      </c>
      <c r="F105" s="1167">
        <f t="shared" si="39"/>
        <v>2.7449999999999999E-2</v>
      </c>
      <c r="H105" s="1153">
        <f t="shared" si="40"/>
        <v>2.5967581894334343E-2</v>
      </c>
      <c r="I105" s="927"/>
      <c r="J105" s="927"/>
    </row>
    <row r="106" spans="2:11" x14ac:dyDescent="0.2">
      <c r="B106" s="927" t="s">
        <v>712</v>
      </c>
      <c r="D106" s="1076" t="s">
        <v>223</v>
      </c>
      <c r="E106" s="1166">
        <f>ABS(INDEX('B-Syrup (Sucrosic)'!$L:$L,MATCH($B106,'B-Syrup (Sucrosic)'!$A:$A,0)))</f>
        <v>1585741.875</v>
      </c>
      <c r="F106" s="1167">
        <f t="shared" si="39"/>
        <v>1.5857418750000001E-2</v>
      </c>
      <c r="H106" s="1153">
        <f t="shared" si="40"/>
        <v>1.5001049909776973E-2</v>
      </c>
      <c r="I106" s="927"/>
      <c r="J106" s="927"/>
    </row>
    <row r="107" spans="2:11" x14ac:dyDescent="0.2">
      <c r="B107" s="927" t="s">
        <v>715</v>
      </c>
      <c r="D107" s="1076" t="s">
        <v>692</v>
      </c>
      <c r="E107" s="1166">
        <f>ABS(INDEX('B-Syrup (Sucrosic)'!$L:$L,MATCH($B107,'B-Syrup (Sucrosic)'!$A:$A,0)))</f>
        <v>1478606.2500000002</v>
      </c>
      <c r="F107" s="1167">
        <f t="shared" si="39"/>
        <v>1.4786062500000002E-2</v>
      </c>
      <c r="H107" s="1153">
        <f t="shared" si="40"/>
        <v>1.3987551506866886E-2</v>
      </c>
      <c r="I107" s="927"/>
      <c r="J107" s="927"/>
      <c r="K107" s="927"/>
    </row>
    <row r="108" spans="2:11" ht="13.5" thickBot="1" x14ac:dyDescent="0.25">
      <c r="D108" s="1171" t="s">
        <v>488</v>
      </c>
      <c r="E108" s="1172">
        <f>SUM(E97:E107)</f>
        <v>105708726.02500233</v>
      </c>
      <c r="F108" s="1173">
        <f>SUM(F97:F107)</f>
        <v>1.0570872602500234</v>
      </c>
      <c r="H108" s="1174">
        <f>'Costs per L'!AA74</f>
        <v>1.0574158394166902</v>
      </c>
      <c r="I108" s="1175">
        <f>H108/F108-1</f>
        <v>3.1083447793034402E-4</v>
      </c>
      <c r="J108" s="927"/>
      <c r="K108" s="927"/>
    </row>
    <row r="109" spans="2:11" x14ac:dyDescent="0.2">
      <c r="E109" s="1176"/>
      <c r="F109" s="1177"/>
      <c r="H109" s="1183"/>
      <c r="I109" s="927"/>
      <c r="J109" s="927"/>
      <c r="K109" s="927"/>
    </row>
    <row r="110" spans="2:11" x14ac:dyDescent="0.2">
      <c r="B110" s="927">
        <f>B95+1</f>
        <v>8</v>
      </c>
      <c r="C110" s="927" t="str">
        <f>'Costs per L'!E96</f>
        <v>Sorghum (Starch)</v>
      </c>
      <c r="D110" s="1133" t="str">
        <f>"Table "&amp;B110&amp;": "&amp;C110&amp;" production costs"</f>
        <v>Table 8: Sorghum (Starch) production costs</v>
      </c>
      <c r="H110" s="1183"/>
      <c r="I110" s="927"/>
      <c r="J110" s="927"/>
      <c r="K110" s="927"/>
    </row>
    <row r="111" spans="2:11" x14ac:dyDescent="0.2">
      <c r="D111" s="987" t="s">
        <v>716</v>
      </c>
      <c r="E111" s="987" t="s">
        <v>759</v>
      </c>
      <c r="F111" s="987" t="s">
        <v>714</v>
      </c>
      <c r="H111" s="1183"/>
      <c r="I111" s="927"/>
      <c r="J111" s="927"/>
      <c r="K111" s="927"/>
    </row>
    <row r="112" spans="2:11" x14ac:dyDescent="0.2">
      <c r="B112" s="927" t="s">
        <v>703</v>
      </c>
      <c r="D112" s="1076" t="s">
        <v>285</v>
      </c>
      <c r="E112" s="1166">
        <f>ABS(INDEX('Sorgum (Starch)'!$M:$M,MATCH($B112,'Sorgum (Starch)'!$A:$A,0)))</f>
        <v>47484165.863951862</v>
      </c>
      <c r="F112" s="1167">
        <f t="shared" ref="F112:F122" si="41">E112/($G$2*10^6)</f>
        <v>0.4748416586395186</v>
      </c>
      <c r="H112" s="1153">
        <f>E112/E$123</f>
        <v>0.62299211592300308</v>
      </c>
      <c r="I112" s="927"/>
      <c r="J112" s="927"/>
      <c r="K112" s="927"/>
    </row>
    <row r="113" spans="2:11" x14ac:dyDescent="0.2">
      <c r="B113" s="927" t="s">
        <v>704</v>
      </c>
      <c r="D113" s="1076" t="s">
        <v>86</v>
      </c>
      <c r="E113" s="1166">
        <f>ABS(INDEX('Sorgum (Starch)'!$M:$M,MATCH($B113,'Sorgum (Starch)'!$A:$A,0)))</f>
        <v>2970450.2591649955</v>
      </c>
      <c r="F113" s="1167">
        <f t="shared" si="41"/>
        <v>2.9704502591649955E-2</v>
      </c>
      <c r="H113" s="1153">
        <f t="shared" ref="H113:H122" si="42">E113/E$123</f>
        <v>3.8972298629049149E-2</v>
      </c>
      <c r="I113" s="927"/>
      <c r="J113" s="927"/>
      <c r="K113" s="927"/>
    </row>
    <row r="114" spans="2:11" x14ac:dyDescent="0.2">
      <c r="B114" s="927" t="s">
        <v>705</v>
      </c>
      <c r="D114" s="1076" t="s">
        <v>131</v>
      </c>
      <c r="E114" s="1166">
        <f>ABS(INDEX('Sorgum (Starch)'!$M:$M,MATCH($B114,'Sorgum (Starch)'!$A:$A,0)))</f>
        <v>2058112.1349626658</v>
      </c>
      <c r="F114" s="1167">
        <f t="shared" si="41"/>
        <v>2.0581121349626658E-2</v>
      </c>
      <c r="H114" s="1153">
        <f t="shared" si="42"/>
        <v>2.7002425133481972E-2</v>
      </c>
      <c r="I114" s="927"/>
      <c r="J114" s="927"/>
      <c r="K114" s="927"/>
    </row>
    <row r="115" spans="2:11" x14ac:dyDescent="0.2">
      <c r="B115" s="927" t="s">
        <v>706</v>
      </c>
      <c r="D115" s="1076" t="s">
        <v>139</v>
      </c>
      <c r="E115" s="1166">
        <f>ABS(INDEX('Sorgum (Starch)'!$M:$M,MATCH($B115,'Sorgum (Starch)'!$A:$A,0)))</f>
        <v>3130000</v>
      </c>
      <c r="F115" s="1167">
        <f t="shared" si="41"/>
        <v>3.1300000000000001E-2</v>
      </c>
      <c r="H115" s="1153">
        <f t="shared" si="42"/>
        <v>4.1065590757683242E-2</v>
      </c>
      <c r="I115" s="927"/>
      <c r="J115" s="927"/>
      <c r="K115" s="927"/>
    </row>
    <row r="116" spans="2:11" x14ac:dyDescent="0.2">
      <c r="B116" s="927" t="s">
        <v>707</v>
      </c>
      <c r="D116" s="1076" t="s">
        <v>594</v>
      </c>
      <c r="E116" s="1166">
        <f>ABS(INDEX('Sorgum (Starch)'!$M:$M,MATCH($B116,'Sorgum (Starch)'!$A:$A,0)))</f>
        <v>1116409.9518324607</v>
      </c>
      <c r="F116" s="1167">
        <f t="shared" si="41"/>
        <v>1.1164099518324607E-2</v>
      </c>
      <c r="H116" s="1153">
        <f t="shared" si="42"/>
        <v>1.4647295271487761E-2</v>
      </c>
      <c r="I116" s="927"/>
      <c r="J116" s="927"/>
      <c r="K116" s="927"/>
    </row>
    <row r="117" spans="2:11" x14ac:dyDescent="0.2">
      <c r="B117" s="927" t="s">
        <v>708</v>
      </c>
      <c r="D117" s="1076" t="s">
        <v>865</v>
      </c>
      <c r="E117" s="1166">
        <f>ABS(INDEX('Sorgum (Starch)'!$M:$M,MATCH($B117,'Sorgum (Starch)'!$A:$A,0)))</f>
        <v>2437520.5143495295</v>
      </c>
      <c r="F117" s="1167">
        <f t="shared" si="41"/>
        <v>2.4375205143495296E-2</v>
      </c>
      <c r="H117" s="1153">
        <f t="shared" si="42"/>
        <v>3.198026195071417E-2</v>
      </c>
      <c r="I117" s="927"/>
      <c r="J117" s="927"/>
      <c r="K117" s="927"/>
    </row>
    <row r="118" spans="2:11" x14ac:dyDescent="0.2">
      <c r="B118" s="927" t="s">
        <v>709</v>
      </c>
      <c r="D118" s="1076" t="s">
        <v>190</v>
      </c>
      <c r="E118" s="1166">
        <f>ABS(INDEX('Sorgum (Starch)'!$M:$M,MATCH($B118,'Sorgum (Starch)'!$A:$A,0)))</f>
        <v>4020000</v>
      </c>
      <c r="F118" s="1167">
        <f t="shared" si="41"/>
        <v>4.02E-2</v>
      </c>
      <c r="H118" s="1153">
        <f t="shared" si="42"/>
        <v>5.2742388129676243E-2</v>
      </c>
      <c r="I118" s="927"/>
      <c r="J118" s="927"/>
      <c r="K118" s="927"/>
    </row>
    <row r="119" spans="2:11" x14ac:dyDescent="0.2">
      <c r="B119" s="927" t="s">
        <v>710</v>
      </c>
      <c r="D119" s="1076" t="s">
        <v>184</v>
      </c>
      <c r="E119" s="1166">
        <f>ABS(INDEX('Sorgum (Starch)'!$M:$M,MATCH($B119,'Sorgum (Starch)'!$A:$A,0)))</f>
        <v>5332160.625</v>
      </c>
      <c r="F119" s="1184">
        <f t="shared" si="41"/>
        <v>5.332160625E-2</v>
      </c>
      <c r="H119" s="1153">
        <f t="shared" si="42"/>
        <v>6.9957931655106234E-2</v>
      </c>
      <c r="I119" s="927"/>
      <c r="J119" s="927"/>
      <c r="K119" s="927"/>
    </row>
    <row r="120" spans="2:11" x14ac:dyDescent="0.2">
      <c r="B120" s="927" t="s">
        <v>711</v>
      </c>
      <c r="D120" s="1076" t="s">
        <v>218</v>
      </c>
      <c r="E120" s="1166">
        <f>ABS(INDEX('Sorgum (Starch)'!$M:$M,MATCH($B120,'Sorgum (Starch)'!$A:$A,0)))</f>
        <v>4000500</v>
      </c>
      <c r="F120" s="1184">
        <f t="shared" si="41"/>
        <v>4.0004999999999999E-2</v>
      </c>
      <c r="H120" s="1153">
        <f t="shared" si="42"/>
        <v>5.248654818725617E-2</v>
      </c>
      <c r="I120" s="927"/>
      <c r="J120" s="927"/>
      <c r="K120" s="927"/>
    </row>
    <row r="121" spans="2:11" x14ac:dyDescent="0.2">
      <c r="B121" s="927" t="s">
        <v>712</v>
      </c>
      <c r="D121" s="1076" t="s">
        <v>223</v>
      </c>
      <c r="E121" s="1166">
        <f>ABS(INDEX('Sorgum (Starch)'!$M:$M,MATCH($B121,'Sorgum (Starch)'!$A:$A,0)))</f>
        <v>1871710</v>
      </c>
      <c r="F121" s="1167">
        <f t="shared" si="41"/>
        <v>1.87171E-2</v>
      </c>
      <c r="H121" s="1153">
        <f t="shared" si="42"/>
        <v>2.4556829673183164E-2</v>
      </c>
      <c r="I121" s="927"/>
      <c r="J121" s="927"/>
      <c r="K121" s="927"/>
    </row>
    <row r="122" spans="2:11" x14ac:dyDescent="0.2">
      <c r="B122" s="927" t="s">
        <v>715</v>
      </c>
      <c r="D122" s="1076" t="s">
        <v>692</v>
      </c>
      <c r="E122" s="1166">
        <f>ABS(INDEX('Sorgum (Starch)'!$M:$M,MATCH($B122,'Sorgum (Starch)'!$A:$A,0)))</f>
        <v>1798500.0000000002</v>
      </c>
      <c r="F122" s="1167">
        <f t="shared" si="41"/>
        <v>1.7985000000000001E-2</v>
      </c>
      <c r="H122" s="1153">
        <f t="shared" si="42"/>
        <v>2.359631468935889E-2</v>
      </c>
      <c r="I122" s="927"/>
      <c r="J122" s="927"/>
      <c r="K122" s="927"/>
    </row>
    <row r="123" spans="2:11" ht="13.5" thickBot="1" x14ac:dyDescent="0.25">
      <c r="D123" s="1171" t="s">
        <v>488</v>
      </c>
      <c r="E123" s="1172">
        <f>SUM(E112:E122)</f>
        <v>76219529.349261507</v>
      </c>
      <c r="F123" s="1173">
        <f>SUM(F112:F122)</f>
        <v>0.76219529349261528</v>
      </c>
      <c r="H123" s="1174">
        <f>'Costs per L'!AA104</f>
        <v>0.76259494177461518</v>
      </c>
      <c r="I123" s="1175">
        <f>H123/F123-1</f>
        <v>5.2433842797494634E-4</v>
      </c>
      <c r="J123" s="927"/>
      <c r="K123" s="927"/>
    </row>
    <row r="124" spans="2:11" x14ac:dyDescent="0.2">
      <c r="D124" s="1185"/>
      <c r="H124" s="1183"/>
      <c r="I124" s="927"/>
      <c r="J124" s="927"/>
      <c r="K124" s="927"/>
    </row>
    <row r="125" spans="2:11" x14ac:dyDescent="0.2">
      <c r="B125" s="927">
        <f>B110+1</f>
        <v>9</v>
      </c>
      <c r="C125" s="927" t="str">
        <f>'Costs per L'!E125</f>
        <v>Forest Residues (Cellulosic)</v>
      </c>
      <c r="D125" s="1133" t="str">
        <f>"Table "&amp;B125&amp;": "&amp;C125&amp;" production costs"</f>
        <v>Table 9: Forest Residues (Cellulosic) production costs</v>
      </c>
      <c r="H125" s="1183"/>
      <c r="I125" s="927"/>
      <c r="J125" s="927"/>
      <c r="K125" s="927"/>
    </row>
    <row r="126" spans="2:11" x14ac:dyDescent="0.2">
      <c r="D126" s="987" t="s">
        <v>716</v>
      </c>
      <c r="E126" s="987" t="s">
        <v>759</v>
      </c>
      <c r="F126" s="987" t="s">
        <v>714</v>
      </c>
      <c r="H126" s="1183"/>
      <c r="I126" s="927"/>
      <c r="J126" s="927"/>
      <c r="K126" s="927"/>
    </row>
    <row r="127" spans="2:11" x14ac:dyDescent="0.2">
      <c r="B127" s="927" t="s">
        <v>703</v>
      </c>
      <c r="D127" s="1076" t="s">
        <v>285</v>
      </c>
      <c r="E127" s="1166">
        <f>ABS(INDEX('Forest Residues (Cellulosic)'!$M:$M,MATCH($B127,'Forest Residues (Cellulosic)'!$A:$A,0)))</f>
        <v>28738122.087646678</v>
      </c>
      <c r="F127" s="1167">
        <f t="shared" ref="F127:F136" si="43">E127/($G$2*10^6)</f>
        <v>0.28738122087646678</v>
      </c>
      <c r="H127" s="1153">
        <f>E127/E$137</f>
        <v>0.33133371285169971</v>
      </c>
      <c r="I127" s="927"/>
      <c r="J127" s="927"/>
      <c r="K127" s="927"/>
    </row>
    <row r="128" spans="2:11" x14ac:dyDescent="0.2">
      <c r="B128" s="927" t="s">
        <v>704</v>
      </c>
      <c r="D128" s="1076" t="s">
        <v>86</v>
      </c>
      <c r="E128" s="1166">
        <f>ABS(INDEX('Forest Residues (Cellulosic)'!$M:$M,MATCH($B128,'Forest Residues (Cellulosic)'!$A:$A,0)))</f>
        <v>29950786.126470931</v>
      </c>
      <c r="F128" s="1167">
        <f t="shared" si="43"/>
        <v>0.2995078612647093</v>
      </c>
      <c r="H128" s="1153">
        <f t="shared" ref="H128:H136" si="44">E128/E$137</f>
        <v>0.3453150188396123</v>
      </c>
      <c r="I128" s="927"/>
      <c r="J128" s="927"/>
      <c r="K128" s="927"/>
    </row>
    <row r="129" spans="2:10" x14ac:dyDescent="0.2">
      <c r="B129" s="927" t="s">
        <v>705</v>
      </c>
      <c r="D129" s="1076" t="s">
        <v>131</v>
      </c>
      <c r="E129" s="1166">
        <f>ABS(INDEX('Forest Residues (Cellulosic)'!$M:$M,MATCH($B129,'Forest Residues (Cellulosic)'!$A:$A,0)))</f>
        <v>3165000</v>
      </c>
      <c r="F129" s="1167">
        <f t="shared" si="43"/>
        <v>3.1649999999999998E-2</v>
      </c>
      <c r="H129" s="1153">
        <f t="shared" si="44"/>
        <v>3.6490595940032199E-2</v>
      </c>
      <c r="I129" s="927"/>
      <c r="J129" s="927"/>
    </row>
    <row r="130" spans="2:10" x14ac:dyDescent="0.2">
      <c r="B130" s="927" t="s">
        <v>706</v>
      </c>
      <c r="D130" s="1076" t="s">
        <v>139</v>
      </c>
      <c r="E130" s="1166">
        <f>ABS(INDEX('Forest Residues (Cellulosic)'!$M:$M,MATCH($B130,'Forest Residues (Cellulosic)'!$A:$A,0)))</f>
        <v>3630000</v>
      </c>
      <c r="F130" s="1167">
        <f t="shared" si="43"/>
        <v>3.6299999999999999E-2</v>
      </c>
      <c r="H130" s="1153">
        <f t="shared" si="44"/>
        <v>4.1851773542596171E-2</v>
      </c>
      <c r="I130" s="927"/>
      <c r="J130" s="927"/>
    </row>
    <row r="131" spans="2:10" x14ac:dyDescent="0.2">
      <c r="B131" s="927" t="s">
        <v>707</v>
      </c>
      <c r="D131" s="1076" t="s">
        <v>594</v>
      </c>
      <c r="E131" s="1166">
        <f>ABS(INDEX('Forest Residues (Cellulosic)'!$M:$M,MATCH($B131,'Forest Residues (Cellulosic)'!$A:$A,0)))</f>
        <v>1006843.6</v>
      </c>
      <c r="F131" s="1167">
        <f t="shared" si="43"/>
        <v>1.0068436E-2</v>
      </c>
      <c r="H131" s="1153">
        <f t="shared" si="44"/>
        <v>1.1608316898075009E-2</v>
      </c>
      <c r="I131" s="927"/>
      <c r="J131" s="927"/>
    </row>
    <row r="132" spans="2:10" x14ac:dyDescent="0.2">
      <c r="B132" s="927" t="s">
        <v>709</v>
      </c>
      <c r="D132" s="1076" t="s">
        <v>190</v>
      </c>
      <c r="E132" s="1166">
        <f>ABS(INDEX('Forest Residues (Cellulosic)'!$M:$M,MATCH($B132,'Forest Residues (Cellulosic)'!$A:$A,0)))</f>
        <v>3774000</v>
      </c>
      <c r="F132" s="1167">
        <f t="shared" si="43"/>
        <v>3.7740000000000003E-2</v>
      </c>
      <c r="H132" s="1153">
        <f t="shared" si="44"/>
        <v>4.3512009187261141E-2</v>
      </c>
      <c r="I132" s="927"/>
      <c r="J132" s="927"/>
    </row>
    <row r="133" spans="2:10" x14ac:dyDescent="0.2">
      <c r="B133" s="927" t="s">
        <v>710</v>
      </c>
      <c r="D133" s="1076" t="s">
        <v>184</v>
      </c>
      <c r="E133" s="1166">
        <f>ABS(INDEX('Forest Residues (Cellulosic)'!$M:$M,MATCH($B133,'Forest Residues (Cellulosic)'!$A:$A,0)))</f>
        <v>2234842.5</v>
      </c>
      <c r="F133" s="1167">
        <f t="shared" si="43"/>
        <v>2.2348425000000002E-2</v>
      </c>
      <c r="H133" s="1153">
        <f t="shared" si="44"/>
        <v>2.5766424852167902E-2</v>
      </c>
      <c r="I133" s="927"/>
      <c r="J133" s="927"/>
    </row>
    <row r="134" spans="2:10" x14ac:dyDescent="0.2">
      <c r="B134" s="927" t="s">
        <v>711</v>
      </c>
      <c r="D134" s="1076" t="s">
        <v>218</v>
      </c>
      <c r="E134" s="1166">
        <f>ABS(INDEX('Forest Residues (Cellulosic)'!$M:$M,MATCH($B134,'Forest Residues (Cellulosic)'!$A:$A,0)))</f>
        <v>9172587.5</v>
      </c>
      <c r="F134" s="1167">
        <f t="shared" si="43"/>
        <v>9.1725874999999998E-2</v>
      </c>
      <c r="H134" s="1153">
        <f t="shared" si="44"/>
        <v>0.10575456056464141</v>
      </c>
      <c r="I134" s="927"/>
      <c r="J134" s="927"/>
    </row>
    <row r="135" spans="2:10" x14ac:dyDescent="0.2">
      <c r="B135" s="927" t="s">
        <v>712</v>
      </c>
      <c r="D135" s="1076" t="s">
        <v>223</v>
      </c>
      <c r="E135" s="1166">
        <f>ABS(INDEX('Forest Residues (Cellulosic)'!$M:$M,MATCH($B135,'Forest Residues (Cellulosic)'!$A:$A,0)))</f>
        <v>2193006.25</v>
      </c>
      <c r="F135" s="1167">
        <f t="shared" si="43"/>
        <v>2.19300625E-2</v>
      </c>
      <c r="H135" s="1153">
        <f t="shared" si="44"/>
        <v>2.5284077397382382E-2</v>
      </c>
      <c r="I135" s="927"/>
      <c r="J135" s="927"/>
    </row>
    <row r="136" spans="2:10" x14ac:dyDescent="0.2">
      <c r="B136" s="927" t="s">
        <v>715</v>
      </c>
      <c r="D136" s="1168" t="s">
        <v>692</v>
      </c>
      <c r="E136" s="1166">
        <f>ABS(INDEX('Forest Residues (Cellulosic)'!$M:$M,MATCH($B136,'Forest Residues (Cellulosic)'!$A:$A,0)))</f>
        <v>2869487.5000000005</v>
      </c>
      <c r="F136" s="1170">
        <f t="shared" si="43"/>
        <v>2.8694875000000005E-2</v>
      </c>
      <c r="H136" s="1153">
        <f t="shared" si="44"/>
        <v>3.3083509926531807E-2</v>
      </c>
      <c r="I136" s="927"/>
      <c r="J136" s="927"/>
    </row>
    <row r="137" spans="2:10" ht="13.5" thickBot="1" x14ac:dyDescent="0.25">
      <c r="D137" s="1171" t="s">
        <v>488</v>
      </c>
      <c r="E137" s="1172">
        <f>SUM(E127:E136)</f>
        <v>86734675.56411761</v>
      </c>
      <c r="F137" s="1173">
        <f>SUM(F127:F136)</f>
        <v>0.86734675564117591</v>
      </c>
      <c r="H137" s="1186">
        <f>'Costs per L'!AA133</f>
        <v>0.86798439019752627</v>
      </c>
      <c r="I137" s="1175">
        <f>H137/F137-1</f>
        <v>7.3515529077994302E-4</v>
      </c>
      <c r="J137" s="927"/>
    </row>
    <row r="138" spans="2:10" x14ac:dyDescent="0.2">
      <c r="H138" s="1183"/>
      <c r="I138" s="927"/>
      <c r="J138" s="927"/>
    </row>
    <row r="139" spans="2:10" x14ac:dyDescent="0.2">
      <c r="B139" s="927">
        <f>B125+1</f>
        <v>10</v>
      </c>
      <c r="C139" s="927" t="str">
        <f>'Costs per L'!E154</f>
        <v>Imported Starch</v>
      </c>
      <c r="D139" s="1133" t="str">
        <f>"Table "&amp;B139&amp;": "&amp;C139&amp;" production costs"</f>
        <v>Table 10: Imported Starch production costs</v>
      </c>
      <c r="H139" s="1183"/>
      <c r="I139" s="927"/>
      <c r="J139" s="927"/>
    </row>
    <row r="140" spans="2:10" x14ac:dyDescent="0.2">
      <c r="D140" s="987" t="s">
        <v>716</v>
      </c>
      <c r="E140" s="987" t="s">
        <v>759</v>
      </c>
      <c r="F140" s="987" t="s">
        <v>714</v>
      </c>
      <c r="H140" s="1183"/>
      <c r="I140" s="927"/>
      <c r="J140" s="927"/>
    </row>
    <row r="141" spans="2:10" x14ac:dyDescent="0.2">
      <c r="B141" s="927" t="s">
        <v>703</v>
      </c>
      <c r="D141" s="1076" t="s">
        <v>285</v>
      </c>
      <c r="E141" s="1166">
        <f>ABS(INDEX('Imported Starch'!$M:$M,MATCH($B141,'Imported Starch'!$A:$A,0)))</f>
        <v>63670048.635840513</v>
      </c>
      <c r="F141" s="1167">
        <f t="shared" ref="F141:F150" si="45">E141/($G$2*10^6)</f>
        <v>0.63670048635840515</v>
      </c>
      <c r="H141" s="1153">
        <f>E141/E$151</f>
        <v>0.77433114362653976</v>
      </c>
      <c r="I141" s="927"/>
      <c r="J141" s="927"/>
    </row>
    <row r="142" spans="2:10" x14ac:dyDescent="0.2">
      <c r="B142" s="927" t="s">
        <v>704</v>
      </c>
      <c r="D142" s="1076" t="s">
        <v>86</v>
      </c>
      <c r="E142" s="1166">
        <f>ABS(INDEX('Imported Starch'!$M:$M,MATCH($B142,'Imported Starch'!$A:$A,0)))</f>
        <v>2715717.4943740037</v>
      </c>
      <c r="F142" s="1167">
        <f t="shared" si="45"/>
        <v>2.7157174943740037E-2</v>
      </c>
      <c r="H142" s="1153">
        <f t="shared" ref="H142:H150" si="46">E142/E$151</f>
        <v>3.302753301183281E-2</v>
      </c>
      <c r="I142" s="927"/>
      <c r="J142" s="927"/>
    </row>
    <row r="143" spans="2:10" x14ac:dyDescent="0.2">
      <c r="B143" s="927" t="s">
        <v>705</v>
      </c>
      <c r="D143" s="1076" t="s">
        <v>131</v>
      </c>
      <c r="E143" s="1166">
        <f>ABS(INDEX('Imported Starch'!$M:$M,MATCH($B143,'Imported Starch'!$A:$A,0)))</f>
        <v>1932282.7593248803</v>
      </c>
      <c r="F143" s="1167">
        <f t="shared" si="45"/>
        <v>1.9322827593248802E-2</v>
      </c>
      <c r="H143" s="1153">
        <f t="shared" si="46"/>
        <v>2.3499694925560956E-2</v>
      </c>
      <c r="I143" s="927"/>
      <c r="J143" s="927"/>
    </row>
    <row r="144" spans="2:10" x14ac:dyDescent="0.2">
      <c r="B144" s="927" t="s">
        <v>706</v>
      </c>
      <c r="D144" s="1076" t="s">
        <v>139</v>
      </c>
      <c r="E144" s="1166">
        <f>ABS(INDEX('Imported Starch'!$M:$M,MATCH($B144,'Imported Starch'!$A:$A,0)))</f>
        <v>2730000</v>
      </c>
      <c r="F144" s="1167">
        <f t="shared" si="45"/>
        <v>2.7300000000000001E-2</v>
      </c>
      <c r="H144" s="1153">
        <f t="shared" si="46"/>
        <v>3.3201231464279175E-2</v>
      </c>
      <c r="I144" s="927"/>
      <c r="J144" s="927"/>
    </row>
    <row r="145" spans="2:10" x14ac:dyDescent="0.2">
      <c r="B145" s="927" t="s">
        <v>707</v>
      </c>
      <c r="D145" s="1076" t="s">
        <v>594</v>
      </c>
      <c r="E145" s="1166">
        <f>ABS(INDEX('Imported Starch'!$M:$M,MATCH($B145,'Imported Starch'!$A:$A,0)))</f>
        <v>1036409.9518324608</v>
      </c>
      <c r="F145" s="1167">
        <f t="shared" si="45"/>
        <v>1.0364099518324609E-2</v>
      </c>
      <c r="H145" s="1153">
        <f t="shared" si="46"/>
        <v>1.2604427363616104E-2</v>
      </c>
      <c r="I145" s="927"/>
      <c r="J145" s="927"/>
    </row>
    <row r="146" spans="2:10" x14ac:dyDescent="0.2">
      <c r="B146" s="927" t="s">
        <v>709</v>
      </c>
      <c r="D146" s="1076" t="s">
        <v>190</v>
      </c>
      <c r="E146" s="1166">
        <f>ABS(INDEX('Imported Starch'!$M:$M,MATCH($B146,'Imported Starch'!$A:$A,0)))</f>
        <v>3084000</v>
      </c>
      <c r="F146" s="1167">
        <f t="shared" si="45"/>
        <v>3.0839999999999999E-2</v>
      </c>
      <c r="H146" s="1153">
        <f t="shared" si="46"/>
        <v>3.7506446093713182E-2</v>
      </c>
      <c r="I146" s="927"/>
      <c r="J146" s="927"/>
    </row>
    <row r="147" spans="2:10" x14ac:dyDescent="0.2">
      <c r="B147" s="927" t="s">
        <v>710</v>
      </c>
      <c r="D147" s="1076" t="s">
        <v>184</v>
      </c>
      <c r="E147" s="1166">
        <f>ABS(INDEX('Imported Starch'!$M:$M,MATCH($B147,'Imported Starch'!$A:$A,0)))</f>
        <v>873324.375</v>
      </c>
      <c r="F147" s="1167">
        <f t="shared" si="45"/>
        <v>8.7332437499999995E-3</v>
      </c>
      <c r="H147" s="1153">
        <f t="shared" si="46"/>
        <v>1.0621042021161885E-2</v>
      </c>
      <c r="I147" s="927"/>
      <c r="J147" s="927"/>
    </row>
    <row r="148" spans="2:10" x14ac:dyDescent="0.2">
      <c r="B148" s="927" t="s">
        <v>711</v>
      </c>
      <c r="D148" s="1076" t="s">
        <v>218</v>
      </c>
      <c r="E148" s="1166">
        <f>ABS(INDEX('Imported Starch'!$M:$M,MATCH($B148,'Imported Starch'!$A:$A,0)))</f>
        <v>2973975</v>
      </c>
      <c r="F148" s="1167">
        <f t="shared" si="45"/>
        <v>2.9739749999999999E-2</v>
      </c>
      <c r="H148" s="1153">
        <f t="shared" si="46"/>
        <v>3.6168363495963245E-2</v>
      </c>
      <c r="I148" s="927"/>
      <c r="J148" s="927"/>
    </row>
    <row r="149" spans="2:10" x14ac:dyDescent="0.2">
      <c r="B149" s="927" t="s">
        <v>712</v>
      </c>
      <c r="D149" s="1076" t="s">
        <v>223</v>
      </c>
      <c r="E149" s="1166">
        <f>ABS(INDEX('Imported Starch'!$M:$M,MATCH($B149,'Imported Starch'!$A:$A,0)))</f>
        <v>1765532.5</v>
      </c>
      <c r="F149" s="1167">
        <f t="shared" si="45"/>
        <v>1.7655324999999999E-2</v>
      </c>
      <c r="H149" s="1153">
        <f t="shared" si="46"/>
        <v>2.1471741095314092E-2</v>
      </c>
      <c r="I149" s="927"/>
      <c r="J149" s="927"/>
    </row>
    <row r="150" spans="2:10" x14ac:dyDescent="0.2">
      <c r="B150" s="927" t="s">
        <v>715</v>
      </c>
      <c r="D150" s="1168" t="s">
        <v>692</v>
      </c>
      <c r="E150" s="1166">
        <f>ABS(INDEX('Imported Starch'!$M:$M,MATCH($B150,'Imported Starch'!$A:$A,0)))</f>
        <v>1444575</v>
      </c>
      <c r="F150" s="1170">
        <f t="shared" si="45"/>
        <v>1.444575E-2</v>
      </c>
      <c r="H150" s="1153">
        <f t="shared" si="46"/>
        <v>1.7568376902018713E-2</v>
      </c>
      <c r="I150" s="927"/>
      <c r="J150" s="927"/>
    </row>
    <row r="151" spans="2:10" ht="13.5" thickBot="1" x14ac:dyDescent="0.25">
      <c r="D151" s="1171" t="s">
        <v>488</v>
      </c>
      <c r="E151" s="1172">
        <f>SUM(E141:E150)</f>
        <v>82225865.716371864</v>
      </c>
      <c r="F151" s="1173">
        <f>SUM(F141:F150)</f>
        <v>0.82225865716371849</v>
      </c>
      <c r="H151" s="1174">
        <f>'Costs per L'!AA162</f>
        <v>0.82437869710257827</v>
      </c>
      <c r="I151" s="1175">
        <f>H151/F151-1</f>
        <v>2.578312700498131E-3</v>
      </c>
      <c r="J151" s="927"/>
    </row>
    <row r="152" spans="2:10" x14ac:dyDescent="0.2">
      <c r="H152" s="1183"/>
      <c r="I152" s="927"/>
      <c r="J152" s="927"/>
    </row>
    <row r="153" spans="2:10" x14ac:dyDescent="0.2">
      <c r="B153" s="927">
        <f>B139+1</f>
        <v>11</v>
      </c>
      <c r="C153" s="927" t="s">
        <v>393</v>
      </c>
      <c r="D153" s="1133" t="str">
        <f>"Table "&amp;B153&amp;": "&amp;C153&amp;" production costs"</f>
        <v>Table 11: Starch production costs</v>
      </c>
      <c r="H153" s="1183"/>
      <c r="I153" s="927"/>
      <c r="J153" s="927"/>
    </row>
    <row r="154" spans="2:10" x14ac:dyDescent="0.2">
      <c r="D154" s="987" t="s">
        <v>716</v>
      </c>
      <c r="E154" s="987" t="s">
        <v>759</v>
      </c>
      <c r="F154" s="987" t="s">
        <v>714</v>
      </c>
      <c r="H154" s="1183"/>
      <c r="I154" s="927"/>
      <c r="J154" s="927"/>
    </row>
    <row r="155" spans="2:10" x14ac:dyDescent="0.2">
      <c r="B155" s="927" t="s">
        <v>703</v>
      </c>
      <c r="D155" s="1076" t="s">
        <v>285</v>
      </c>
      <c r="E155" s="1166">
        <f>ABS(INDEX('Wheat Standalone (Starch)'!$M:$M,MATCH($B155,'Wheat Standalone (Starch)'!$A:$A,0)))</f>
        <v>40460232.575607799</v>
      </c>
      <c r="F155" s="1167">
        <f t="shared" ref="F155:F165" si="47">E155/($G$2*10^6)</f>
        <v>0.40460232575607796</v>
      </c>
      <c r="H155" s="1153">
        <f>E155/E$166</f>
        <v>0.610293271975476</v>
      </c>
      <c r="I155" s="927"/>
      <c r="J155" s="927"/>
    </row>
    <row r="156" spans="2:10" x14ac:dyDescent="0.2">
      <c r="B156" s="927" t="s">
        <v>704</v>
      </c>
      <c r="D156" s="1076" t="s">
        <v>86</v>
      </c>
      <c r="E156" s="1166">
        <f>ABS(INDEX('Wheat Standalone (Starch)'!$M:$M,MATCH($B156,'Wheat Standalone (Starch)'!$A:$A,0)))</f>
        <v>2713977.1410726625</v>
      </c>
      <c r="F156" s="1167">
        <f t="shared" si="47"/>
        <v>2.7139771410726626E-2</v>
      </c>
      <c r="H156" s="1153">
        <f t="shared" ref="H156:H165" si="48">E156/E$166</f>
        <v>4.0937035801678207E-2</v>
      </c>
      <c r="I156" s="927"/>
      <c r="J156" s="927"/>
    </row>
    <row r="157" spans="2:10" x14ac:dyDescent="0.2">
      <c r="B157" s="927" t="s">
        <v>705</v>
      </c>
      <c r="D157" s="1076" t="s">
        <v>131</v>
      </c>
      <c r="E157" s="1166">
        <f>ABS(INDEX('Wheat Standalone (Starch)'!$M:$M,MATCH($B157,'Wheat Standalone (Starch)'!$A:$A,0)))</f>
        <v>1981577.2997224142</v>
      </c>
      <c r="F157" s="1167">
        <f t="shared" si="47"/>
        <v>1.9815772997224142E-2</v>
      </c>
      <c r="H157" s="1153">
        <f t="shared" si="48"/>
        <v>2.9889677269156274E-2</v>
      </c>
      <c r="I157" s="927"/>
      <c r="J157" s="927"/>
    </row>
    <row r="158" spans="2:10" x14ac:dyDescent="0.2">
      <c r="B158" s="927" t="s">
        <v>706</v>
      </c>
      <c r="D158" s="1076" t="s">
        <v>139</v>
      </c>
      <c r="E158" s="1166">
        <f>ABS(INDEX('Wheat Standalone (Starch)'!$M:$M,MATCH($B158,'Wheat Standalone (Starch)'!$A:$A,0)))</f>
        <v>2730000</v>
      </c>
      <c r="F158" s="1167">
        <f t="shared" si="47"/>
        <v>2.7300000000000001E-2</v>
      </c>
      <c r="H158" s="1153">
        <f t="shared" si="48"/>
        <v>4.1178721090631816E-2</v>
      </c>
      <c r="I158" s="927"/>
      <c r="J158" s="927"/>
    </row>
    <row r="159" spans="2:10" x14ac:dyDescent="0.2">
      <c r="B159" s="927" t="s">
        <v>707</v>
      </c>
      <c r="D159" s="1076" t="s">
        <v>594</v>
      </c>
      <c r="E159" s="1166">
        <f>ABS(INDEX('Wheat Standalone (Starch)'!$M:$M,MATCH($B159,'Wheat Standalone (Starch)'!$A:$A,0)))</f>
        <v>1036409.9518324608</v>
      </c>
      <c r="F159" s="1167">
        <f t="shared" si="47"/>
        <v>1.0364099518324609E-2</v>
      </c>
      <c r="H159" s="1153">
        <f t="shared" si="48"/>
        <v>1.5632980345078411E-2</v>
      </c>
      <c r="I159" s="927"/>
      <c r="J159" s="927"/>
    </row>
    <row r="160" spans="2:10" x14ac:dyDescent="0.2">
      <c r="B160" s="927" t="s">
        <v>708</v>
      </c>
      <c r="D160" s="1076" t="s">
        <v>723</v>
      </c>
      <c r="E160" s="1166">
        <f>ABS(INDEX('Wheat Standalone (Starch)'!$M:$M,MATCH($B160,'Wheat Standalone (Starch)'!$A:$A,0)))</f>
        <v>433154.5994448284</v>
      </c>
      <c r="F160" s="1167">
        <f t="shared" si="47"/>
        <v>4.3315459944482841E-3</v>
      </c>
      <c r="H160" s="1153">
        <f t="shared" si="48"/>
        <v>6.5336089522574844E-3</v>
      </c>
      <c r="I160" s="927"/>
      <c r="J160" s="927"/>
    </row>
    <row r="161" spans="2:10" x14ac:dyDescent="0.2">
      <c r="B161" s="927" t="s">
        <v>709</v>
      </c>
      <c r="D161" s="1076" t="s">
        <v>190</v>
      </c>
      <c r="E161" s="1166">
        <f>ABS(INDEX('Wheat Standalone (Starch)'!$M:$M,MATCH($B161,'Wheat Standalone (Starch)'!$A:$A,0)))</f>
        <v>2910000</v>
      </c>
      <c r="F161" s="1167">
        <f t="shared" si="47"/>
        <v>2.9100000000000001E-2</v>
      </c>
      <c r="H161" s="1153">
        <f t="shared" si="48"/>
        <v>4.3893801602102045E-2</v>
      </c>
      <c r="I161" s="927"/>
      <c r="J161" s="927"/>
    </row>
    <row r="162" spans="2:10" x14ac:dyDescent="0.2">
      <c r="B162" s="927" t="s">
        <v>710</v>
      </c>
      <c r="D162" s="1076" t="s">
        <v>184</v>
      </c>
      <c r="E162" s="1166">
        <f>ABS(INDEX('Wheat Standalone (Starch)'!$M:$M,MATCH($B162,'Wheat Standalone (Starch)'!$A:$A,0)))</f>
        <v>7594125</v>
      </c>
      <c r="F162" s="1167">
        <f t="shared" si="47"/>
        <v>7.5941250000000002E-2</v>
      </c>
      <c r="H162" s="1153">
        <f t="shared" si="48"/>
        <v>0.11454811549538255</v>
      </c>
      <c r="I162" s="927"/>
      <c r="J162" s="927"/>
    </row>
    <row r="163" spans="2:10" x14ac:dyDescent="0.2">
      <c r="B163" s="927" t="s">
        <v>711</v>
      </c>
      <c r="D163" s="1076" t="s">
        <v>218</v>
      </c>
      <c r="E163" s="1166">
        <f>ABS(INDEX('Wheat Standalone (Starch)'!$M:$M,MATCH($B163,'Wheat Standalone (Starch)'!$A:$A,0)))</f>
        <v>3191400</v>
      </c>
      <c r="F163" s="1167">
        <f t="shared" si="47"/>
        <v>3.1913999999999998E-2</v>
      </c>
      <c r="H163" s="1153">
        <f t="shared" si="48"/>
        <v>4.8138377468367174E-2</v>
      </c>
      <c r="I163" s="927"/>
      <c r="J163" s="927"/>
    </row>
    <row r="164" spans="2:10" x14ac:dyDescent="0.2">
      <c r="B164" s="927" t="s">
        <v>712</v>
      </c>
      <c r="D164" s="1076" t="s">
        <v>223</v>
      </c>
      <c r="E164" s="1166">
        <f>ABS(INDEX('Wheat Standalone (Starch)'!$M:$M,MATCH($B164,'Wheat Standalone (Starch)'!$A:$A,0)))</f>
        <v>1773700</v>
      </c>
      <c r="F164" s="1167">
        <f t="shared" si="47"/>
        <v>1.7736999999999999E-2</v>
      </c>
      <c r="H164" s="1153">
        <f t="shared" si="48"/>
        <v>2.6754101684415259E-2</v>
      </c>
      <c r="I164" s="927"/>
      <c r="J164" s="927"/>
    </row>
    <row r="165" spans="2:10" x14ac:dyDescent="0.2">
      <c r="B165" s="927" t="s">
        <v>715</v>
      </c>
      <c r="D165" s="1076" t="s">
        <v>692</v>
      </c>
      <c r="E165" s="1166">
        <f>ABS(INDEX('Wheat Standalone (Starch)'!$M:$M,MATCH($B165,'Wheat Standalone (Starch)'!$A:$A,0)))</f>
        <v>1471800</v>
      </c>
      <c r="F165" s="1167">
        <f t="shared" si="47"/>
        <v>1.4718E-2</v>
      </c>
      <c r="H165" s="1153">
        <f t="shared" si="48"/>
        <v>2.2200308315454911E-2</v>
      </c>
      <c r="I165" s="927"/>
      <c r="J165" s="927"/>
    </row>
    <row r="166" spans="2:10" ht="13.5" thickBot="1" x14ac:dyDescent="0.25">
      <c r="D166" s="1171" t="s">
        <v>488</v>
      </c>
      <c r="E166" s="1172">
        <f>SUM(E155:E165)</f>
        <v>66296376.567680158</v>
      </c>
      <c r="F166" s="1173">
        <f>SUM(F155:F165)</f>
        <v>0.6629637656768016</v>
      </c>
      <c r="H166" s="1174">
        <f>'Costs per L'!AA191</f>
        <v>0.66329081729840156</v>
      </c>
      <c r="I166" s="1175">
        <f>H166/F166-1</f>
        <v>4.9331749113923351E-4</v>
      </c>
      <c r="J166" s="927"/>
    </row>
    <row r="167" spans="2:10" x14ac:dyDescent="0.2">
      <c r="H167" s="927"/>
      <c r="I167" s="927"/>
      <c r="J167" s="927"/>
    </row>
    <row r="168" spans="2:10" x14ac:dyDescent="0.2">
      <c r="B168" s="927">
        <f>B153+1</f>
        <v>12</v>
      </c>
      <c r="C168" s="927" t="str">
        <f>'Costs per L'!E213</f>
        <v>Cane trash (Cellulosic)</v>
      </c>
      <c r="D168" s="1133" t="str">
        <f>"Table "&amp;B168&amp;": "&amp;C168&amp;" production costs"</f>
        <v>Table 12: Cane trash (Cellulosic) production costs</v>
      </c>
      <c r="H168" s="927"/>
      <c r="I168" s="927"/>
      <c r="J168" s="927"/>
    </row>
    <row r="169" spans="2:10" x14ac:dyDescent="0.2">
      <c r="D169" s="987" t="s">
        <v>716</v>
      </c>
      <c r="E169" s="987" t="s">
        <v>759</v>
      </c>
      <c r="F169" s="987" t="s">
        <v>714</v>
      </c>
      <c r="H169" s="927"/>
      <c r="I169" s="927"/>
      <c r="J169" s="927"/>
    </row>
    <row r="170" spans="2:10" x14ac:dyDescent="0.2">
      <c r="B170" s="927" t="s">
        <v>703</v>
      </c>
      <c r="D170" s="1076" t="s">
        <v>285</v>
      </c>
      <c r="E170" s="1166">
        <f>ABS(INDEX('Cane trash (Cellulosic)'!$M:$M,MATCH($B170,'Forest Residues (Cellulosic)'!$A:$A,0)))</f>
        <v>12976769.853356741</v>
      </c>
      <c r="F170" s="1167">
        <f t="shared" ref="F170:F179" si="49">E170/($G$2*10^6)</f>
        <v>0.12976769853356743</v>
      </c>
      <c r="H170" s="1153">
        <f>E170/E$180</f>
        <v>0.16258500378474686</v>
      </c>
      <c r="I170" s="927"/>
      <c r="J170" s="927"/>
    </row>
    <row r="171" spans="2:10" x14ac:dyDescent="0.2">
      <c r="B171" s="927" t="s">
        <v>704</v>
      </c>
      <c r="D171" s="1076" t="s">
        <v>86</v>
      </c>
      <c r="E171" s="1166">
        <f>ABS(INDEX('Cane trash (Cellulosic)'!$M:$M,MATCH($B171,'Forest Residues (Cellulosic)'!$A:$A,0)))</f>
        <v>29625153.525787607</v>
      </c>
      <c r="F171" s="1167">
        <f t="shared" si="49"/>
        <v>0.29625153525787606</v>
      </c>
      <c r="H171" s="1153">
        <f t="shared" ref="H171:H179" si="50">E171/E$180</f>
        <v>0.37117138953250051</v>
      </c>
      <c r="I171" s="927"/>
      <c r="J171" s="927"/>
    </row>
    <row r="172" spans="2:10" x14ac:dyDescent="0.2">
      <c r="B172" s="927" t="s">
        <v>705</v>
      </c>
      <c r="D172" s="1076" t="s">
        <v>131</v>
      </c>
      <c r="E172" s="1166">
        <f>ABS(INDEX('Cane trash (Cellulosic)'!$M:$M,MATCH($B172,'Forest Residues (Cellulosic)'!$A:$A,0)))</f>
        <v>3165000</v>
      </c>
      <c r="F172" s="1167">
        <f t="shared" si="49"/>
        <v>3.1649999999999998E-2</v>
      </c>
      <c r="H172" s="1153">
        <f t="shared" si="50"/>
        <v>3.9654054344318623E-2</v>
      </c>
      <c r="I172" s="927"/>
      <c r="J172" s="927"/>
    </row>
    <row r="173" spans="2:10" x14ac:dyDescent="0.2">
      <c r="B173" s="927" t="s">
        <v>706</v>
      </c>
      <c r="D173" s="1076" t="s">
        <v>139</v>
      </c>
      <c r="E173" s="1166">
        <f>ABS(INDEX('Cane trash (Cellulosic)'!$M:$M,MATCH($B173,'Forest Residues (Cellulosic)'!$A:$A,0)))</f>
        <v>3630000</v>
      </c>
      <c r="F173" s="1167">
        <f t="shared" si="49"/>
        <v>3.6299999999999999E-2</v>
      </c>
      <c r="H173" s="1153">
        <f t="shared" si="50"/>
        <v>4.5480005456517092E-2</v>
      </c>
      <c r="I173" s="927"/>
      <c r="J173" s="927"/>
    </row>
    <row r="174" spans="2:10" x14ac:dyDescent="0.2">
      <c r="B174" s="927" t="s">
        <v>707</v>
      </c>
      <c r="D174" s="1076" t="s">
        <v>594</v>
      </c>
      <c r="E174" s="1166">
        <f>ABS(INDEX('Cane trash (Cellulosic)'!$M:$M,MATCH($B174,'Forest Residues (Cellulosic)'!$A:$A,0)))</f>
        <v>1006843.6</v>
      </c>
      <c r="F174" s="1167">
        <f t="shared" si="49"/>
        <v>1.0068436E-2</v>
      </c>
      <c r="H174" s="1153">
        <f t="shared" si="50"/>
        <v>1.2614670088666477E-2</v>
      </c>
      <c r="I174" s="927"/>
      <c r="J174" s="927"/>
    </row>
    <row r="175" spans="2:10" x14ac:dyDescent="0.2">
      <c r="B175" s="927" t="s">
        <v>709</v>
      </c>
      <c r="D175" s="1076" t="s">
        <v>190</v>
      </c>
      <c r="E175" s="1166">
        <f>ABS(INDEX('Cane trash (Cellulosic)'!$M:$M,MATCH($B175,'Forest Residues (Cellulosic)'!$A:$A,0)))</f>
        <v>3774000</v>
      </c>
      <c r="F175" s="1167">
        <f t="shared" si="49"/>
        <v>3.7740000000000003E-2</v>
      </c>
      <c r="H175" s="1153">
        <f t="shared" si="50"/>
        <v>4.7284170962230164E-2</v>
      </c>
      <c r="I175" s="927"/>
      <c r="J175" s="927"/>
    </row>
    <row r="176" spans="2:10" x14ac:dyDescent="0.2">
      <c r="B176" s="927" t="s">
        <v>710</v>
      </c>
      <c r="D176" s="1076" t="s">
        <v>184</v>
      </c>
      <c r="E176" s="1166">
        <f>ABS(INDEX('Cane trash (Cellulosic)'!$M:$M,MATCH($B176,'Forest Residues (Cellulosic)'!$A:$A,0)))</f>
        <v>11152515</v>
      </c>
      <c r="F176" s="1167">
        <f t="shared" si="49"/>
        <v>0.11152515</v>
      </c>
      <c r="H176" s="1153">
        <f t="shared" si="50"/>
        <v>0.13972904767324756</v>
      </c>
      <c r="I176" s="927"/>
      <c r="J176" s="927"/>
    </row>
    <row r="177" spans="2:10" x14ac:dyDescent="0.2">
      <c r="B177" s="927" t="s">
        <v>711</v>
      </c>
      <c r="D177" s="1076" t="s">
        <v>218</v>
      </c>
      <c r="E177" s="1166">
        <f>ABS(INDEX('Cane trash (Cellulosic)'!$M:$M,MATCH($B177,'Forest Residues (Cellulosic)'!$A:$A,0)))</f>
        <v>9360581.25</v>
      </c>
      <c r="F177" s="1167">
        <f t="shared" si="49"/>
        <v>9.3605812499999996E-2</v>
      </c>
      <c r="H177" s="1153">
        <f t="shared" si="50"/>
        <v>0.1172780403102401</v>
      </c>
      <c r="I177" s="927"/>
      <c r="J177" s="927"/>
    </row>
    <row r="178" spans="2:10" x14ac:dyDescent="0.2">
      <c r="B178" s="927" t="s">
        <v>712</v>
      </c>
      <c r="D178" s="1076" t="s">
        <v>223</v>
      </c>
      <c r="E178" s="1166">
        <f>ABS(INDEX('Cane trash (Cellulosic)'!$M:$M,MATCH($B178,'Forest Residues (Cellulosic)'!$A:$A,0)))</f>
        <v>2207299.375</v>
      </c>
      <c r="F178" s="1167">
        <f t="shared" si="49"/>
        <v>2.2072993749999999E-2</v>
      </c>
      <c r="H178" s="1153">
        <f t="shared" si="50"/>
        <v>2.7655093008034922E-2</v>
      </c>
      <c r="I178" s="927"/>
      <c r="J178" s="927"/>
    </row>
    <row r="179" spans="2:10" x14ac:dyDescent="0.2">
      <c r="B179" s="927" t="s">
        <v>715</v>
      </c>
      <c r="D179" s="1168" t="s">
        <v>692</v>
      </c>
      <c r="E179" s="1166">
        <f>ABS(INDEX('Cane trash (Cellulosic)'!$M:$M,MATCH($B179,'Forest Residues (Cellulosic)'!$A:$A,0)))</f>
        <v>2917131.25</v>
      </c>
      <c r="F179" s="1170">
        <f t="shared" si="49"/>
        <v>2.9171312500000001E-2</v>
      </c>
      <c r="H179" s="1153">
        <f t="shared" si="50"/>
        <v>3.6548524839497665E-2</v>
      </c>
      <c r="I179" s="927"/>
      <c r="J179" s="927"/>
    </row>
    <row r="180" spans="2:10" ht="13.5" thickBot="1" x14ac:dyDescent="0.25">
      <c r="D180" s="1171" t="s">
        <v>488</v>
      </c>
      <c r="E180" s="1172">
        <f>SUM(E170:E179)</f>
        <v>79815293.85414435</v>
      </c>
      <c r="F180" s="1173">
        <f>SUM(F170:F179)</f>
        <v>0.79815293854144354</v>
      </c>
      <c r="H180" s="927">
        <f>'Costs per L'!AA221</f>
        <v>0.79880116011076863</v>
      </c>
      <c r="I180" s="1175">
        <f>H180/F180-1</f>
        <v>8.121520801636084E-4</v>
      </c>
      <c r="J180" s="927"/>
    </row>
    <row r="181" spans="2:10" x14ac:dyDescent="0.2">
      <c r="H181" s="927"/>
      <c r="I181" s="927"/>
      <c r="J181" s="927"/>
    </row>
    <row r="182" spans="2:10" x14ac:dyDescent="0.2">
      <c r="H182" s="927"/>
      <c r="I182" s="927"/>
      <c r="J182" s="927"/>
    </row>
    <row r="183" spans="2:10" x14ac:dyDescent="0.2">
      <c r="H183" s="939"/>
      <c r="I183" s="939"/>
      <c r="J183" s="939"/>
    </row>
    <row r="184" spans="2:10" x14ac:dyDescent="0.2">
      <c r="H184" s="939"/>
      <c r="I184" s="939"/>
      <c r="J184" s="939"/>
    </row>
    <row r="185" spans="2:10" x14ac:dyDescent="0.2">
      <c r="H185" s="939"/>
      <c r="I185" s="939"/>
      <c r="J185" s="939"/>
    </row>
    <row r="186" spans="2:10" x14ac:dyDescent="0.2">
      <c r="H186" s="927"/>
    </row>
    <row r="187" spans="2:10" x14ac:dyDescent="0.2">
      <c r="H187" s="927"/>
    </row>
    <row r="188" spans="2:10" x14ac:dyDescent="0.2">
      <c r="H188" s="927"/>
    </row>
    <row r="189" spans="2:10" x14ac:dyDescent="0.2">
      <c r="H189" s="927"/>
    </row>
    <row r="190" spans="2:10" x14ac:dyDescent="0.2">
      <c r="H190" s="927"/>
    </row>
    <row r="191" spans="2:10" x14ac:dyDescent="0.2">
      <c r="H191" s="927"/>
    </row>
    <row r="192" spans="2:10" x14ac:dyDescent="0.2">
      <c r="H192" s="927"/>
    </row>
    <row r="193" spans="8:8" x14ac:dyDescent="0.2">
      <c r="H193" s="927"/>
    </row>
  </sheetData>
  <sheetProtection password="C82C" sheet="1" objects="1" scenarios="1" selectLockedCells="1" selectUnlockedCells="1"/>
  <mergeCells count="1">
    <mergeCell ref="F1:I1"/>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69"/>
  <sheetViews>
    <sheetView topLeftCell="H3" zoomScaleNormal="100" workbookViewId="0">
      <selection activeCell="H4" sqref="H4"/>
    </sheetView>
  </sheetViews>
  <sheetFormatPr defaultRowHeight="12.75" x14ac:dyDescent="0.2"/>
  <cols>
    <col min="1" max="3" width="9.140625" style="1107" hidden="1" customWidth="1"/>
    <col min="4" max="4" width="6.140625" style="1107" hidden="1" customWidth="1"/>
    <col min="5" max="5" width="8" style="1107" hidden="1" customWidth="1"/>
    <col min="6" max="6" width="4.42578125" style="1107" hidden="1" customWidth="1"/>
    <col min="7" max="7" width="4.7109375" style="1107" hidden="1" customWidth="1"/>
    <col min="8" max="8" width="43.5703125" style="1107" customWidth="1"/>
    <col min="9" max="9" width="30.140625" style="1189" customWidth="1"/>
    <col min="10" max="10" width="13.28515625" style="1107" customWidth="1"/>
    <col min="11" max="11" width="17" style="1107" customWidth="1"/>
    <col min="12" max="12" width="16.28515625" style="1190" customWidth="1"/>
    <col min="13" max="13" width="13.28515625" style="1107" customWidth="1"/>
    <col min="14" max="14" width="13.5703125" style="1191" customWidth="1"/>
    <col min="15" max="15" width="14" style="1191" customWidth="1"/>
    <col min="16" max="26" width="13.5703125" style="1191" customWidth="1"/>
    <col min="27" max="16384" width="9.140625" style="1107"/>
  </cols>
  <sheetData>
    <row r="1" spans="6:20" s="1191" customFormat="1" ht="20.25" hidden="1" x14ac:dyDescent="0.3">
      <c r="F1" s="1188"/>
      <c r="G1" s="1107"/>
      <c r="H1" s="1107"/>
      <c r="I1" s="1189"/>
      <c r="J1" s="1107"/>
      <c r="K1" s="1107"/>
      <c r="L1" s="1190"/>
      <c r="M1" s="1107"/>
    </row>
    <row r="2" spans="6:20" s="1191" customFormat="1" hidden="1" x14ac:dyDescent="0.2">
      <c r="F2" s="1107"/>
      <c r="G2" s="1107"/>
      <c r="H2" s="1192"/>
      <c r="I2" s="1189"/>
      <c r="J2" s="1107"/>
      <c r="K2" s="1107"/>
      <c r="L2" s="1190"/>
      <c r="M2" s="1107"/>
    </row>
    <row r="3" spans="6:20" s="1191" customFormat="1" ht="23.25" x14ac:dyDescent="0.35">
      <c r="F3" s="1193"/>
      <c r="G3" s="1107"/>
      <c r="H3" s="1194" t="s">
        <v>867</v>
      </c>
      <c r="I3" s="1189"/>
      <c r="J3" s="1107"/>
      <c r="K3" s="1107"/>
      <c r="L3" s="1190"/>
      <c r="M3" s="1107"/>
    </row>
    <row r="4" spans="6:20" s="1191" customFormat="1" ht="25.5" x14ac:dyDescent="0.2">
      <c r="F4" s="1195"/>
      <c r="G4" s="1196" t="s">
        <v>0</v>
      </c>
      <c r="H4" s="1197" t="s">
        <v>373</v>
      </c>
      <c r="I4" s="1198" t="s">
        <v>2</v>
      </c>
      <c r="J4" s="1198" t="s">
        <v>374</v>
      </c>
      <c r="K4" s="1198" t="s">
        <v>4</v>
      </c>
      <c r="L4" s="1198" t="s">
        <v>70</v>
      </c>
      <c r="M4" s="1199" t="s">
        <v>5</v>
      </c>
      <c r="N4" s="1200" t="s">
        <v>6</v>
      </c>
      <c r="O4" s="1201" t="s">
        <v>7</v>
      </c>
      <c r="P4" s="1187"/>
      <c r="Q4" s="1187"/>
      <c r="R4" s="1187"/>
      <c r="S4" s="1187"/>
      <c r="T4" s="1202"/>
    </row>
    <row r="5" spans="6:20" s="1191" customFormat="1" x14ac:dyDescent="0.2">
      <c r="F5" s="1203"/>
      <c r="G5" s="1203"/>
      <c r="H5" s="1204" t="s">
        <v>375</v>
      </c>
      <c r="I5" s="1205">
        <v>0.5</v>
      </c>
      <c r="J5" s="1206">
        <v>9.5000000000000001E-2</v>
      </c>
      <c r="K5" s="1206">
        <v>0.89</v>
      </c>
      <c r="L5" s="1207">
        <f>K30*J29</f>
        <v>0.64800000000000002</v>
      </c>
      <c r="M5" s="1208">
        <f>$J$51*I5/K5/L5</f>
        <v>414.61662926523604</v>
      </c>
      <c r="N5" s="1209">
        <f>M5*J17</f>
        <v>139228.26410726627</v>
      </c>
      <c r="O5" s="1210"/>
      <c r="P5" s="1211"/>
      <c r="Q5" s="1211"/>
      <c r="R5" s="1211"/>
      <c r="S5" s="1211"/>
      <c r="T5" s="1209"/>
    </row>
    <row r="6" spans="6:20" s="1191" customFormat="1" x14ac:dyDescent="0.2">
      <c r="F6" s="1203"/>
      <c r="G6" s="1203"/>
      <c r="H6" s="1204" t="s">
        <v>376</v>
      </c>
      <c r="I6" s="1205">
        <v>0</v>
      </c>
      <c r="J6" s="1206">
        <v>0.13500000000000001</v>
      </c>
      <c r="K6" s="1206">
        <v>0.89</v>
      </c>
      <c r="L6" s="1207">
        <f>L5</f>
        <v>0.64800000000000002</v>
      </c>
      <c r="M6" s="1208">
        <f t="shared" ref="M6:M10" si="0">$J$51*I6/K6/L6</f>
        <v>0</v>
      </c>
      <c r="N6" s="1209">
        <f>M6*$J$17</f>
        <v>0</v>
      </c>
      <c r="O6" s="1210"/>
      <c r="P6" s="1211"/>
      <c r="Q6" s="1211"/>
      <c r="R6" s="1211"/>
      <c r="S6" s="1211"/>
      <c r="T6" s="1209"/>
    </row>
    <row r="7" spans="6:20" s="1191" customFormat="1" x14ac:dyDescent="0.2">
      <c r="F7" s="1203"/>
      <c r="G7" s="1203"/>
      <c r="H7" s="1204" t="s">
        <v>377</v>
      </c>
      <c r="I7" s="1205">
        <v>0.5</v>
      </c>
      <c r="J7" s="1206">
        <v>0.115</v>
      </c>
      <c r="K7" s="1206">
        <v>0.89</v>
      </c>
      <c r="L7" s="1207">
        <f>L6</f>
        <v>0.64800000000000002</v>
      </c>
      <c r="M7" s="1208">
        <f t="shared" si="0"/>
        <v>414.61662926523604</v>
      </c>
      <c r="N7" s="1209">
        <f>M7*$J$17</f>
        <v>139228.26410726627</v>
      </c>
      <c r="O7" s="1210"/>
      <c r="P7" s="1211"/>
      <c r="Q7" s="1211"/>
      <c r="R7" s="1211"/>
      <c r="S7" s="1211"/>
      <c r="T7" s="1209"/>
    </row>
    <row r="8" spans="6:20" s="1191" customFormat="1" x14ac:dyDescent="0.2">
      <c r="F8" s="1203"/>
      <c r="G8" s="1203"/>
      <c r="H8" s="1204" t="s">
        <v>378</v>
      </c>
      <c r="I8" s="1205">
        <v>0</v>
      </c>
      <c r="J8" s="1206">
        <v>0.1</v>
      </c>
      <c r="K8" s="1206">
        <v>0.89</v>
      </c>
      <c r="L8" s="1207">
        <f>L7</f>
        <v>0.64800000000000002</v>
      </c>
      <c r="M8" s="1208">
        <f t="shared" si="0"/>
        <v>0</v>
      </c>
      <c r="N8" s="1209">
        <f>M8*$J$17</f>
        <v>0</v>
      </c>
      <c r="O8" s="1211"/>
      <c r="P8" s="1211"/>
      <c r="Q8" s="1211"/>
      <c r="R8" s="1211"/>
      <c r="S8" s="1211"/>
      <c r="T8" s="1209"/>
    </row>
    <row r="9" spans="6:20" s="1191" customFormat="1" x14ac:dyDescent="0.2">
      <c r="F9" s="1203"/>
      <c r="G9" s="1203"/>
      <c r="H9" s="1204" t="s">
        <v>379</v>
      </c>
      <c r="I9" s="1205">
        <v>0</v>
      </c>
      <c r="J9" s="1206">
        <v>9.5000000000000001E-2</v>
      </c>
      <c r="K9" s="1206">
        <v>0.89</v>
      </c>
      <c r="L9" s="1207">
        <f>L8</f>
        <v>0.64800000000000002</v>
      </c>
      <c r="M9" s="1208">
        <f t="shared" si="0"/>
        <v>0</v>
      </c>
      <c r="N9" s="1209">
        <f>M9*$J$17</f>
        <v>0</v>
      </c>
      <c r="O9" s="1211"/>
      <c r="P9" s="1211"/>
      <c r="Q9" s="1211"/>
      <c r="R9" s="1211"/>
      <c r="S9" s="1211"/>
      <c r="T9" s="1209"/>
    </row>
    <row r="10" spans="6:20" s="1191" customFormat="1" x14ac:dyDescent="0.2">
      <c r="F10" s="1203"/>
      <c r="G10" s="1203"/>
      <c r="H10" s="1204" t="s">
        <v>380</v>
      </c>
      <c r="I10" s="1205">
        <v>0</v>
      </c>
      <c r="J10" s="1206">
        <v>0.09</v>
      </c>
      <c r="K10" s="1206">
        <v>0.89</v>
      </c>
      <c r="L10" s="1207">
        <f>L9</f>
        <v>0.64800000000000002</v>
      </c>
      <c r="M10" s="1208">
        <f t="shared" si="0"/>
        <v>0</v>
      </c>
      <c r="N10" s="1209">
        <f>M10*$J$17</f>
        <v>0</v>
      </c>
      <c r="O10" s="1210"/>
      <c r="P10" s="1211"/>
      <c r="Q10" s="1211"/>
      <c r="R10" s="1211"/>
      <c r="S10" s="1211"/>
      <c r="T10" s="1209"/>
    </row>
    <row r="11" spans="6:20" s="1191" customFormat="1" x14ac:dyDescent="0.2">
      <c r="F11" s="1203"/>
      <c r="G11" s="1203"/>
      <c r="H11" s="1212" t="s">
        <v>16</v>
      </c>
      <c r="I11" s="1213">
        <f>SUM(I5:I10)</f>
        <v>1</v>
      </c>
      <c r="J11" s="1214">
        <f>SUMPRODUCT(I5:I10,J5:J10)</f>
        <v>0.10500000000000001</v>
      </c>
      <c r="K11" s="1215">
        <f>SUMPRODUCT(I5:I10,K5:K10)</f>
        <v>0.89</v>
      </c>
      <c r="L11" s="1216"/>
      <c r="M11" s="1217">
        <f>SUM(M5:M10)</f>
        <v>829.23325853047209</v>
      </c>
      <c r="N11" s="1218">
        <f>SUM(N5:N10)</f>
        <v>278456.52821453253</v>
      </c>
      <c r="O11" s="1211"/>
      <c r="P11" s="1211"/>
      <c r="Q11" s="1211"/>
      <c r="R11" s="1211"/>
      <c r="S11" s="1211"/>
      <c r="T11" s="1209"/>
    </row>
    <row r="12" spans="6:20" s="1191" customFormat="1" x14ac:dyDescent="0.2">
      <c r="F12" s="1203"/>
      <c r="G12" s="1203"/>
      <c r="H12" s="1212"/>
      <c r="I12" s="1219"/>
      <c r="J12" s="1220" t="s">
        <v>381</v>
      </c>
      <c r="K12" s="1214"/>
      <c r="L12" s="1221" t="s">
        <v>382</v>
      </c>
      <c r="M12" s="1222">
        <f>M11/24</f>
        <v>34.551385772103004</v>
      </c>
      <c r="N12" s="1223"/>
      <c r="O12" s="1211"/>
      <c r="P12" s="1211"/>
      <c r="Q12" s="1211"/>
      <c r="R12" s="1211"/>
      <c r="S12" s="1211"/>
      <c r="T12" s="1209"/>
    </row>
    <row r="13" spans="6:20" s="1191" customFormat="1" x14ac:dyDescent="0.2">
      <c r="F13" s="1203"/>
      <c r="G13" s="1224"/>
      <c r="H13" s="1225"/>
      <c r="I13" s="1226"/>
      <c r="J13" s="1225"/>
      <c r="K13" s="1225"/>
      <c r="L13" s="1227"/>
      <c r="M13" s="1225"/>
      <c r="N13" s="1228"/>
      <c r="O13" s="1229"/>
      <c r="P13" s="1229"/>
      <c r="Q13" s="1229"/>
      <c r="R13" s="1229"/>
      <c r="S13" s="1229"/>
      <c r="T13" s="1228"/>
    </row>
    <row r="14" spans="6:20" s="1191" customFormat="1" x14ac:dyDescent="0.2">
      <c r="F14" s="1203"/>
      <c r="G14" s="1230" t="s">
        <v>18</v>
      </c>
      <c r="H14" s="1231" t="s">
        <v>19</v>
      </c>
      <c r="I14" s="1232" t="s">
        <v>20</v>
      </c>
      <c r="J14" s="1232" t="s">
        <v>21</v>
      </c>
      <c r="K14" s="1232"/>
      <c r="L14" s="1233" t="s">
        <v>22</v>
      </c>
      <c r="M14" s="1232" t="s">
        <v>23</v>
      </c>
      <c r="N14" s="1209"/>
      <c r="O14" s="1234" t="s">
        <v>7</v>
      </c>
      <c r="P14" s="1187"/>
      <c r="Q14" s="1187"/>
      <c r="R14" s="1187"/>
      <c r="S14" s="1187"/>
      <c r="T14" s="1202"/>
    </row>
    <row r="15" spans="6:20" s="1191" customFormat="1" x14ac:dyDescent="0.2">
      <c r="F15" s="1203"/>
      <c r="G15" s="1230"/>
      <c r="H15" s="1204" t="s">
        <v>24</v>
      </c>
      <c r="I15" s="1235" t="s">
        <v>25</v>
      </c>
      <c r="J15" s="1236">
        <f>Assumptions!$C$5</f>
        <v>100</v>
      </c>
      <c r="K15" s="1192"/>
      <c r="L15" s="1237">
        <f>Assumptions!$J$30</f>
        <v>0.9</v>
      </c>
      <c r="M15" s="1238">
        <f>J15*L15*1000000</f>
        <v>90000000</v>
      </c>
      <c r="N15" s="1209"/>
      <c r="O15" s="1210"/>
      <c r="P15" s="1211"/>
      <c r="Q15" s="1211"/>
      <c r="R15" s="1211"/>
      <c r="S15" s="1211"/>
      <c r="T15" s="1209"/>
    </row>
    <row r="16" spans="6:20" s="1191" customFormat="1" x14ac:dyDescent="0.2">
      <c r="F16" s="1203"/>
      <c r="G16" s="1203"/>
      <c r="H16" s="1204" t="s">
        <v>27</v>
      </c>
      <c r="I16" s="1235" t="s">
        <v>28</v>
      </c>
      <c r="J16" s="1239">
        <v>0.92</v>
      </c>
      <c r="K16" s="1192"/>
      <c r="L16" s="1216"/>
      <c r="M16" s="1192"/>
      <c r="N16" s="1209"/>
      <c r="O16" s="1210" t="s">
        <v>29</v>
      </c>
      <c r="P16" s="1211"/>
      <c r="Q16" s="1211"/>
      <c r="R16" s="1211"/>
      <c r="S16" s="1211"/>
      <c r="T16" s="1209"/>
    </row>
    <row r="17" spans="6:20" s="1191" customFormat="1" x14ac:dyDescent="0.2">
      <c r="F17" s="1203"/>
      <c r="G17" s="1203"/>
      <c r="H17" s="1204" t="s">
        <v>30</v>
      </c>
      <c r="I17" s="1235" t="s">
        <v>31</v>
      </c>
      <c r="J17" s="1240">
        <f>J16*Q17</f>
        <v>335.8</v>
      </c>
      <c r="K17" s="1192"/>
      <c r="L17" s="1216"/>
      <c r="M17" s="1192"/>
      <c r="N17" s="1209"/>
      <c r="O17" s="1210" t="s">
        <v>32</v>
      </c>
      <c r="P17" s="1211"/>
      <c r="Q17" s="1236">
        <v>365</v>
      </c>
      <c r="R17" s="1210"/>
      <c r="S17" s="1211"/>
      <c r="T17" s="1241"/>
    </row>
    <row r="18" spans="6:20" s="1191" customFormat="1" x14ac:dyDescent="0.2">
      <c r="F18" s="1203"/>
      <c r="G18" s="1203"/>
      <c r="H18" s="1204" t="s">
        <v>33</v>
      </c>
      <c r="I18" s="1235" t="s">
        <v>34</v>
      </c>
      <c r="J18" s="1242">
        <f>J17*24</f>
        <v>8059.2000000000007</v>
      </c>
      <c r="K18" s="1192"/>
      <c r="L18" s="1216"/>
      <c r="M18" s="1192"/>
      <c r="N18" s="1209"/>
      <c r="O18" s="1210"/>
      <c r="P18" s="1211"/>
      <c r="Q18" s="1211"/>
      <c r="R18" s="1211"/>
      <c r="S18" s="1211"/>
      <c r="T18" s="1209"/>
    </row>
    <row r="19" spans="6:20" s="1191" customFormat="1" x14ac:dyDescent="0.2">
      <c r="F19" s="1203"/>
      <c r="G19" s="1203"/>
      <c r="H19" s="1204"/>
      <c r="I19" s="1235"/>
      <c r="J19" s="1242"/>
      <c r="K19" s="1192"/>
      <c r="L19" s="1216"/>
      <c r="M19" s="1192"/>
      <c r="N19" s="1209"/>
      <c r="O19" s="1210"/>
      <c r="P19" s="1211"/>
      <c r="Q19" s="1211"/>
      <c r="R19" s="1211"/>
      <c r="S19" s="1211"/>
      <c r="T19" s="1209"/>
    </row>
    <row r="20" spans="6:20" s="1191" customFormat="1" x14ac:dyDescent="0.2">
      <c r="F20" s="1203"/>
      <c r="G20" s="1203"/>
      <c r="H20" s="1220" t="s">
        <v>35</v>
      </c>
      <c r="I20" s="1243"/>
      <c r="J20" s="1192"/>
      <c r="K20" s="1192"/>
      <c r="L20" s="1216"/>
      <c r="M20" s="1192"/>
      <c r="N20" s="1209"/>
      <c r="O20" s="1211"/>
      <c r="P20" s="1211"/>
      <c r="Q20" s="1211"/>
      <c r="R20" s="1211"/>
      <c r="S20" s="1211"/>
      <c r="T20" s="1209"/>
    </row>
    <row r="21" spans="6:20" s="1191" customFormat="1" x14ac:dyDescent="0.2">
      <c r="F21" s="1203"/>
      <c r="G21" s="1203"/>
      <c r="H21" s="1204" t="s">
        <v>36</v>
      </c>
      <c r="I21" s="1235" t="s">
        <v>37</v>
      </c>
      <c r="J21" s="1244">
        <f>J15/J17*1000000</f>
        <v>297796.30732578918</v>
      </c>
      <c r="K21" s="1192"/>
      <c r="L21" s="1216"/>
      <c r="M21" s="1192"/>
      <c r="N21" s="1209"/>
      <c r="O21" s="1211"/>
      <c r="P21" s="1211"/>
      <c r="Q21" s="1211"/>
      <c r="R21" s="1211"/>
      <c r="S21" s="1211"/>
      <c r="T21" s="1209"/>
    </row>
    <row r="22" spans="6:20" s="1191" customFormat="1" x14ac:dyDescent="0.2">
      <c r="F22" s="1203"/>
      <c r="G22" s="1203"/>
      <c r="H22" s="1204" t="s">
        <v>38</v>
      </c>
      <c r="I22" s="1235" t="s">
        <v>39</v>
      </c>
      <c r="J22" s="1211">
        <f>J15*1000000/J18</f>
        <v>12408.179471907881</v>
      </c>
      <c r="K22" s="1192"/>
      <c r="L22" s="1216"/>
      <c r="M22" s="1192"/>
      <c r="N22" s="1209"/>
      <c r="O22" s="1211"/>
      <c r="P22" s="1211"/>
      <c r="Q22" s="1211"/>
      <c r="R22" s="1211"/>
      <c r="S22" s="1211"/>
      <c r="T22" s="1209"/>
    </row>
    <row r="23" spans="6:20" s="1191" customFormat="1" x14ac:dyDescent="0.2">
      <c r="F23" s="1203"/>
      <c r="G23" s="1203"/>
      <c r="H23" s="1220"/>
      <c r="I23" s="1235"/>
      <c r="J23" s="1211"/>
      <c r="K23" s="1192"/>
      <c r="L23" s="1216"/>
      <c r="M23" s="1192"/>
      <c r="N23" s="1209"/>
      <c r="O23" s="1211"/>
      <c r="P23" s="1211"/>
      <c r="Q23" s="1211"/>
      <c r="R23" s="1211"/>
      <c r="S23" s="1211"/>
      <c r="T23" s="1209"/>
    </row>
    <row r="24" spans="6:20" s="1191" customFormat="1" ht="38.25" x14ac:dyDescent="0.2">
      <c r="F24" s="1203"/>
      <c r="G24" s="1203"/>
      <c r="H24" s="1220" t="s">
        <v>383</v>
      </c>
      <c r="I24" s="1245"/>
      <c r="J24" s="1246" t="s">
        <v>384</v>
      </c>
      <c r="K24" s="1247" t="s">
        <v>385</v>
      </c>
      <c r="L24" s="1247" t="s">
        <v>386</v>
      </c>
      <c r="M24" s="1247" t="s">
        <v>387</v>
      </c>
      <c r="N24" s="1209"/>
      <c r="O24" s="1211"/>
      <c r="P24" s="1211"/>
      <c r="Q24" s="1211"/>
      <c r="R24" s="1211"/>
      <c r="S24" s="1211"/>
      <c r="T24" s="1209"/>
    </row>
    <row r="25" spans="6:20" s="1191" customFormat="1" x14ac:dyDescent="0.2">
      <c r="F25" s="1203"/>
      <c r="G25" s="1203"/>
      <c r="H25" s="1204" t="s">
        <v>388</v>
      </c>
      <c r="I25" s="1235" t="s">
        <v>28</v>
      </c>
      <c r="J25" s="1206">
        <v>0.01</v>
      </c>
      <c r="K25" s="1248">
        <f>1-K11</f>
        <v>0.10999999999999999</v>
      </c>
      <c r="L25" s="1249">
        <f>J25*$M$11*$K$11/(1-K25)</f>
        <v>8.2923325853047203</v>
      </c>
      <c r="M25" s="1211">
        <f>L25*$J$17</f>
        <v>2784.565282145325</v>
      </c>
      <c r="N25" s="1209"/>
      <c r="O25" s="1210" t="s">
        <v>389</v>
      </c>
      <c r="P25" s="1211"/>
      <c r="Q25" s="1211"/>
      <c r="R25" s="1211"/>
      <c r="S25" s="1211"/>
      <c r="T25" s="1209"/>
    </row>
    <row r="26" spans="6:20" s="1191" customFormat="1" x14ac:dyDescent="0.2">
      <c r="F26" s="1203"/>
      <c r="G26" s="1203"/>
      <c r="H26" s="1204" t="s">
        <v>390</v>
      </c>
      <c r="I26" s="1235" t="s">
        <v>28</v>
      </c>
      <c r="J26" s="1206">
        <v>0.13</v>
      </c>
      <c r="K26" s="1250">
        <v>0.1</v>
      </c>
      <c r="L26" s="1249">
        <f>J26*$M$11*$K$11/(1-K26)</f>
        <v>106.60254223552847</v>
      </c>
      <c r="M26" s="1211">
        <f>L26*$J$17</f>
        <v>35797.133682690466</v>
      </c>
      <c r="N26" s="1209"/>
      <c r="O26" s="1211"/>
      <c r="P26" s="1211"/>
      <c r="Q26" s="1211"/>
      <c r="R26" s="1211"/>
      <c r="S26" s="1211"/>
      <c r="T26" s="1209"/>
    </row>
    <row r="27" spans="6:20" s="1191" customFormat="1" x14ac:dyDescent="0.2">
      <c r="F27" s="1203"/>
      <c r="G27" s="1203"/>
      <c r="H27" s="1204" t="s">
        <v>391</v>
      </c>
      <c r="I27" s="1235" t="s">
        <v>28</v>
      </c>
      <c r="J27" s="1206">
        <v>0.03</v>
      </c>
      <c r="K27" s="1250">
        <v>0.1</v>
      </c>
      <c r="L27" s="1249">
        <f>J27*$M$11*$K$11/(1-K27)</f>
        <v>24.600586669737336</v>
      </c>
      <c r="M27" s="1211">
        <f>L27*$J$17</f>
        <v>8260.8770036977985</v>
      </c>
      <c r="N27" s="1209"/>
      <c r="O27" s="1211"/>
      <c r="P27" s="1211"/>
      <c r="Q27" s="1211"/>
      <c r="R27" s="1211"/>
      <c r="S27" s="1211"/>
      <c r="T27" s="1209"/>
    </row>
    <row r="28" spans="6:20" s="1191" customFormat="1" x14ac:dyDescent="0.2">
      <c r="F28" s="1203"/>
      <c r="G28" s="1203"/>
      <c r="H28" s="1204" t="s">
        <v>392</v>
      </c>
      <c r="I28" s="1235" t="s">
        <v>28</v>
      </c>
      <c r="J28" s="1206">
        <v>0.11</v>
      </c>
      <c r="K28" s="1250">
        <v>7.0000000000000007E-2</v>
      </c>
      <c r="L28" s="1249">
        <f>J28*$M$11*$K$11/(1-K28)</f>
        <v>87.292404311971197</v>
      </c>
      <c r="M28" s="1211">
        <f>L28*$J$17</f>
        <v>29312.789367959929</v>
      </c>
      <c r="N28" s="1209"/>
      <c r="O28" s="1211"/>
      <c r="P28" s="1211"/>
      <c r="Q28" s="1211"/>
      <c r="R28" s="1211"/>
      <c r="S28" s="1211"/>
      <c r="T28" s="1209"/>
    </row>
    <row r="29" spans="6:20" s="1191" customFormat="1" x14ac:dyDescent="0.2">
      <c r="F29" s="1203"/>
      <c r="G29" s="1203"/>
      <c r="H29" s="1204" t="s">
        <v>393</v>
      </c>
      <c r="I29" s="1235" t="s">
        <v>28</v>
      </c>
      <c r="J29" s="1206">
        <v>0.72</v>
      </c>
      <c r="K29" s="1221" t="s">
        <v>394</v>
      </c>
      <c r="L29" s="1249">
        <f>M11-SUM(L25:L28)</f>
        <v>602.44539272793031</v>
      </c>
      <c r="M29" s="1211">
        <f>L29*$J$17</f>
        <v>202301.162878039</v>
      </c>
      <c r="N29" s="1209"/>
      <c r="O29" s="1211"/>
      <c r="P29" s="1211"/>
      <c r="Q29" s="1211"/>
      <c r="R29" s="1211"/>
      <c r="S29" s="1211"/>
      <c r="T29" s="1209"/>
    </row>
    <row r="30" spans="6:20" s="1191" customFormat="1" x14ac:dyDescent="0.2">
      <c r="F30" s="1203"/>
      <c r="G30" s="1203"/>
      <c r="H30" s="1212" t="s">
        <v>395</v>
      </c>
      <c r="I30" s="1235" t="s">
        <v>28</v>
      </c>
      <c r="J30" s="1251">
        <f>SUM(J25:J29)</f>
        <v>1</v>
      </c>
      <c r="K30" s="1252">
        <v>0.9</v>
      </c>
      <c r="L30" s="1204" t="s">
        <v>396</v>
      </c>
      <c r="M30" s="1192"/>
      <c r="N30" s="1209"/>
      <c r="O30" s="1211"/>
      <c r="P30" s="1211"/>
      <c r="Q30" s="1211"/>
      <c r="R30" s="1211"/>
      <c r="S30" s="1211"/>
      <c r="T30" s="1209"/>
    </row>
    <row r="31" spans="6:20" s="1191" customFormat="1" x14ac:dyDescent="0.2">
      <c r="F31" s="1203"/>
      <c r="G31" s="1203"/>
      <c r="H31" s="1212"/>
      <c r="I31" s="1235"/>
      <c r="J31" s="1253"/>
      <c r="K31" s="1253"/>
      <c r="L31" s="1204"/>
      <c r="M31" s="1192"/>
      <c r="N31" s="1209"/>
      <c r="O31" s="1211"/>
      <c r="P31" s="1211"/>
      <c r="Q31" s="1211"/>
      <c r="R31" s="1211"/>
      <c r="S31" s="1211"/>
      <c r="T31" s="1209"/>
    </row>
    <row r="32" spans="6:20" s="1191" customFormat="1" ht="25.5" x14ac:dyDescent="0.2">
      <c r="F32" s="1203"/>
      <c r="G32" s="1203"/>
      <c r="H32" s="1220" t="s">
        <v>383</v>
      </c>
      <c r="I32" s="1245"/>
      <c r="J32" s="1246"/>
      <c r="K32" s="1254" t="s">
        <v>397</v>
      </c>
      <c r="L32" s="1233" t="s">
        <v>398</v>
      </c>
      <c r="M32" s="1232" t="s">
        <v>23</v>
      </c>
      <c r="N32" s="1209"/>
      <c r="O32" s="1211"/>
      <c r="P32" s="1211"/>
      <c r="Q32" s="1211"/>
      <c r="R32" s="1211"/>
      <c r="S32" s="1211"/>
      <c r="T32" s="1209"/>
    </row>
    <row r="33" spans="1:20" s="1191" customFormat="1" x14ac:dyDescent="0.2">
      <c r="F33" s="1203"/>
      <c r="G33" s="1203"/>
      <c r="H33" s="1204" t="s">
        <v>388</v>
      </c>
      <c r="I33" s="1235" t="s">
        <v>28</v>
      </c>
      <c r="J33" s="1246"/>
      <c r="K33" s="1211">
        <f>M25*'Wheat Standalone (Starch)'!Q33</f>
        <v>1392.2826410726625</v>
      </c>
      <c r="L33" s="1255">
        <v>0</v>
      </c>
      <c r="M33" s="1211">
        <f>K33*L33</f>
        <v>0</v>
      </c>
      <c r="N33" s="1209"/>
      <c r="O33" s="1210" t="s">
        <v>399</v>
      </c>
      <c r="Q33" s="1236">
        <v>0.5</v>
      </c>
      <c r="T33" s="1209"/>
    </row>
    <row r="34" spans="1:20" s="1191" customFormat="1" x14ac:dyDescent="0.2">
      <c r="F34" s="1203"/>
      <c r="G34" s="1203"/>
      <c r="H34" s="1204" t="s">
        <v>390</v>
      </c>
      <c r="I34" s="1235" t="s">
        <v>28</v>
      </c>
      <c r="J34" s="1246"/>
      <c r="K34" s="1211">
        <f>M26</f>
        <v>35797.133682690466</v>
      </c>
      <c r="L34" s="1255">
        <v>0</v>
      </c>
      <c r="M34" s="1211">
        <f>K34*L34</f>
        <v>0</v>
      </c>
      <c r="N34" s="1209"/>
      <c r="O34" s="1211"/>
      <c r="P34" s="1211"/>
      <c r="T34" s="1209"/>
    </row>
    <row r="35" spans="1:20" s="1191" customFormat="1" x14ac:dyDescent="0.2">
      <c r="F35" s="1203"/>
      <c r="G35" s="1203"/>
      <c r="H35" s="1204" t="s">
        <v>391</v>
      </c>
      <c r="I35" s="1235" t="s">
        <v>28</v>
      </c>
      <c r="J35" s="1246"/>
      <c r="K35" s="1211">
        <f>M27</f>
        <v>8260.8770036977985</v>
      </c>
      <c r="L35" s="1255">
        <v>0</v>
      </c>
      <c r="M35" s="1211">
        <f>K35*L35</f>
        <v>0</v>
      </c>
      <c r="N35" s="1209"/>
      <c r="T35" s="1209"/>
    </row>
    <row r="36" spans="1:20" s="1191" customFormat="1" x14ac:dyDescent="0.2">
      <c r="F36" s="1203"/>
      <c r="G36" s="1203"/>
      <c r="H36" s="1204" t="s">
        <v>392</v>
      </c>
      <c r="I36" s="1235" t="s">
        <v>28</v>
      </c>
      <c r="J36" s="1246"/>
      <c r="K36" s="1211">
        <f>M28</f>
        <v>29312.789367959929</v>
      </c>
      <c r="L36" s="1255">
        <v>0</v>
      </c>
      <c r="M36" s="1211">
        <f>K36*L36</f>
        <v>0</v>
      </c>
      <c r="N36" s="1209"/>
      <c r="T36" s="1209"/>
    </row>
    <row r="37" spans="1:20" s="1191" customFormat="1" x14ac:dyDescent="0.2">
      <c r="F37" s="1203"/>
      <c r="G37" s="1203"/>
      <c r="H37" s="1204" t="s">
        <v>393</v>
      </c>
      <c r="I37" s="1235" t="s">
        <v>28</v>
      </c>
      <c r="J37" s="1246"/>
      <c r="K37" s="1244">
        <f>M29</f>
        <v>202301.162878039</v>
      </c>
      <c r="L37" s="1255">
        <v>200</v>
      </c>
      <c r="M37" s="1211">
        <f>K37*L37</f>
        <v>40460232.575607799</v>
      </c>
      <c r="N37" s="1209"/>
      <c r="T37" s="1209"/>
    </row>
    <row r="38" spans="1:20" s="1191" customFormat="1" x14ac:dyDescent="0.2">
      <c r="A38" s="1191" t="s">
        <v>703</v>
      </c>
      <c r="B38" s="1191" t="s">
        <v>285</v>
      </c>
      <c r="F38" s="1203"/>
      <c r="G38" s="1203"/>
      <c r="H38" s="1212" t="s">
        <v>400</v>
      </c>
      <c r="I38" s="1235" t="s">
        <v>28</v>
      </c>
      <c r="J38" s="1246"/>
      <c r="K38" s="1256">
        <f>SUM(K33:K37)</f>
        <v>277064.24557345989</v>
      </c>
      <c r="L38" s="1204"/>
      <c r="M38" s="1256">
        <f>SUM(M33:M37)</f>
        <v>40460232.575607799</v>
      </c>
      <c r="N38" s="1209"/>
      <c r="T38" s="1209"/>
    </row>
    <row r="39" spans="1:20" s="1191" customFormat="1" x14ac:dyDescent="0.2">
      <c r="F39" s="1203"/>
      <c r="G39" s="1203"/>
      <c r="H39" s="1212"/>
      <c r="I39" s="1235"/>
      <c r="J39" s="1253"/>
      <c r="K39" s="1204"/>
      <c r="L39" s="1204"/>
      <c r="M39" s="1192"/>
      <c r="N39" s="1209"/>
      <c r="T39" s="1209"/>
    </row>
    <row r="40" spans="1:20" s="1191" customFormat="1" x14ac:dyDescent="0.2">
      <c r="F40" s="1203"/>
      <c r="G40" s="1203"/>
      <c r="H40" s="1220" t="s">
        <v>40</v>
      </c>
      <c r="I40" s="1243"/>
      <c r="J40" s="1192"/>
      <c r="K40" s="1192"/>
      <c r="L40" s="1216"/>
      <c r="M40" s="1192"/>
      <c r="N40" s="1209"/>
      <c r="O40" s="1210" t="s">
        <v>42</v>
      </c>
      <c r="P40" s="1211"/>
      <c r="T40" s="1209"/>
    </row>
    <row r="41" spans="1:20" s="1191" customFormat="1" x14ac:dyDescent="0.2">
      <c r="F41" s="1203"/>
      <c r="G41" s="1203"/>
      <c r="H41" s="1204" t="s">
        <v>401</v>
      </c>
      <c r="I41" s="1235" t="s">
        <v>28</v>
      </c>
      <c r="J41" s="1257">
        <v>0.99</v>
      </c>
      <c r="K41" s="1192"/>
      <c r="L41" s="1216"/>
      <c r="M41" s="1192"/>
      <c r="N41" s="1209"/>
      <c r="O41" s="1210"/>
      <c r="P41" s="1211"/>
      <c r="T41" s="1209"/>
    </row>
    <row r="42" spans="1:20" s="1191" customFormat="1" x14ac:dyDescent="0.2">
      <c r="F42" s="1203"/>
      <c r="G42" s="1203"/>
      <c r="H42" s="1204" t="s">
        <v>41</v>
      </c>
      <c r="I42" s="1235" t="s">
        <v>28</v>
      </c>
      <c r="J42" s="1257">
        <v>0.89</v>
      </c>
      <c r="K42" s="1192"/>
      <c r="L42" s="1216"/>
      <c r="M42" s="1192"/>
      <c r="N42" s="1209"/>
      <c r="O42" s="1211"/>
      <c r="P42" s="1211"/>
      <c r="T42" s="1209"/>
    </row>
    <row r="43" spans="1:20" s="1191" customFormat="1" x14ac:dyDescent="0.2">
      <c r="F43" s="1203"/>
      <c r="G43" s="1203"/>
      <c r="H43" s="1204" t="s">
        <v>43</v>
      </c>
      <c r="I43" s="1235" t="s">
        <v>28</v>
      </c>
      <c r="J43" s="1257">
        <v>0.98499999999999999</v>
      </c>
      <c r="K43" s="1192"/>
      <c r="L43" s="1216"/>
      <c r="M43" s="1192"/>
      <c r="N43" s="1209"/>
      <c r="O43" s="1211"/>
      <c r="P43" s="1211"/>
      <c r="T43" s="1209"/>
    </row>
    <row r="44" spans="1:20" s="1191" customFormat="1" x14ac:dyDescent="0.2">
      <c r="F44" s="1203"/>
      <c r="G44" s="1203"/>
      <c r="H44" s="1212" t="s">
        <v>44</v>
      </c>
      <c r="I44" s="1245" t="s">
        <v>28</v>
      </c>
      <c r="J44" s="1258">
        <f>J43*J42*J41</f>
        <v>0.86788350000000003</v>
      </c>
      <c r="K44" s="1192"/>
      <c r="L44" s="1216"/>
      <c r="M44" s="1192"/>
      <c r="N44" s="1209"/>
      <c r="O44" s="1211"/>
      <c r="P44" s="1211"/>
      <c r="T44" s="1209"/>
    </row>
    <row r="45" spans="1:20" s="1191" customFormat="1" x14ac:dyDescent="0.2">
      <c r="F45" s="1203"/>
      <c r="G45" s="1203"/>
      <c r="H45" s="1204"/>
      <c r="I45" s="1235"/>
      <c r="J45" s="1259"/>
      <c r="K45" s="1192"/>
      <c r="L45" s="1216"/>
      <c r="M45" s="1192"/>
      <c r="N45" s="1209"/>
      <c r="O45" s="1211"/>
      <c r="P45" s="1211"/>
      <c r="T45" s="1209"/>
    </row>
    <row r="46" spans="1:20" s="1191" customFormat="1" x14ac:dyDescent="0.2">
      <c r="F46" s="1203"/>
      <c r="G46" s="1203"/>
      <c r="H46" s="1220" t="s">
        <v>45</v>
      </c>
      <c r="I46" s="1235"/>
      <c r="J46" s="1259"/>
      <c r="K46" s="1192"/>
      <c r="L46" s="1216"/>
      <c r="M46" s="1192"/>
      <c r="N46" s="1209"/>
      <c r="O46" s="1211"/>
      <c r="P46" s="1211"/>
      <c r="Q46" s="1211"/>
      <c r="R46" s="1211"/>
      <c r="S46" s="1211"/>
      <c r="T46" s="1209"/>
    </row>
    <row r="47" spans="1:20" s="1191" customFormat="1" x14ac:dyDescent="0.2">
      <c r="F47" s="1203"/>
      <c r="G47" s="1203"/>
      <c r="H47" s="1204" t="s">
        <v>46</v>
      </c>
      <c r="I47" s="1235" t="s">
        <v>47</v>
      </c>
      <c r="J47" s="1260">
        <v>0.78900000000000003</v>
      </c>
      <c r="K47" s="1192"/>
      <c r="L47" s="1216"/>
      <c r="M47" s="1192"/>
      <c r="N47" s="1209"/>
      <c r="O47" s="1211"/>
      <c r="P47" s="1211"/>
      <c r="Q47" s="1211"/>
      <c r="R47" s="1211"/>
      <c r="S47" s="1211"/>
      <c r="T47" s="1209"/>
    </row>
    <row r="48" spans="1:20" s="1191" customFormat="1" x14ac:dyDescent="0.2">
      <c r="F48" s="1203"/>
      <c r="G48" s="1203"/>
      <c r="H48" s="1204" t="s">
        <v>402</v>
      </c>
      <c r="I48" s="1235" t="s">
        <v>28</v>
      </c>
      <c r="J48" s="1261">
        <v>1.1100000000000001</v>
      </c>
      <c r="K48" s="1262"/>
      <c r="L48" s="1216"/>
      <c r="M48" s="1192"/>
      <c r="N48" s="1209"/>
      <c r="O48" s="1211"/>
      <c r="P48" s="1211"/>
      <c r="Q48" s="1211"/>
      <c r="R48" s="1211"/>
      <c r="S48" s="1211"/>
      <c r="T48" s="1209"/>
    </row>
    <row r="49" spans="6:20" s="1191" customFormat="1" x14ac:dyDescent="0.2">
      <c r="F49" s="1203"/>
      <c r="G49" s="1203"/>
      <c r="H49" s="1204" t="s">
        <v>48</v>
      </c>
      <c r="I49" s="1235" t="s">
        <v>28</v>
      </c>
      <c r="J49" s="1263">
        <v>0.51</v>
      </c>
      <c r="K49" s="1264"/>
      <c r="L49" s="1216"/>
      <c r="M49" s="1192"/>
      <c r="N49" s="1209"/>
      <c r="O49" s="1211"/>
      <c r="P49" s="1211"/>
      <c r="Q49" s="1211"/>
      <c r="R49" s="1211"/>
      <c r="S49" s="1211"/>
      <c r="T49" s="1209"/>
    </row>
    <row r="50" spans="6:20" s="1191" customFormat="1" x14ac:dyDescent="0.2">
      <c r="F50" s="1192"/>
      <c r="G50" s="1203"/>
      <c r="H50" s="1204"/>
      <c r="I50" s="1235"/>
      <c r="J50" s="1235"/>
      <c r="K50" s="1192"/>
      <c r="L50" s="1216"/>
      <c r="M50" s="1192"/>
      <c r="N50" s="1209"/>
      <c r="O50" s="1211"/>
      <c r="P50" s="1211"/>
      <c r="Q50" s="1211"/>
      <c r="R50" s="1211"/>
      <c r="S50" s="1211"/>
      <c r="T50" s="1209"/>
    </row>
    <row r="51" spans="6:20" s="1191" customFormat="1" x14ac:dyDescent="0.2">
      <c r="F51" s="1192"/>
      <c r="G51" s="1203"/>
      <c r="H51" s="1220" t="s">
        <v>67</v>
      </c>
      <c r="I51" s="1245" t="s">
        <v>68</v>
      </c>
      <c r="J51" s="1265">
        <f>J21*J47/1000/J44/J49/J48</f>
        <v>478.23540485969392</v>
      </c>
      <c r="K51" s="1192"/>
      <c r="L51" s="1216"/>
      <c r="M51" s="1192"/>
      <c r="N51" s="1209"/>
      <c r="O51" s="1211"/>
      <c r="P51" s="1211"/>
      <c r="Q51" s="1211"/>
      <c r="R51" s="1211"/>
      <c r="S51" s="1211"/>
      <c r="T51" s="1209"/>
    </row>
    <row r="52" spans="6:20" s="1191" customFormat="1" x14ac:dyDescent="0.2">
      <c r="F52" s="1192"/>
      <c r="G52" s="1203"/>
      <c r="H52" s="1220"/>
      <c r="I52" s="1245"/>
      <c r="J52" s="1265"/>
      <c r="K52" s="1192"/>
      <c r="L52" s="1216"/>
      <c r="M52" s="1192"/>
      <c r="N52" s="1209"/>
      <c r="O52" s="1211"/>
      <c r="P52" s="1211"/>
      <c r="Q52" s="1211"/>
      <c r="R52" s="1211"/>
      <c r="S52" s="1211"/>
      <c r="T52" s="1209"/>
    </row>
    <row r="53" spans="6:20" s="1191" customFormat="1" x14ac:dyDescent="0.2">
      <c r="F53" s="1192"/>
      <c r="G53" s="1203"/>
      <c r="H53" s="1266" t="s">
        <v>403</v>
      </c>
      <c r="I53" s="1219"/>
      <c r="J53" s="1214"/>
      <c r="K53" s="1214"/>
      <c r="L53" s="1216"/>
      <c r="M53" s="1192"/>
      <c r="N53" s="1209"/>
      <c r="O53" s="1211"/>
      <c r="P53" s="1211"/>
      <c r="Q53" s="1211"/>
      <c r="R53" s="1211"/>
      <c r="S53" s="1211"/>
      <c r="T53" s="1209"/>
    </row>
    <row r="54" spans="6:20" s="1191" customFormat="1" x14ac:dyDescent="0.2">
      <c r="F54" s="1192"/>
      <c r="G54" s="1203"/>
      <c r="H54" s="1267"/>
      <c r="I54" s="1268" t="s">
        <v>404</v>
      </c>
      <c r="J54" s="1269"/>
      <c r="K54" s="1214"/>
      <c r="L54" s="1216"/>
      <c r="M54" s="1192"/>
      <c r="N54" s="1209"/>
      <c r="O54" s="1211"/>
      <c r="P54" s="1211"/>
      <c r="Q54" s="1211"/>
      <c r="R54" s="1211"/>
      <c r="S54" s="1211"/>
      <c r="T54" s="1209"/>
    </row>
    <row r="55" spans="6:20" s="1191" customFormat="1" x14ac:dyDescent="0.2">
      <c r="F55" s="1192"/>
      <c r="G55" s="1203"/>
      <c r="H55" s="1204"/>
      <c r="I55" s="1235"/>
      <c r="J55" s="1235"/>
      <c r="K55" s="1192"/>
      <c r="L55" s="1216"/>
      <c r="M55" s="1192"/>
      <c r="N55" s="1209"/>
      <c r="O55" s="1211"/>
      <c r="P55" s="1211"/>
      <c r="Q55" s="1211"/>
      <c r="R55" s="1211"/>
      <c r="S55" s="1211"/>
      <c r="T55" s="1209"/>
    </row>
    <row r="56" spans="6:20" s="1191" customFormat="1" ht="25.5" x14ac:dyDescent="0.2">
      <c r="F56" s="1192"/>
      <c r="G56" s="1203"/>
      <c r="H56" s="1220" t="s">
        <v>405</v>
      </c>
      <c r="I56" s="1235"/>
      <c r="J56" s="1270" t="s">
        <v>52</v>
      </c>
      <c r="K56" s="1271" t="s">
        <v>406</v>
      </c>
      <c r="L56" s="1247" t="s">
        <v>407</v>
      </c>
      <c r="M56" s="1247" t="s">
        <v>408</v>
      </c>
      <c r="N56" s="1209"/>
      <c r="O56" s="1211"/>
      <c r="P56" s="1211"/>
      <c r="Q56" s="1211"/>
      <c r="R56" s="1211"/>
      <c r="S56" s="1211"/>
      <c r="T56" s="1209"/>
    </row>
    <row r="57" spans="6:20" s="1191" customFormat="1" x14ac:dyDescent="0.2">
      <c r="F57" s="1192"/>
      <c r="G57" s="1203"/>
      <c r="H57" s="1235" t="str">
        <f t="shared" ref="H57:H62" si="1">H5</f>
        <v>General purpose wheat</v>
      </c>
      <c r="I57" s="1235" t="s">
        <v>54</v>
      </c>
      <c r="J57" s="1263">
        <v>7.0000000000000007E-2</v>
      </c>
      <c r="K57" s="1211">
        <f t="shared" ref="K57:K62" si="2">J57*N5</f>
        <v>9745.9784875086389</v>
      </c>
      <c r="L57" s="1272">
        <v>0.1</v>
      </c>
      <c r="M57" s="1211">
        <f t="shared" ref="M57:M62" si="3">K57/(1-L57)</f>
        <v>10828.86498612071</v>
      </c>
      <c r="N57" s="1209"/>
      <c r="O57" s="1211"/>
      <c r="P57" s="1211"/>
      <c r="Q57" s="1211"/>
      <c r="R57" s="1211"/>
      <c r="S57" s="1211"/>
      <c r="T57" s="1209"/>
    </row>
    <row r="58" spans="6:20" s="1191" customFormat="1" x14ac:dyDescent="0.2">
      <c r="F58" s="1192"/>
      <c r="G58" s="1203"/>
      <c r="H58" s="1235" t="str">
        <f t="shared" si="1"/>
        <v>Prime hard wheat</v>
      </c>
      <c r="I58" s="1235" t="s">
        <v>54</v>
      </c>
      <c r="J58" s="1263">
        <v>7.0000000000000007E-2</v>
      </c>
      <c r="K58" s="1211">
        <f t="shared" si="2"/>
        <v>0</v>
      </c>
      <c r="L58" s="1272">
        <v>0.1</v>
      </c>
      <c r="M58" s="1211">
        <f t="shared" si="3"/>
        <v>0</v>
      </c>
      <c r="N58" s="1209"/>
      <c r="O58" s="1211"/>
      <c r="P58" s="1211"/>
      <c r="Q58" s="1211"/>
      <c r="R58" s="1211"/>
      <c r="S58" s="1211"/>
      <c r="T58" s="1209"/>
    </row>
    <row r="59" spans="6:20" s="1191" customFormat="1" x14ac:dyDescent="0.2">
      <c r="F59" s="1192"/>
      <c r="G59" s="1203"/>
      <c r="H59" s="1235" t="str">
        <f t="shared" si="1"/>
        <v>Hard wheat</v>
      </c>
      <c r="I59" s="1235" t="s">
        <v>54</v>
      </c>
      <c r="J59" s="1263">
        <v>7.0000000000000007E-2</v>
      </c>
      <c r="K59" s="1211">
        <f t="shared" si="2"/>
        <v>9745.9784875086389</v>
      </c>
      <c r="L59" s="1272">
        <v>0.1</v>
      </c>
      <c r="M59" s="1211">
        <f t="shared" si="3"/>
        <v>10828.86498612071</v>
      </c>
      <c r="N59" s="1209"/>
      <c r="O59" s="1211"/>
      <c r="P59" s="1211"/>
      <c r="Q59" s="1211"/>
      <c r="R59" s="1211"/>
      <c r="S59" s="1211"/>
      <c r="T59" s="1209"/>
    </row>
    <row r="60" spans="6:20" s="1191" customFormat="1" x14ac:dyDescent="0.2">
      <c r="F60" s="1192"/>
      <c r="G60" s="1203"/>
      <c r="H60" s="1235" t="str">
        <f t="shared" si="1"/>
        <v>Premium white wheat</v>
      </c>
      <c r="I60" s="1235" t="s">
        <v>54</v>
      </c>
      <c r="J60" s="1263">
        <v>7.0000000000000007E-2</v>
      </c>
      <c r="K60" s="1211">
        <f t="shared" si="2"/>
        <v>0</v>
      </c>
      <c r="L60" s="1272">
        <v>0.1</v>
      </c>
      <c r="M60" s="1211">
        <f t="shared" si="3"/>
        <v>0</v>
      </c>
      <c r="N60" s="1209"/>
      <c r="O60" s="1211"/>
      <c r="P60" s="1211"/>
      <c r="Q60" s="1211"/>
      <c r="R60" s="1211"/>
      <c r="S60" s="1211"/>
      <c r="T60" s="1209"/>
    </row>
    <row r="61" spans="6:20" s="1191" customFormat="1" x14ac:dyDescent="0.2">
      <c r="F61" s="1192"/>
      <c r="G61" s="1203"/>
      <c r="H61" s="1235" t="str">
        <f t="shared" si="1"/>
        <v>Standard white wheat</v>
      </c>
      <c r="I61" s="1235" t="s">
        <v>54</v>
      </c>
      <c r="J61" s="1263">
        <v>7.0000000000000007E-2</v>
      </c>
      <c r="K61" s="1211">
        <f t="shared" si="2"/>
        <v>0</v>
      </c>
      <c r="L61" s="1272">
        <v>0.1</v>
      </c>
      <c r="M61" s="1211">
        <f t="shared" si="3"/>
        <v>0</v>
      </c>
      <c r="N61" s="1209"/>
      <c r="O61" s="1211"/>
      <c r="P61" s="1211"/>
      <c r="Q61" s="1211"/>
      <c r="R61" s="1211"/>
      <c r="S61" s="1211"/>
      <c r="T61" s="1209"/>
    </row>
    <row r="62" spans="6:20" s="1191" customFormat="1" x14ac:dyDescent="0.2">
      <c r="F62" s="1192"/>
      <c r="G62" s="1203"/>
      <c r="H62" s="1235" t="str">
        <f t="shared" si="1"/>
        <v>Feed</v>
      </c>
      <c r="I62" s="1235" t="s">
        <v>54</v>
      </c>
      <c r="J62" s="1263">
        <v>7.0000000000000007E-2</v>
      </c>
      <c r="K62" s="1211">
        <f t="shared" si="2"/>
        <v>0</v>
      </c>
      <c r="L62" s="1272">
        <v>0.1</v>
      </c>
      <c r="M62" s="1211">
        <f t="shared" si="3"/>
        <v>0</v>
      </c>
      <c r="N62" s="1209"/>
      <c r="O62" s="1211"/>
      <c r="P62" s="1211"/>
      <c r="Q62" s="1211"/>
      <c r="R62" s="1211"/>
      <c r="S62" s="1211"/>
      <c r="T62" s="1209"/>
    </row>
    <row r="63" spans="6:20" s="1191" customFormat="1" x14ac:dyDescent="0.2">
      <c r="F63" s="1192"/>
      <c r="G63" s="1203"/>
      <c r="H63" s="1212" t="s">
        <v>303</v>
      </c>
      <c r="I63" s="1235" t="s">
        <v>54</v>
      </c>
      <c r="J63" s="1270"/>
      <c r="K63" s="1273">
        <f>SUM(K57:K62)</f>
        <v>19491.956975017278</v>
      </c>
      <c r="L63" s="1216"/>
      <c r="M63" s="1273">
        <f>SUM(M57:M62)</f>
        <v>21657.729972241421</v>
      </c>
      <c r="N63" s="1209"/>
      <c r="O63" s="1211"/>
      <c r="P63" s="1211"/>
      <c r="Q63" s="1211"/>
      <c r="R63" s="1211"/>
      <c r="S63" s="1211"/>
      <c r="T63" s="1209"/>
    </row>
    <row r="64" spans="6:20" s="1191" customFormat="1" x14ac:dyDescent="0.2">
      <c r="F64" s="1192"/>
      <c r="G64" s="1203"/>
      <c r="H64" s="1212"/>
      <c r="I64" s="1235"/>
      <c r="J64" s="1270"/>
      <c r="K64" s="1265"/>
      <c r="L64" s="1216"/>
      <c r="M64" s="1265"/>
      <c r="N64" s="1209"/>
      <c r="O64" s="1211"/>
      <c r="P64" s="1211"/>
      <c r="Q64" s="1211"/>
      <c r="R64" s="1211"/>
      <c r="S64" s="1211"/>
      <c r="T64" s="1209"/>
    </row>
    <row r="65" spans="6:20" s="1191" customFormat="1" x14ac:dyDescent="0.2">
      <c r="F65" s="1192"/>
      <c r="G65" s="1203"/>
      <c r="H65" s="1245"/>
      <c r="I65" s="1235"/>
      <c r="J65" s="1270"/>
      <c r="K65" s="1265"/>
      <c r="L65" s="1233" t="s">
        <v>398</v>
      </c>
      <c r="M65" s="1232" t="s">
        <v>23</v>
      </c>
      <c r="N65" s="1209"/>
      <c r="O65" s="1211"/>
      <c r="P65" s="1211"/>
      <c r="Q65" s="1211"/>
      <c r="R65" s="1211"/>
      <c r="S65" s="1211"/>
      <c r="T65" s="1209"/>
    </row>
    <row r="66" spans="6:20" s="1191" customFormat="1" x14ac:dyDescent="0.2">
      <c r="F66" s="1192"/>
      <c r="G66" s="1203"/>
      <c r="H66" s="1266" t="s">
        <v>409</v>
      </c>
      <c r="I66" s="1245"/>
      <c r="J66" s="1220"/>
      <c r="K66" s="1238">
        <f>M63</f>
        <v>21657.729972241421</v>
      </c>
      <c r="L66" s="1274">
        <v>500</v>
      </c>
      <c r="M66" s="1238">
        <f>K66*L66</f>
        <v>10828864.98612071</v>
      </c>
      <c r="N66" s="1209"/>
      <c r="O66" s="1210" t="s">
        <v>66</v>
      </c>
      <c r="P66" s="1211"/>
      <c r="Q66" s="1211"/>
      <c r="R66" s="1211"/>
      <c r="S66" s="1211"/>
      <c r="T66" s="1209"/>
    </row>
    <row r="67" spans="6:20" s="1191" customFormat="1" x14ac:dyDescent="0.2">
      <c r="F67" s="1107"/>
      <c r="G67" s="1203"/>
      <c r="H67" s="1192"/>
      <c r="I67" s="1243"/>
      <c r="J67" s="1192"/>
      <c r="K67" s="1192"/>
      <c r="L67" s="1216"/>
      <c r="M67" s="1192"/>
      <c r="N67" s="1209"/>
      <c r="O67" s="1211"/>
      <c r="P67" s="1211"/>
      <c r="Q67" s="1211"/>
      <c r="R67" s="1211"/>
      <c r="S67" s="1211"/>
      <c r="T67" s="1209"/>
    </row>
    <row r="68" spans="6:20" s="1191" customFormat="1" ht="25.5" x14ac:dyDescent="0.2">
      <c r="F68" s="1107"/>
      <c r="G68" s="1196" t="s">
        <v>69</v>
      </c>
      <c r="H68" s="1275" t="s">
        <v>70</v>
      </c>
      <c r="I68" s="1276" t="s">
        <v>20</v>
      </c>
      <c r="J68" s="1198" t="s">
        <v>71</v>
      </c>
      <c r="K68" s="1198" t="s">
        <v>72</v>
      </c>
      <c r="L68" s="1199" t="s">
        <v>73</v>
      </c>
      <c r="M68" s="1276" t="s">
        <v>74</v>
      </c>
      <c r="N68" s="1200"/>
      <c r="O68" s="1277"/>
      <c r="P68" s="1187"/>
      <c r="Q68" s="1187"/>
      <c r="R68" s="1187"/>
      <c r="S68" s="1187"/>
      <c r="T68" s="1202"/>
    </row>
    <row r="69" spans="6:20" s="1191" customFormat="1" x14ac:dyDescent="0.2">
      <c r="F69" s="1107"/>
      <c r="G69" s="1203"/>
      <c r="H69" s="1204" t="str">
        <f t="shared" ref="H69:H74" si="4">H5</f>
        <v>General purpose wheat</v>
      </c>
      <c r="I69" s="1235" t="s">
        <v>77</v>
      </c>
      <c r="J69" s="1278">
        <f t="shared" ref="J69:J74" si="5">N5/$J$15/1000</f>
        <v>1.3922826410726628</v>
      </c>
      <c r="K69" s="1211">
        <f>J69*$J$15*1000</f>
        <v>139228.2641072663</v>
      </c>
      <c r="L69" s="1279">
        <v>180</v>
      </c>
      <c r="M69" s="1244">
        <f>K69*L69</f>
        <v>25061087.539307933</v>
      </c>
      <c r="N69" s="1209"/>
      <c r="O69" s="1280"/>
      <c r="P69" s="1211"/>
      <c r="Q69" s="1211"/>
      <c r="R69" s="1211"/>
      <c r="S69" s="1211"/>
      <c r="T69" s="1209"/>
    </row>
    <row r="70" spans="6:20" s="1191" customFormat="1" x14ac:dyDescent="0.2">
      <c r="F70" s="1107"/>
      <c r="G70" s="1203"/>
      <c r="H70" s="1204" t="str">
        <f t="shared" si="4"/>
        <v>Prime hard wheat</v>
      </c>
      <c r="I70" s="1235" t="s">
        <v>77</v>
      </c>
      <c r="J70" s="1278">
        <f t="shared" si="5"/>
        <v>0</v>
      </c>
      <c r="K70" s="1211">
        <f>J70*$J$15*1000</f>
        <v>0</v>
      </c>
      <c r="L70" s="1274"/>
      <c r="M70" s="1244">
        <f>K70*L70</f>
        <v>0</v>
      </c>
      <c r="N70" s="1209"/>
      <c r="O70" s="1280"/>
      <c r="P70" s="1211"/>
      <c r="Q70" s="1211"/>
      <c r="R70" s="1211"/>
      <c r="S70" s="1211"/>
      <c r="T70" s="1209"/>
    </row>
    <row r="71" spans="6:20" s="1191" customFormat="1" x14ac:dyDescent="0.2">
      <c r="F71" s="1107"/>
      <c r="G71" s="1203"/>
      <c r="H71" s="1204" t="str">
        <f t="shared" si="4"/>
        <v>Hard wheat</v>
      </c>
      <c r="I71" s="1235" t="s">
        <v>77</v>
      </c>
      <c r="J71" s="1278">
        <f t="shared" si="5"/>
        <v>1.3922826410726628</v>
      </c>
      <c r="K71" s="1211">
        <f>J71*$J$15*1000</f>
        <v>139228.2641072663</v>
      </c>
      <c r="L71" s="1274">
        <v>200</v>
      </c>
      <c r="M71" s="1244">
        <f>K71*L71</f>
        <v>27845652.821453258</v>
      </c>
      <c r="N71" s="1209"/>
      <c r="O71" s="1280"/>
      <c r="P71" s="1211"/>
      <c r="Q71" s="1211"/>
      <c r="R71" s="1211"/>
      <c r="S71" s="1211"/>
      <c r="T71" s="1209"/>
    </row>
    <row r="72" spans="6:20" s="1191" customFormat="1" x14ac:dyDescent="0.2">
      <c r="F72" s="1107"/>
      <c r="G72" s="1203"/>
      <c r="H72" s="1204" t="str">
        <f t="shared" si="4"/>
        <v>Premium white wheat</v>
      </c>
      <c r="I72" s="1235" t="s">
        <v>77</v>
      </c>
      <c r="J72" s="1278">
        <f t="shared" si="5"/>
        <v>0</v>
      </c>
      <c r="K72" s="1211">
        <f>J72*$J$15*1000</f>
        <v>0</v>
      </c>
      <c r="L72" s="1279"/>
      <c r="M72" s="1244">
        <f>K72*L72</f>
        <v>0</v>
      </c>
      <c r="N72" s="1209"/>
      <c r="O72" s="1280"/>
      <c r="P72" s="1211"/>
      <c r="Q72" s="1211"/>
      <c r="R72" s="1211"/>
      <c r="S72" s="1211"/>
      <c r="T72" s="1209"/>
    </row>
    <row r="73" spans="6:20" s="1191" customFormat="1" x14ac:dyDescent="0.2">
      <c r="F73" s="1107"/>
      <c r="G73" s="1203"/>
      <c r="H73" s="1204" t="str">
        <f t="shared" si="4"/>
        <v>Standard white wheat</v>
      </c>
      <c r="I73" s="1235" t="s">
        <v>77</v>
      </c>
      <c r="J73" s="1278">
        <f t="shared" si="5"/>
        <v>0</v>
      </c>
      <c r="K73" s="1211">
        <f>J73*$J$15*1000</f>
        <v>0</v>
      </c>
      <c r="L73" s="1279"/>
      <c r="M73" s="1244">
        <f>K73*L73</f>
        <v>0</v>
      </c>
      <c r="N73" s="1209"/>
      <c r="O73" s="1280"/>
      <c r="P73" s="1211"/>
      <c r="Q73" s="1265"/>
      <c r="R73" s="1211"/>
      <c r="S73" s="1211"/>
      <c r="T73" s="1209"/>
    </row>
    <row r="74" spans="6:20" s="1191" customFormat="1" x14ac:dyDescent="0.2">
      <c r="F74" s="1107"/>
      <c r="G74" s="1203"/>
      <c r="H74" s="1204" t="str">
        <f t="shared" si="4"/>
        <v>Feed</v>
      </c>
      <c r="I74" s="1235" t="s">
        <v>77</v>
      </c>
      <c r="J74" s="1278">
        <f t="shared" si="5"/>
        <v>0</v>
      </c>
      <c r="K74" s="1232"/>
      <c r="L74" s="1281">
        <v>165</v>
      </c>
      <c r="M74" s="1232"/>
      <c r="N74" s="1209"/>
      <c r="O74" s="1282"/>
      <c r="P74" s="1211"/>
      <c r="Q74" s="1211"/>
      <c r="R74" s="1211"/>
      <c r="S74" s="1211"/>
      <c r="T74" s="1209"/>
    </row>
    <row r="75" spans="6:20" s="1191" customFormat="1" x14ac:dyDescent="0.2">
      <c r="F75" s="1107"/>
      <c r="G75" s="1224"/>
      <c r="H75" s="1283" t="s">
        <v>410</v>
      </c>
      <c r="I75" s="1284"/>
      <c r="J75" s="1285"/>
      <c r="K75" s="1229"/>
      <c r="L75" s="1229"/>
      <c r="M75" s="1286">
        <f>SUM(M69:M74)</f>
        <v>52906740.360761195</v>
      </c>
      <c r="N75" s="1228"/>
      <c r="O75" s="1287"/>
      <c r="P75" s="1229"/>
      <c r="Q75" s="1229"/>
      <c r="R75" s="1229"/>
      <c r="S75" s="1229"/>
      <c r="T75" s="1228"/>
    </row>
    <row r="76" spans="6:20" s="1191" customFormat="1" x14ac:dyDescent="0.2">
      <c r="F76" s="1107"/>
      <c r="G76" s="1203"/>
      <c r="H76" s="1212"/>
      <c r="I76" s="1235"/>
      <c r="J76" s="1278"/>
      <c r="K76" s="1211"/>
      <c r="L76" s="1211"/>
      <c r="M76" s="1238"/>
      <c r="N76" s="1209"/>
      <c r="O76" s="1288"/>
      <c r="P76" s="1211"/>
      <c r="Q76" s="1211"/>
      <c r="R76" s="1211"/>
      <c r="S76" s="1211"/>
      <c r="T76" s="1209"/>
    </row>
    <row r="77" spans="6:20" s="1191" customFormat="1" ht="25.5" x14ac:dyDescent="0.2">
      <c r="F77" s="1203"/>
      <c r="G77" s="1230" t="s">
        <v>85</v>
      </c>
      <c r="H77" s="1231" t="s">
        <v>86</v>
      </c>
      <c r="I77" s="1232" t="s">
        <v>20</v>
      </c>
      <c r="J77" s="1254" t="s">
        <v>71</v>
      </c>
      <c r="K77" s="1254" t="s">
        <v>72</v>
      </c>
      <c r="L77" s="1289" t="s">
        <v>73</v>
      </c>
      <c r="M77" s="1232" t="s">
        <v>74</v>
      </c>
      <c r="N77" s="1209"/>
      <c r="O77" s="1290" t="s">
        <v>76</v>
      </c>
      <c r="P77" s="1211"/>
      <c r="Q77" s="1211"/>
      <c r="R77" s="1211"/>
      <c r="S77" s="1211"/>
      <c r="T77" s="1209"/>
    </row>
    <row r="78" spans="6:20" s="1191" customFormat="1" x14ac:dyDescent="0.2">
      <c r="F78" s="1203"/>
      <c r="G78" s="1230"/>
      <c r="H78" s="1220" t="s">
        <v>411</v>
      </c>
      <c r="I78" s="1232"/>
      <c r="J78" s="1254"/>
      <c r="K78" s="1254"/>
      <c r="L78" s="1289"/>
      <c r="M78" s="1232"/>
      <c r="N78" s="1209"/>
      <c r="O78" s="1290"/>
      <c r="P78" s="1211"/>
      <c r="Q78" s="1211"/>
      <c r="R78" s="1211"/>
      <c r="S78" s="1211"/>
      <c r="T78" s="1209"/>
    </row>
    <row r="79" spans="6:20" s="1191" customFormat="1" x14ac:dyDescent="0.2">
      <c r="F79" s="1203"/>
      <c r="G79" s="1230"/>
      <c r="H79" s="1204" t="s">
        <v>412</v>
      </c>
      <c r="I79" s="1235" t="s">
        <v>413</v>
      </c>
      <c r="J79" s="1291">
        <v>0</v>
      </c>
      <c r="K79" s="1211">
        <f>J79*N11</f>
        <v>0</v>
      </c>
      <c r="L79" s="1279">
        <v>1000</v>
      </c>
      <c r="M79" s="1211">
        <f>L79*K79</f>
        <v>0</v>
      </c>
      <c r="N79" s="1209"/>
      <c r="O79" s="1210"/>
      <c r="P79" s="1211"/>
      <c r="Q79" s="1211"/>
      <c r="R79" s="1211"/>
      <c r="S79" s="1211"/>
      <c r="T79" s="1209"/>
    </row>
    <row r="80" spans="6:20" s="1191" customFormat="1" x14ac:dyDescent="0.2">
      <c r="F80" s="1203"/>
      <c r="G80" s="1230"/>
      <c r="H80" s="1204" t="s">
        <v>414</v>
      </c>
      <c r="I80" s="1235" t="s">
        <v>413</v>
      </c>
      <c r="J80" s="1292">
        <v>0</v>
      </c>
      <c r="K80" s="1211">
        <f>J80*N11</f>
        <v>0</v>
      </c>
      <c r="L80" s="1279">
        <v>1000</v>
      </c>
      <c r="M80" s="1211">
        <f>L80*K80</f>
        <v>0</v>
      </c>
      <c r="N80" s="1209"/>
      <c r="O80" s="1210"/>
      <c r="P80" s="1211"/>
      <c r="Q80" s="1211"/>
      <c r="R80" s="1211"/>
      <c r="S80" s="1211"/>
      <c r="T80" s="1209"/>
    </row>
    <row r="81" spans="6:20" s="1191" customFormat="1" x14ac:dyDescent="0.2">
      <c r="F81" s="1203"/>
      <c r="G81" s="1230"/>
      <c r="H81" s="1231"/>
      <c r="I81" s="1232"/>
      <c r="J81" s="1254"/>
      <c r="K81" s="1254"/>
      <c r="L81" s="1289"/>
      <c r="M81" s="1232"/>
      <c r="N81" s="1209"/>
      <c r="O81" s="1290"/>
      <c r="P81" s="1211"/>
      <c r="Q81" s="1211"/>
      <c r="R81" s="1211"/>
      <c r="S81" s="1211"/>
      <c r="T81" s="1209"/>
    </row>
    <row r="82" spans="6:20" s="1191" customFormat="1" x14ac:dyDescent="0.2">
      <c r="F82" s="1203"/>
      <c r="G82" s="1230"/>
      <c r="H82" s="1220" t="s">
        <v>415</v>
      </c>
      <c r="I82" s="1232"/>
      <c r="J82" s="1254"/>
      <c r="K82" s="1254"/>
      <c r="L82" s="1289"/>
      <c r="M82" s="1232"/>
      <c r="N82" s="1209"/>
      <c r="O82" s="1290"/>
      <c r="P82" s="1211"/>
      <c r="Q82" s="1211"/>
      <c r="R82" s="1211"/>
      <c r="S82" s="1211"/>
      <c r="T82" s="1209"/>
    </row>
    <row r="83" spans="6:20" s="1191" customFormat="1" x14ac:dyDescent="0.2">
      <c r="F83" s="1203"/>
      <c r="G83" s="1230"/>
      <c r="H83" s="1204" t="s">
        <v>416</v>
      </c>
      <c r="I83" s="1235" t="s">
        <v>110</v>
      </c>
      <c r="J83" s="1293">
        <f>0.02%*N11/J15</f>
        <v>0.55691305642906508</v>
      </c>
      <c r="K83" s="1211">
        <f>J83*$J$15*1000</f>
        <v>55691.305642906504</v>
      </c>
      <c r="L83" s="1279">
        <v>10</v>
      </c>
      <c r="M83" s="1244">
        <f>K83*L83</f>
        <v>556913.05642906507</v>
      </c>
      <c r="N83" s="1209"/>
      <c r="O83" s="1210" t="s">
        <v>417</v>
      </c>
      <c r="P83" s="1211"/>
      <c r="Q83" s="1211"/>
      <c r="R83" s="1211"/>
      <c r="S83" s="1211"/>
      <c r="T83" s="1209"/>
    </row>
    <row r="84" spans="6:20" s="1191" customFormat="1" x14ac:dyDescent="0.2">
      <c r="F84" s="1203"/>
      <c r="G84" s="1230"/>
      <c r="H84" s="1204" t="s">
        <v>418</v>
      </c>
      <c r="I84" s="1235" t="s">
        <v>110</v>
      </c>
      <c r="J84" s="1260">
        <f>0.03%*N11/J15</f>
        <v>0.83536958464359756</v>
      </c>
      <c r="K84" s="1211">
        <f>J84*$J$15*1000</f>
        <v>83536.958464359763</v>
      </c>
      <c r="L84" s="1279">
        <v>10</v>
      </c>
      <c r="M84" s="1244">
        <f>K84*L84</f>
        <v>835369.5846435976</v>
      </c>
      <c r="N84" s="1209"/>
      <c r="O84" s="1210" t="s">
        <v>419</v>
      </c>
      <c r="P84" s="1211"/>
      <c r="Q84" s="1211"/>
      <c r="R84" s="1211"/>
      <c r="S84" s="1211"/>
      <c r="T84" s="1209"/>
    </row>
    <row r="85" spans="6:20" s="1191" customFormat="1" x14ac:dyDescent="0.2">
      <c r="F85" s="1203"/>
      <c r="G85" s="1230"/>
      <c r="H85" s="1231"/>
      <c r="I85" s="1232"/>
      <c r="J85" s="1254"/>
      <c r="K85" s="1254"/>
      <c r="L85" s="1289"/>
      <c r="M85" s="1232"/>
      <c r="N85" s="1209"/>
      <c r="O85" s="1290"/>
      <c r="P85" s="1211"/>
      <c r="Q85" s="1211"/>
      <c r="R85" s="1211"/>
      <c r="S85" s="1211"/>
      <c r="T85" s="1209"/>
    </row>
    <row r="86" spans="6:20" s="1191" customFormat="1" x14ac:dyDescent="0.2">
      <c r="F86" s="1203"/>
      <c r="G86" s="1230"/>
      <c r="H86" s="1220" t="s">
        <v>420</v>
      </c>
      <c r="I86" s="1232"/>
      <c r="J86" s="1254"/>
      <c r="K86" s="1254"/>
      <c r="L86" s="1289"/>
      <c r="M86" s="1232"/>
      <c r="N86" s="1209"/>
      <c r="O86" s="1290"/>
      <c r="P86" s="1211"/>
      <c r="Q86" s="1211"/>
      <c r="R86" s="1211"/>
      <c r="S86" s="1211"/>
      <c r="T86" s="1209"/>
    </row>
    <row r="87" spans="6:20" s="1191" customFormat="1" x14ac:dyDescent="0.2">
      <c r="F87" s="1203"/>
      <c r="G87" s="1203"/>
      <c r="H87" s="1204" t="s">
        <v>88</v>
      </c>
      <c r="I87" s="1235" t="s">
        <v>89</v>
      </c>
      <c r="J87" s="1294">
        <v>0.8</v>
      </c>
      <c r="K87" s="1211">
        <f>J87*$J$15*1000</f>
        <v>80000</v>
      </c>
      <c r="L87" s="1279">
        <v>2</v>
      </c>
      <c r="M87" s="1244">
        <f t="shared" ref="M87:M95" si="6">K87*L87</f>
        <v>160000</v>
      </c>
      <c r="N87" s="1209"/>
      <c r="O87" s="1211"/>
      <c r="P87" s="1211"/>
      <c r="Q87" s="1211"/>
      <c r="R87" s="1211"/>
      <c r="S87" s="1211"/>
      <c r="T87" s="1209"/>
    </row>
    <row r="88" spans="6:20" s="1191" customFormat="1" x14ac:dyDescent="0.2">
      <c r="F88" s="1203"/>
      <c r="G88" s="1203"/>
      <c r="H88" s="1204" t="s">
        <v>90</v>
      </c>
      <c r="I88" s="1235" t="s">
        <v>89</v>
      </c>
      <c r="J88" s="1294">
        <v>3</v>
      </c>
      <c r="K88" s="1211">
        <f>J88*$J$15*1000</f>
        <v>300000</v>
      </c>
      <c r="L88" s="1279">
        <v>0.45</v>
      </c>
      <c r="M88" s="1244">
        <f t="shared" si="6"/>
        <v>135000</v>
      </c>
      <c r="N88" s="1209"/>
      <c r="O88" s="1211"/>
      <c r="P88" s="1211"/>
      <c r="Q88" s="1211"/>
      <c r="R88" s="1211"/>
      <c r="S88" s="1211"/>
      <c r="T88" s="1209"/>
    </row>
    <row r="89" spans="6:20" s="1191" customFormat="1" x14ac:dyDescent="0.2">
      <c r="F89" s="1203"/>
      <c r="G89" s="1203"/>
      <c r="H89" s="1204" t="s">
        <v>91</v>
      </c>
      <c r="I89" s="1235" t="s">
        <v>89</v>
      </c>
      <c r="J89" s="1294">
        <v>3</v>
      </c>
      <c r="K89" s="1211">
        <f>J89*$J$15*1000</f>
        <v>300000</v>
      </c>
      <c r="L89" s="1279">
        <v>0.25</v>
      </c>
      <c r="M89" s="1244">
        <f t="shared" si="6"/>
        <v>75000</v>
      </c>
      <c r="N89" s="1209"/>
      <c r="O89" s="1211"/>
      <c r="P89" s="1211"/>
      <c r="Q89" s="1211"/>
      <c r="R89" s="1211"/>
      <c r="S89" s="1211"/>
      <c r="T89" s="1209"/>
    </row>
    <row r="90" spans="6:20" s="1191" customFormat="1" x14ac:dyDescent="0.2">
      <c r="F90" s="1203"/>
      <c r="G90" s="1203"/>
      <c r="H90" s="1192" t="s">
        <v>88</v>
      </c>
      <c r="I90" s="1235" t="s">
        <v>89</v>
      </c>
      <c r="J90" s="1294">
        <v>0.5</v>
      </c>
      <c r="K90" s="1211">
        <f>J90*$J$15*1000</f>
        <v>50000</v>
      </c>
      <c r="L90" s="1279">
        <v>2</v>
      </c>
      <c r="M90" s="1244">
        <f t="shared" si="6"/>
        <v>100000</v>
      </c>
      <c r="N90" s="1209"/>
      <c r="O90" s="1210" t="s">
        <v>92</v>
      </c>
      <c r="P90" s="1211"/>
      <c r="Q90" s="1211"/>
      <c r="R90" s="1211"/>
      <c r="S90" s="1211"/>
      <c r="T90" s="1209"/>
    </row>
    <row r="91" spans="6:20" s="1191" customFormat="1" x14ac:dyDescent="0.2">
      <c r="F91" s="1203"/>
      <c r="G91" s="1203"/>
      <c r="H91" s="1204" t="s">
        <v>93</v>
      </c>
      <c r="I91" s="1235" t="s">
        <v>89</v>
      </c>
      <c r="J91" s="1294">
        <v>0.5</v>
      </c>
      <c r="K91" s="1211">
        <f>J91*$J$15*1000</f>
        <v>50000</v>
      </c>
      <c r="L91" s="1279">
        <v>1</v>
      </c>
      <c r="M91" s="1244">
        <f t="shared" si="6"/>
        <v>50000</v>
      </c>
      <c r="N91" s="1209"/>
      <c r="O91" s="1210" t="s">
        <v>94</v>
      </c>
      <c r="P91" s="1211"/>
      <c r="Q91" s="1211"/>
      <c r="R91" s="1211"/>
      <c r="S91" s="1211"/>
      <c r="T91" s="1209"/>
    </row>
    <row r="92" spans="6:20" s="1191" customFormat="1" x14ac:dyDescent="0.2">
      <c r="F92" s="1203"/>
      <c r="G92" s="1203"/>
      <c r="H92" s="1204" t="s">
        <v>95</v>
      </c>
      <c r="I92" s="1235" t="s">
        <v>96</v>
      </c>
      <c r="J92" s="1294">
        <v>300</v>
      </c>
      <c r="K92" s="1211">
        <f>J92*$J$17</f>
        <v>100740</v>
      </c>
      <c r="L92" s="1279">
        <v>0.65</v>
      </c>
      <c r="M92" s="1244">
        <f t="shared" si="6"/>
        <v>65481</v>
      </c>
      <c r="N92" s="1209"/>
      <c r="O92" s="1210" t="s">
        <v>97</v>
      </c>
      <c r="P92" s="1211"/>
      <c r="Q92" s="1211"/>
      <c r="R92" s="1211"/>
      <c r="S92" s="1211"/>
      <c r="T92" s="1209"/>
    </row>
    <row r="93" spans="6:20" s="1191" customFormat="1" x14ac:dyDescent="0.2">
      <c r="F93" s="1203"/>
      <c r="G93" s="1203"/>
      <c r="H93" s="1204" t="s">
        <v>98</v>
      </c>
      <c r="I93" s="1235" t="s">
        <v>96</v>
      </c>
      <c r="J93" s="1294">
        <v>50</v>
      </c>
      <c r="K93" s="1211">
        <f>J93*$J$17</f>
        <v>16790</v>
      </c>
      <c r="L93" s="1279">
        <v>0.65</v>
      </c>
      <c r="M93" s="1244">
        <f t="shared" si="6"/>
        <v>10913.5</v>
      </c>
      <c r="N93" s="1209"/>
      <c r="O93" s="1210" t="s">
        <v>99</v>
      </c>
      <c r="P93" s="1211"/>
      <c r="Q93" s="1211"/>
      <c r="R93" s="1211"/>
      <c r="S93" s="1211"/>
      <c r="T93" s="1209"/>
    </row>
    <row r="94" spans="6:20" s="1191" customFormat="1" x14ac:dyDescent="0.2">
      <c r="F94" s="1203"/>
      <c r="G94" s="1203"/>
      <c r="H94" s="1204" t="s">
        <v>100</v>
      </c>
      <c r="I94" s="1235" t="s">
        <v>101</v>
      </c>
      <c r="J94" s="1294">
        <v>50</v>
      </c>
      <c r="K94" s="1211">
        <f>Q94*J94</f>
        <v>1500</v>
      </c>
      <c r="L94" s="1279">
        <v>100</v>
      </c>
      <c r="M94" s="1244">
        <f t="shared" si="6"/>
        <v>150000</v>
      </c>
      <c r="N94" s="1209"/>
      <c r="O94" s="1210" t="s">
        <v>102</v>
      </c>
      <c r="P94" s="1211"/>
      <c r="Q94" s="1236">
        <v>30</v>
      </c>
      <c r="R94" s="1210" t="s">
        <v>103</v>
      </c>
      <c r="S94" s="1211"/>
      <c r="T94" s="1209"/>
    </row>
    <row r="95" spans="6:20" s="1191" customFormat="1" x14ac:dyDescent="0.2">
      <c r="F95" s="1203"/>
      <c r="G95" s="1203"/>
      <c r="H95" s="1204" t="s">
        <v>104</v>
      </c>
      <c r="I95" s="1235" t="s">
        <v>89</v>
      </c>
      <c r="J95" s="1294">
        <v>5</v>
      </c>
      <c r="K95" s="1211">
        <f>J95*$J$15*1000</f>
        <v>500000</v>
      </c>
      <c r="L95" s="1279">
        <v>1</v>
      </c>
      <c r="M95" s="1244">
        <f t="shared" si="6"/>
        <v>500000</v>
      </c>
      <c r="N95" s="1209"/>
      <c r="O95" s="1211"/>
      <c r="P95" s="1211"/>
      <c r="Q95" s="1211"/>
      <c r="R95" s="1211"/>
      <c r="S95" s="1211"/>
      <c r="T95" s="1209"/>
    </row>
    <row r="96" spans="6:20" s="1191" customFormat="1" x14ac:dyDescent="0.2">
      <c r="F96" s="1203"/>
      <c r="G96" s="1203"/>
      <c r="H96" s="1204"/>
      <c r="I96" s="1235"/>
      <c r="J96" s="1204"/>
      <c r="K96" s="1204"/>
      <c r="L96" s="1204"/>
      <c r="M96" s="1244"/>
      <c r="N96" s="1209"/>
      <c r="O96" s="1211"/>
      <c r="P96" s="1211"/>
      <c r="Q96" s="1211"/>
      <c r="R96" s="1211"/>
      <c r="S96" s="1211"/>
      <c r="T96" s="1209"/>
    </row>
    <row r="97" spans="1:26" x14ac:dyDescent="0.2">
      <c r="F97" s="1203"/>
      <c r="G97" s="1203"/>
      <c r="H97" s="1220" t="s">
        <v>105</v>
      </c>
      <c r="I97" s="1235"/>
      <c r="J97" s="1204"/>
      <c r="K97" s="1204"/>
      <c r="L97" s="1204"/>
      <c r="M97" s="1204"/>
      <c r="N97" s="1209"/>
      <c r="O97" s="1210" t="s">
        <v>106</v>
      </c>
      <c r="P97" s="1211"/>
      <c r="Q97" s="1211"/>
      <c r="R97" s="1211"/>
      <c r="S97" s="1211"/>
      <c r="T97" s="1209"/>
    </row>
    <row r="98" spans="1:26" x14ac:dyDescent="0.2">
      <c r="F98" s="1203"/>
      <c r="G98" s="1203"/>
      <c r="H98" s="1204" t="s">
        <v>107</v>
      </c>
      <c r="I98" s="1235" t="s">
        <v>89</v>
      </c>
      <c r="J98" s="1295">
        <v>0.6</v>
      </c>
      <c r="K98" s="1211">
        <f t="shared" ref="K98:K103" si="7">J98*$J$15*1000</f>
        <v>60000</v>
      </c>
      <c r="L98" s="1296">
        <v>1</v>
      </c>
      <c r="M98" s="1244">
        <f t="shared" ref="M98:M103" si="8">K98*L98</f>
        <v>60000</v>
      </c>
      <c r="N98" s="1209"/>
      <c r="O98" s="1210" t="s">
        <v>106</v>
      </c>
      <c r="P98" s="1211"/>
      <c r="Q98" s="1211"/>
      <c r="R98" s="1211"/>
      <c r="S98" s="1211"/>
      <c r="T98" s="1209"/>
    </row>
    <row r="99" spans="1:26" x14ac:dyDescent="0.2">
      <c r="F99" s="1203"/>
      <c r="G99" s="1203"/>
      <c r="H99" s="1204" t="s">
        <v>95</v>
      </c>
      <c r="I99" s="1235" t="s">
        <v>89</v>
      </c>
      <c r="J99" s="1294"/>
      <c r="K99" s="1211">
        <f t="shared" si="7"/>
        <v>0</v>
      </c>
      <c r="L99" s="1296">
        <v>0.65</v>
      </c>
      <c r="M99" s="1244">
        <f t="shared" si="8"/>
        <v>0</v>
      </c>
      <c r="N99" s="1209"/>
      <c r="O99" s="1210" t="s">
        <v>106</v>
      </c>
      <c r="P99" s="1211"/>
      <c r="Q99" s="1211"/>
      <c r="R99" s="1211"/>
      <c r="S99" s="1211"/>
      <c r="T99" s="1209"/>
    </row>
    <row r="100" spans="1:26" x14ac:dyDescent="0.2">
      <c r="F100" s="1203"/>
      <c r="G100" s="1203"/>
      <c r="H100" s="1204" t="s">
        <v>108</v>
      </c>
      <c r="I100" s="1235" t="s">
        <v>89</v>
      </c>
      <c r="J100" s="1295">
        <v>0.34</v>
      </c>
      <c r="K100" s="1211">
        <f t="shared" si="7"/>
        <v>34000</v>
      </c>
      <c r="L100" s="1296">
        <v>0.45</v>
      </c>
      <c r="M100" s="1244">
        <f t="shared" si="8"/>
        <v>15300</v>
      </c>
      <c r="N100" s="1209"/>
      <c r="O100" s="1210" t="s">
        <v>106</v>
      </c>
      <c r="P100" s="1211"/>
      <c r="Q100" s="1211"/>
      <c r="R100" s="1211"/>
      <c r="S100" s="1211"/>
      <c r="T100" s="1209"/>
    </row>
    <row r="101" spans="1:26" x14ac:dyDescent="0.2">
      <c r="F101" s="1203"/>
      <c r="G101" s="1203"/>
      <c r="H101" s="1204" t="s">
        <v>109</v>
      </c>
      <c r="I101" s="1235" t="s">
        <v>110</v>
      </c>
      <c r="J101" s="1295"/>
      <c r="K101" s="1211">
        <f t="shared" si="7"/>
        <v>0</v>
      </c>
      <c r="L101" s="1296">
        <v>1</v>
      </c>
      <c r="M101" s="1244">
        <f t="shared" si="8"/>
        <v>0</v>
      </c>
      <c r="N101" s="1209"/>
      <c r="O101" s="1210" t="s">
        <v>106</v>
      </c>
      <c r="P101" s="1211"/>
      <c r="Q101" s="1211"/>
      <c r="R101" s="1211"/>
      <c r="S101" s="1211"/>
      <c r="T101" s="1209"/>
    </row>
    <row r="102" spans="1:26" x14ac:dyDescent="0.2">
      <c r="F102" s="1203"/>
      <c r="G102" s="1203"/>
      <c r="H102" s="1204" t="s">
        <v>111</v>
      </c>
      <c r="I102" s="1235" t="s">
        <v>110</v>
      </c>
      <c r="J102" s="1296"/>
      <c r="K102" s="1211">
        <f t="shared" si="7"/>
        <v>0</v>
      </c>
      <c r="L102" s="1296">
        <v>2.5</v>
      </c>
      <c r="M102" s="1244">
        <f t="shared" si="8"/>
        <v>0</v>
      </c>
      <c r="N102" s="1209"/>
      <c r="O102" s="1210" t="s">
        <v>106</v>
      </c>
      <c r="P102" s="1211"/>
      <c r="Q102" s="1211"/>
      <c r="R102" s="1211"/>
      <c r="S102" s="1211"/>
      <c r="T102" s="1209"/>
    </row>
    <row r="103" spans="1:26" x14ac:dyDescent="0.2">
      <c r="F103" s="1203"/>
      <c r="G103" s="1203"/>
      <c r="H103" s="1204" t="s">
        <v>112</v>
      </c>
      <c r="I103" s="1235" t="s">
        <v>89</v>
      </c>
      <c r="J103" s="1296"/>
      <c r="K103" s="1211">
        <f t="shared" si="7"/>
        <v>0</v>
      </c>
      <c r="L103" s="1296">
        <v>2</v>
      </c>
      <c r="M103" s="1244">
        <f t="shared" si="8"/>
        <v>0</v>
      </c>
      <c r="N103" s="1209"/>
      <c r="O103" s="1211"/>
      <c r="P103" s="1211"/>
      <c r="Q103" s="1211"/>
      <c r="R103" s="1211"/>
      <c r="S103" s="1211"/>
      <c r="T103" s="1209"/>
    </row>
    <row r="104" spans="1:26" x14ac:dyDescent="0.2">
      <c r="F104" s="1203"/>
      <c r="G104" s="1203"/>
      <c r="H104" s="1204"/>
      <c r="I104" s="1235"/>
      <c r="J104" s="1296"/>
      <c r="K104" s="1211"/>
      <c r="L104" s="1204"/>
      <c r="M104" s="1204"/>
      <c r="N104" s="1209"/>
      <c r="O104" s="1211"/>
      <c r="P104" s="1211"/>
      <c r="Q104" s="1211"/>
      <c r="R104" s="1211"/>
      <c r="S104" s="1265"/>
      <c r="T104" s="1209"/>
    </row>
    <row r="105" spans="1:26" x14ac:dyDescent="0.2">
      <c r="F105" s="1203"/>
      <c r="G105" s="1203"/>
      <c r="H105" s="1220" t="s">
        <v>421</v>
      </c>
      <c r="I105" s="1243"/>
      <c r="J105" s="1192"/>
      <c r="K105" s="1192"/>
      <c r="L105" s="1216"/>
      <c r="M105" s="1204"/>
      <c r="N105" s="1209"/>
      <c r="O105" s="1265"/>
      <c r="P105" s="1265"/>
      <c r="Q105" s="1265"/>
      <c r="R105" s="1265"/>
      <c r="S105" s="1265"/>
      <c r="T105" s="1209"/>
    </row>
    <row r="106" spans="1:26" x14ac:dyDescent="0.2">
      <c r="F106" s="1203"/>
      <c r="G106" s="1203"/>
      <c r="H106" s="1204" t="s">
        <v>115</v>
      </c>
      <c r="I106" s="1235" t="s">
        <v>422</v>
      </c>
      <c r="J106" s="1296"/>
      <c r="K106" s="1211">
        <f>J106*$K$62</f>
        <v>0</v>
      </c>
      <c r="L106" s="1279">
        <v>0.23499999999999999</v>
      </c>
      <c r="M106" s="1244">
        <f>K106*L106</f>
        <v>0</v>
      </c>
      <c r="N106" s="1241"/>
      <c r="O106" s="1211"/>
      <c r="P106" s="1211"/>
      <c r="Q106" s="1211"/>
      <c r="R106" s="1211"/>
      <c r="S106" s="1265"/>
      <c r="T106" s="1209"/>
    </row>
    <row r="107" spans="1:26" s="1297" customFormat="1" x14ac:dyDescent="0.2">
      <c r="F107" s="1298"/>
      <c r="G107" s="1298"/>
      <c r="H107" s="1204" t="s">
        <v>123</v>
      </c>
      <c r="I107" s="1235" t="s">
        <v>422</v>
      </c>
      <c r="J107" s="1296"/>
      <c r="K107" s="1211">
        <f>J107*$K$62</f>
        <v>0</v>
      </c>
      <c r="L107" s="1299">
        <v>0.45</v>
      </c>
      <c r="M107" s="1244">
        <f>K107*L107</f>
        <v>0</v>
      </c>
      <c r="N107" s="1241"/>
      <c r="O107" s="1211"/>
      <c r="P107" s="1211"/>
      <c r="Q107" s="1211"/>
      <c r="R107" s="1211"/>
      <c r="S107" s="1265"/>
      <c r="T107" s="1209"/>
      <c r="U107" s="1300"/>
      <c r="V107" s="1300"/>
      <c r="W107" s="1300"/>
      <c r="X107" s="1300"/>
      <c r="Y107" s="1300"/>
      <c r="Z107" s="1300"/>
    </row>
    <row r="108" spans="1:26" s="1297" customFormat="1" x14ac:dyDescent="0.2">
      <c r="F108" s="1298"/>
      <c r="G108" s="1298"/>
      <c r="H108" s="1204" t="s">
        <v>117</v>
      </c>
      <c r="I108" s="1235" t="s">
        <v>422</v>
      </c>
      <c r="J108" s="1296"/>
      <c r="K108" s="1211">
        <f>J108*$K$62</f>
        <v>0</v>
      </c>
      <c r="L108" s="1299">
        <v>0.45</v>
      </c>
      <c r="M108" s="1244">
        <f>K108*L108</f>
        <v>0</v>
      </c>
      <c r="N108" s="1241"/>
      <c r="O108" s="1211"/>
      <c r="P108" s="1211"/>
      <c r="Q108" s="1211"/>
      <c r="R108" s="1211"/>
      <c r="S108" s="1265"/>
      <c r="T108" s="1209"/>
      <c r="U108" s="1300"/>
      <c r="V108" s="1300"/>
      <c r="W108" s="1300"/>
      <c r="X108" s="1300"/>
      <c r="Y108" s="1300"/>
      <c r="Z108" s="1300"/>
    </row>
    <row r="109" spans="1:26" s="1297" customFormat="1" x14ac:dyDescent="0.2">
      <c r="A109" s="1297" t="s">
        <v>704</v>
      </c>
      <c r="B109" s="1297" t="s">
        <v>86</v>
      </c>
      <c r="F109" s="1298"/>
      <c r="G109" s="1298"/>
      <c r="H109" s="1212" t="s">
        <v>126</v>
      </c>
      <c r="M109" s="1256">
        <f>SUM(M79:M108)</f>
        <v>2713977.1410726625</v>
      </c>
      <c r="N109" s="1241"/>
      <c r="O109" s="1211"/>
      <c r="P109" s="1211"/>
      <c r="Q109" s="1211"/>
      <c r="R109" s="1211"/>
      <c r="S109" s="1265"/>
      <c r="T109" s="1209"/>
      <c r="U109" s="1300"/>
      <c r="V109" s="1300"/>
      <c r="W109" s="1300"/>
      <c r="X109" s="1300"/>
      <c r="Y109" s="1300"/>
      <c r="Z109" s="1300"/>
    </row>
    <row r="110" spans="1:26" s="1297" customFormat="1" x14ac:dyDescent="0.2">
      <c r="F110" s="1298"/>
      <c r="G110" s="1301"/>
      <c r="H110" s="1302"/>
      <c r="I110" s="1303"/>
      <c r="J110" s="1302"/>
      <c r="K110" s="1302"/>
      <c r="L110" s="1283"/>
      <c r="M110" s="1302"/>
      <c r="N110" s="1304"/>
      <c r="O110" s="1305"/>
      <c r="P110" s="1306"/>
      <c r="Q110" s="1305"/>
      <c r="R110" s="1305"/>
      <c r="S110" s="1305"/>
      <c r="T110" s="1304"/>
      <c r="U110" s="1300"/>
      <c r="V110" s="1300"/>
      <c r="W110" s="1300"/>
      <c r="X110" s="1300"/>
      <c r="Y110" s="1300"/>
      <c r="Z110" s="1300"/>
    </row>
    <row r="111" spans="1:26" ht="25.5" x14ac:dyDescent="0.2">
      <c r="F111" s="1203"/>
      <c r="G111" s="1230" t="s">
        <v>128</v>
      </c>
      <c r="H111" s="1231" t="s">
        <v>129</v>
      </c>
      <c r="I111" s="1232" t="s">
        <v>20</v>
      </c>
      <c r="J111" s="1254" t="s">
        <v>71</v>
      </c>
      <c r="K111" s="1254" t="s">
        <v>72</v>
      </c>
      <c r="L111" s="1289" t="s">
        <v>73</v>
      </c>
      <c r="M111" s="1254" t="s">
        <v>130</v>
      </c>
      <c r="N111" s="1209"/>
      <c r="O111" s="1290" t="s">
        <v>76</v>
      </c>
      <c r="P111" s="1211"/>
      <c r="Q111" s="1211"/>
      <c r="R111" s="1211"/>
      <c r="S111" s="1211"/>
      <c r="T111" s="1209"/>
    </row>
    <row r="112" spans="1:26" x14ac:dyDescent="0.2">
      <c r="F112" s="1203"/>
      <c r="G112" s="1230"/>
      <c r="H112" s="1220" t="s">
        <v>131</v>
      </c>
      <c r="I112" s="1232"/>
      <c r="J112" s="1254"/>
      <c r="K112" s="1254"/>
      <c r="L112" s="1289"/>
      <c r="M112" s="1232"/>
      <c r="N112" s="1209"/>
      <c r="O112" s="1290"/>
      <c r="P112" s="1211"/>
      <c r="Q112" s="1211"/>
      <c r="R112" s="1211"/>
      <c r="S112" s="1211"/>
      <c r="T112" s="1209"/>
    </row>
    <row r="113" spans="1:20" s="1191" customFormat="1" x14ac:dyDescent="0.2">
      <c r="E113" s="1307">
        <v>0</v>
      </c>
      <c r="F113" s="1203"/>
      <c r="G113" s="1203"/>
      <c r="H113" s="1204" t="s">
        <v>423</v>
      </c>
      <c r="I113" s="1235" t="s">
        <v>133</v>
      </c>
      <c r="J113" s="1294">
        <v>0</v>
      </c>
      <c r="K113" s="1211">
        <f>J113*$J$15*1000</f>
        <v>0</v>
      </c>
      <c r="L113" s="1279">
        <v>5</v>
      </c>
      <c r="M113" s="1244">
        <f>K113*L113</f>
        <v>0</v>
      </c>
      <c r="N113" s="1209"/>
      <c r="O113" s="1210" t="s">
        <v>136</v>
      </c>
      <c r="P113" s="1211"/>
      <c r="Q113" s="1211"/>
      <c r="R113" s="1211"/>
      <c r="S113" s="1211"/>
      <c r="T113" s="1209"/>
    </row>
    <row r="114" spans="1:20" s="1191" customFormat="1" x14ac:dyDescent="0.2">
      <c r="E114" s="1307">
        <v>1</v>
      </c>
      <c r="F114" s="1203"/>
      <c r="G114" s="1203"/>
      <c r="H114" s="1204" t="s">
        <v>424</v>
      </c>
      <c r="I114" s="1235" t="s">
        <v>133</v>
      </c>
      <c r="J114" s="1294">
        <v>1</v>
      </c>
      <c r="K114" s="1211">
        <f>J114*$J$15*1000</f>
        <v>100000</v>
      </c>
      <c r="L114" s="1216">
        <f>L113</f>
        <v>5</v>
      </c>
      <c r="M114" s="1244">
        <f>K114*L114</f>
        <v>500000</v>
      </c>
      <c r="N114" s="1209"/>
      <c r="O114" s="1210"/>
      <c r="P114" s="1211"/>
      <c r="Q114" s="1211"/>
      <c r="R114" s="1211"/>
      <c r="S114" s="1211"/>
      <c r="T114" s="1209"/>
    </row>
    <row r="115" spans="1:20" s="1191" customFormat="1" x14ac:dyDescent="0.2">
      <c r="E115" s="1307">
        <v>1</v>
      </c>
      <c r="F115" s="1203"/>
      <c r="G115" s="1203"/>
      <c r="H115" s="1204" t="s">
        <v>162</v>
      </c>
      <c r="I115" s="1235" t="s">
        <v>133</v>
      </c>
      <c r="J115" s="1294">
        <v>1.9</v>
      </c>
      <c r="K115" s="1211">
        <f>J115*$J$15*1000</f>
        <v>190000</v>
      </c>
      <c r="L115" s="1216">
        <f>L114</f>
        <v>5</v>
      </c>
      <c r="M115" s="1244">
        <f>K115*L115</f>
        <v>950000</v>
      </c>
      <c r="N115" s="1209"/>
      <c r="O115" s="1210" t="s">
        <v>136</v>
      </c>
      <c r="P115" s="1211"/>
      <c r="Q115" s="1211"/>
      <c r="R115" s="1211"/>
      <c r="S115" s="1211"/>
      <c r="T115" s="1209"/>
    </row>
    <row r="116" spans="1:20" s="1191" customFormat="1" x14ac:dyDescent="0.2">
      <c r="E116" s="1307">
        <v>1</v>
      </c>
      <c r="F116" s="1203"/>
      <c r="G116" s="1203"/>
      <c r="H116" s="1204" t="s">
        <v>163</v>
      </c>
      <c r="I116" s="1235" t="s">
        <v>133</v>
      </c>
      <c r="J116" s="1294">
        <v>0.63</v>
      </c>
      <c r="K116" s="1211">
        <f>J116*$J$15*1000</f>
        <v>63000</v>
      </c>
      <c r="L116" s="1216">
        <f>L115</f>
        <v>5</v>
      </c>
      <c r="M116" s="1244">
        <f>K116*L116</f>
        <v>315000</v>
      </c>
      <c r="N116" s="1209"/>
      <c r="O116" s="1210" t="s">
        <v>136</v>
      </c>
      <c r="P116" s="1211"/>
      <c r="Q116" s="1211"/>
      <c r="R116" s="1211"/>
      <c r="S116" s="1211"/>
      <c r="T116" s="1209"/>
    </row>
    <row r="117" spans="1:20" s="1191" customFormat="1" x14ac:dyDescent="0.2">
      <c r="E117" s="1307">
        <v>1</v>
      </c>
      <c r="F117" s="1203"/>
      <c r="G117" s="1203"/>
      <c r="H117" s="1204" t="s">
        <v>425</v>
      </c>
      <c r="I117" s="1235" t="s">
        <v>426</v>
      </c>
      <c r="J117" s="1294">
        <v>2</v>
      </c>
      <c r="K117" s="1308">
        <f>J117*K66</f>
        <v>43315.459944482842</v>
      </c>
      <c r="L117" s="1216">
        <f>L116</f>
        <v>5</v>
      </c>
      <c r="M117" s="1244">
        <f>K117*L117</f>
        <v>216577.2997224142</v>
      </c>
      <c r="N117" s="1209"/>
      <c r="O117" s="1210"/>
      <c r="P117" s="1211"/>
      <c r="Q117" s="1211"/>
      <c r="R117" s="1211"/>
      <c r="S117" s="1211"/>
      <c r="T117" s="1209"/>
    </row>
    <row r="118" spans="1:20" s="1191" customFormat="1" x14ac:dyDescent="0.2">
      <c r="A118" s="1191" t="s">
        <v>705</v>
      </c>
      <c r="B118" s="1191" t="s">
        <v>131</v>
      </c>
      <c r="F118" s="1203"/>
      <c r="G118" s="1203"/>
      <c r="H118" s="1212" t="s">
        <v>137</v>
      </c>
      <c r="I118" s="1235"/>
      <c r="J118" s="1204"/>
      <c r="K118" s="1211"/>
      <c r="L118" s="1216"/>
      <c r="M118" s="1256">
        <f>SUM(M113:M117)</f>
        <v>1981577.2997224142</v>
      </c>
      <c r="N118" s="1209"/>
      <c r="O118" s="1210"/>
      <c r="P118" s="1211"/>
      <c r="Q118" s="1211"/>
      <c r="R118" s="1211"/>
      <c r="S118" s="1211"/>
      <c r="T118" s="1209"/>
    </row>
    <row r="119" spans="1:20" s="1191" customFormat="1" x14ac:dyDescent="0.2">
      <c r="F119" s="1203"/>
      <c r="G119" s="1203"/>
      <c r="H119" s="1220" t="s">
        <v>140</v>
      </c>
      <c r="I119" s="1235"/>
      <c r="J119" s="1204"/>
      <c r="K119" s="1211"/>
      <c r="L119" s="1216"/>
      <c r="M119" s="1244"/>
      <c r="N119" s="1209"/>
      <c r="O119" s="1210"/>
      <c r="P119" s="1211"/>
      <c r="Q119" s="1211"/>
      <c r="R119" s="1211"/>
      <c r="S119" s="1211"/>
      <c r="T119" s="1209"/>
    </row>
    <row r="120" spans="1:20" s="1191" customFormat="1" x14ac:dyDescent="0.2">
      <c r="E120" s="1307">
        <v>1</v>
      </c>
      <c r="F120" s="1203"/>
      <c r="G120" s="1203"/>
      <c r="H120" s="1204" t="s">
        <v>141</v>
      </c>
      <c r="I120" s="1235" t="s">
        <v>133</v>
      </c>
      <c r="J120" s="1294">
        <v>1.9</v>
      </c>
      <c r="K120" s="1211">
        <f>J120*$J$15*1000</f>
        <v>190000</v>
      </c>
      <c r="L120" s="1216"/>
      <c r="M120" s="1244">
        <f>K120*L120</f>
        <v>0</v>
      </c>
      <c r="N120" s="1209"/>
      <c r="O120" s="1210" t="s">
        <v>427</v>
      </c>
      <c r="P120" s="1211"/>
      <c r="Q120" s="1211"/>
      <c r="R120" s="1211"/>
      <c r="S120" s="1211"/>
      <c r="T120" s="1209"/>
    </row>
    <row r="121" spans="1:20" s="1191" customFormat="1" x14ac:dyDescent="0.2">
      <c r="E121" s="1307">
        <v>1</v>
      </c>
      <c r="F121" s="1203"/>
      <c r="G121" s="1203"/>
      <c r="H121" s="1204" t="s">
        <v>143</v>
      </c>
      <c r="I121" s="1235" t="s">
        <v>133</v>
      </c>
      <c r="J121" s="1294">
        <v>0.63</v>
      </c>
      <c r="K121" s="1211">
        <f>J121*$J$15*1000</f>
        <v>63000</v>
      </c>
      <c r="L121" s="1216"/>
      <c r="M121" s="1244">
        <f>K121*L121</f>
        <v>0</v>
      </c>
      <c r="N121" s="1209"/>
      <c r="O121" s="1210" t="s">
        <v>427</v>
      </c>
      <c r="P121" s="1211"/>
      <c r="Q121" s="1211"/>
      <c r="R121" s="1211"/>
      <c r="S121" s="1211"/>
      <c r="T121" s="1209"/>
    </row>
    <row r="122" spans="1:20" s="1191" customFormat="1" x14ac:dyDescent="0.2">
      <c r="E122" s="1307">
        <v>1</v>
      </c>
      <c r="F122" s="1203"/>
      <c r="G122" s="1203"/>
      <c r="H122" s="1204" t="s">
        <v>144</v>
      </c>
      <c r="I122" s="1235" t="s">
        <v>133</v>
      </c>
      <c r="J122" s="1294">
        <v>4.0999999999999996</v>
      </c>
      <c r="K122" s="1211">
        <f>J122*$J$15*1000</f>
        <v>409999.99999999994</v>
      </c>
      <c r="L122" s="1279">
        <v>3</v>
      </c>
      <c r="M122" s="1244">
        <f>K122*L122</f>
        <v>1229999.9999999998</v>
      </c>
      <c r="N122" s="1209"/>
      <c r="O122" s="1210" t="s">
        <v>145</v>
      </c>
      <c r="P122" s="1211"/>
      <c r="Q122" s="1211"/>
      <c r="R122" s="1211"/>
      <c r="S122" s="1211"/>
      <c r="T122" s="1209"/>
    </row>
    <row r="123" spans="1:20" s="1191" customFormat="1" x14ac:dyDescent="0.2">
      <c r="F123" s="1203"/>
      <c r="G123" s="1203"/>
      <c r="H123" s="1192"/>
      <c r="I123" s="1243"/>
      <c r="J123" s="1192"/>
      <c r="K123" s="1192"/>
      <c r="L123" s="1216"/>
      <c r="M123" s="1192"/>
      <c r="N123" s="1209"/>
      <c r="O123" s="1211"/>
      <c r="P123" s="1211"/>
      <c r="Q123" s="1211"/>
      <c r="R123" s="1211"/>
      <c r="S123" s="1211"/>
      <c r="T123" s="1209"/>
    </row>
    <row r="124" spans="1:20" s="1191" customFormat="1" x14ac:dyDescent="0.2">
      <c r="F124" s="1203"/>
      <c r="G124" s="1203"/>
      <c r="H124" s="1220" t="s">
        <v>139</v>
      </c>
      <c r="I124" s="1243"/>
      <c r="J124" s="1192"/>
      <c r="K124" s="1192"/>
      <c r="L124" s="1216"/>
      <c r="M124" s="1192"/>
      <c r="N124" s="1209"/>
      <c r="O124" s="1211"/>
      <c r="P124" s="1211"/>
      <c r="Q124" s="1309"/>
      <c r="R124" s="1309"/>
      <c r="S124" s="1211"/>
      <c r="T124" s="1209"/>
    </row>
    <row r="125" spans="1:20" s="1191" customFormat="1" x14ac:dyDescent="0.2">
      <c r="E125" s="1310">
        <v>0</v>
      </c>
      <c r="F125" s="1203"/>
      <c r="G125" s="1203"/>
      <c r="H125" s="1204" t="s">
        <v>428</v>
      </c>
      <c r="I125" s="1235" t="s">
        <v>150</v>
      </c>
      <c r="J125" s="1294">
        <v>0</v>
      </c>
      <c r="K125" s="1211">
        <f>J125*$J$15*1000</f>
        <v>0</v>
      </c>
      <c r="L125" s="1279">
        <v>1</v>
      </c>
      <c r="M125" s="1244">
        <f>L$125*K125</f>
        <v>0</v>
      </c>
      <c r="N125" s="1209"/>
      <c r="O125" s="1210"/>
      <c r="P125" s="1211"/>
      <c r="Q125" s="1211"/>
      <c r="R125" s="1211"/>
      <c r="S125" s="1211"/>
      <c r="T125" s="1209"/>
    </row>
    <row r="126" spans="1:20" s="1191" customFormat="1" x14ac:dyDescent="0.2">
      <c r="E126" s="1310">
        <v>0</v>
      </c>
      <c r="F126" s="1203"/>
      <c r="G126" s="1203"/>
      <c r="H126" s="1204" t="s">
        <v>429</v>
      </c>
      <c r="I126" s="1235" t="s">
        <v>150</v>
      </c>
      <c r="J126" s="1294">
        <v>0</v>
      </c>
      <c r="K126" s="1211">
        <f>J126*$J$15*1000</f>
        <v>0</v>
      </c>
      <c r="L126" s="1216"/>
      <c r="M126" s="1244">
        <f>L126*K126</f>
        <v>0</v>
      </c>
      <c r="N126" s="1209"/>
      <c r="O126" s="1211" t="s">
        <v>511</v>
      </c>
      <c r="P126" s="1211"/>
      <c r="Q126" s="1211"/>
      <c r="R126" s="1211"/>
      <c r="S126" s="1211"/>
      <c r="T126" s="1209"/>
    </row>
    <row r="127" spans="1:20" s="1191" customFormat="1" x14ac:dyDescent="0.2">
      <c r="E127" s="1310">
        <v>1</v>
      </c>
      <c r="F127" s="1203"/>
      <c r="G127" s="1203"/>
      <c r="H127" s="1204" t="s">
        <v>153</v>
      </c>
      <c r="I127" s="1235" t="s">
        <v>150</v>
      </c>
      <c r="J127" s="1294">
        <v>90</v>
      </c>
      <c r="K127" s="1211">
        <f>J127*$J$15*1000</f>
        <v>9000000</v>
      </c>
      <c r="L127" s="1216"/>
      <c r="M127" s="1244">
        <f>L127*K127</f>
        <v>0</v>
      </c>
      <c r="N127" s="1209"/>
      <c r="O127" s="1311">
        <f>SUM(K125:K126)*J131*L131</f>
        <v>0</v>
      </c>
      <c r="P127" s="1211" t="s">
        <v>512</v>
      </c>
      <c r="Q127" s="1211"/>
      <c r="R127" s="1211"/>
      <c r="S127" s="1211"/>
      <c r="T127" s="1209"/>
    </row>
    <row r="128" spans="1:20" s="1191" customFormat="1" x14ac:dyDescent="0.2">
      <c r="E128" s="1310">
        <v>1</v>
      </c>
      <c r="F128" s="1203"/>
      <c r="G128" s="1203"/>
      <c r="H128" s="1204" t="s">
        <v>154</v>
      </c>
      <c r="I128" s="1235" t="s">
        <v>150</v>
      </c>
      <c r="J128" s="1294">
        <v>50</v>
      </c>
      <c r="K128" s="1211">
        <f>J128*$J$15*1000</f>
        <v>5000000</v>
      </c>
      <c r="L128" s="1216"/>
      <c r="M128" s="1244">
        <f>L128*K128</f>
        <v>0</v>
      </c>
      <c r="N128" s="1209"/>
      <c r="O128" s="1210"/>
      <c r="P128" s="1211"/>
      <c r="Q128" s="1211"/>
      <c r="R128" s="1211"/>
      <c r="S128" s="1211"/>
      <c r="T128" s="1209"/>
    </row>
    <row r="129" spans="1:20" s="1191" customFormat="1" x14ac:dyDescent="0.2">
      <c r="E129" s="1310">
        <v>1</v>
      </c>
      <c r="F129" s="1203"/>
      <c r="G129" s="1203"/>
      <c r="H129" s="1204" t="s">
        <v>155</v>
      </c>
      <c r="I129" s="1235" t="s">
        <v>150</v>
      </c>
      <c r="J129" s="1294">
        <v>10</v>
      </c>
      <c r="K129" s="1211">
        <f>J129*$J$15*1000</f>
        <v>1000000</v>
      </c>
      <c r="L129" s="1216"/>
      <c r="M129" s="1244">
        <f>L129*K129</f>
        <v>0</v>
      </c>
      <c r="N129" s="1209"/>
      <c r="O129" s="1210"/>
      <c r="P129" s="1211"/>
      <c r="Q129" s="1211"/>
      <c r="R129" s="1211"/>
      <c r="S129" s="1211"/>
      <c r="T129" s="1209"/>
    </row>
    <row r="130" spans="1:20" s="1191" customFormat="1" x14ac:dyDescent="0.2">
      <c r="F130" s="1203"/>
      <c r="G130" s="1203"/>
      <c r="H130" s="1245" t="s">
        <v>156</v>
      </c>
      <c r="I130" s="1245" t="s">
        <v>65</v>
      </c>
      <c r="J130" s="1220"/>
      <c r="K130" s="1311">
        <f>SUM(K126:K129)</f>
        <v>15000000</v>
      </c>
      <c r="L130" s="1212"/>
      <c r="M130" s="1312">
        <f>SUM(M125:M129)</f>
        <v>0</v>
      </c>
      <c r="N130" s="1209"/>
      <c r="O130" s="1210"/>
      <c r="P130" s="1211"/>
      <c r="Q130" s="1211"/>
      <c r="R130" s="1211"/>
      <c r="S130" s="1211"/>
      <c r="T130" s="1209"/>
    </row>
    <row r="131" spans="1:20" s="1191" customFormat="1" x14ac:dyDescent="0.2">
      <c r="F131" s="1203"/>
      <c r="G131" s="1203"/>
      <c r="H131" s="1313" t="s">
        <v>855</v>
      </c>
      <c r="I131" s="1235" t="s">
        <v>157</v>
      </c>
      <c r="J131" s="1263">
        <v>0.1</v>
      </c>
      <c r="K131" s="1211">
        <f>J131*K130</f>
        <v>1500000</v>
      </c>
      <c r="L131" s="1216">
        <f>L125</f>
        <v>1</v>
      </c>
      <c r="M131" s="1244">
        <f>L131*K131</f>
        <v>1500000</v>
      </c>
      <c r="N131" s="1209"/>
      <c r="O131" s="1210"/>
      <c r="P131" s="1211"/>
      <c r="Q131" s="1211"/>
      <c r="R131" s="1211"/>
      <c r="S131" s="1211"/>
      <c r="T131" s="1209"/>
    </row>
    <row r="132" spans="1:20" s="1191" customFormat="1" x14ac:dyDescent="0.2">
      <c r="A132" s="1191" t="s">
        <v>706</v>
      </c>
      <c r="B132" s="1191" t="s">
        <v>721</v>
      </c>
      <c r="F132" s="1203"/>
      <c r="G132" s="1203"/>
      <c r="H132" s="1212" t="s">
        <v>158</v>
      </c>
      <c r="I132" s="1243"/>
      <c r="J132" s="1192"/>
      <c r="K132" s="1192"/>
      <c r="L132" s="1216"/>
      <c r="M132" s="1256">
        <f>SUM(M130:M131,M122)</f>
        <v>2730000</v>
      </c>
      <c r="N132" s="1209"/>
      <c r="O132" s="1211"/>
      <c r="P132" s="1211"/>
      <c r="Q132" s="1211"/>
      <c r="R132" s="1211"/>
      <c r="S132" s="1211"/>
      <c r="T132" s="1209"/>
    </row>
    <row r="133" spans="1:20" s="1191" customFormat="1" x14ac:dyDescent="0.2">
      <c r="F133" s="1203"/>
      <c r="G133" s="1203"/>
      <c r="H133" s="1220" t="s">
        <v>159</v>
      </c>
      <c r="I133" s="1243"/>
      <c r="J133" s="1192"/>
      <c r="K133" s="1204"/>
      <c r="L133" s="1216"/>
      <c r="M133" s="1192"/>
      <c r="N133" s="1209"/>
      <c r="O133" s="1211"/>
      <c r="P133" s="1211"/>
      <c r="Q133" s="1211"/>
      <c r="R133" s="1211"/>
      <c r="S133" s="1211"/>
      <c r="T133" s="1209"/>
    </row>
    <row r="134" spans="1:20" s="1191" customFormat="1" x14ac:dyDescent="0.2">
      <c r="E134" s="1307">
        <v>0</v>
      </c>
      <c r="F134" s="1203"/>
      <c r="G134" s="1203"/>
      <c r="H134" s="1204" t="s">
        <v>430</v>
      </c>
      <c r="I134" s="1235" t="s">
        <v>161</v>
      </c>
      <c r="J134" s="1314">
        <v>0</v>
      </c>
      <c r="K134" s="1211">
        <f t="shared" ref="K134:K143" si="9">J134*$J$15*1000</f>
        <v>0</v>
      </c>
      <c r="L134" s="1315"/>
      <c r="M134" s="1244">
        <f>K134*$L$145</f>
        <v>0</v>
      </c>
      <c r="N134" s="1209"/>
      <c r="O134" s="1211"/>
      <c r="P134" s="1210"/>
      <c r="Q134" s="1211"/>
      <c r="R134" s="1211"/>
      <c r="S134" s="1211"/>
      <c r="T134" s="1209"/>
    </row>
    <row r="135" spans="1:20" s="1191" customFormat="1" x14ac:dyDescent="0.2">
      <c r="E135" s="1307">
        <v>0</v>
      </c>
      <c r="F135" s="1203"/>
      <c r="G135" s="1203"/>
      <c r="H135" s="1204" t="s">
        <v>431</v>
      </c>
      <c r="I135" s="1235" t="s">
        <v>161</v>
      </c>
      <c r="J135" s="1314">
        <v>0</v>
      </c>
      <c r="K135" s="1211">
        <f t="shared" si="9"/>
        <v>0</v>
      </c>
      <c r="L135" s="1315"/>
      <c r="M135" s="1244">
        <f t="shared" ref="M135:M144" si="10">K135*$L$145</f>
        <v>0</v>
      </c>
      <c r="N135" s="1209"/>
      <c r="O135" s="1211"/>
      <c r="P135" s="1210"/>
      <c r="Q135" s="1211"/>
      <c r="R135" s="1211"/>
      <c r="S135" s="1211"/>
      <c r="T135" s="1209"/>
    </row>
    <row r="136" spans="1:20" s="1191" customFormat="1" x14ac:dyDescent="0.2">
      <c r="E136" s="1307">
        <v>1</v>
      </c>
      <c r="F136" s="1203"/>
      <c r="G136" s="1203"/>
      <c r="H136" s="1204" t="s">
        <v>424</v>
      </c>
      <c r="I136" s="1235" t="s">
        <v>161</v>
      </c>
      <c r="J136" s="1314">
        <f>167/19.1</f>
        <v>8.7434554973821985</v>
      </c>
      <c r="K136" s="1211">
        <f t="shared" si="9"/>
        <v>874345.54973821982</v>
      </c>
      <c r="L136" s="1315"/>
      <c r="M136" s="1244">
        <f t="shared" si="10"/>
        <v>34973.821989528791</v>
      </c>
      <c r="N136" s="1209"/>
      <c r="O136" s="1211"/>
      <c r="P136" s="1211"/>
      <c r="Q136" s="1211"/>
      <c r="R136" s="1211"/>
      <c r="S136" s="1211"/>
      <c r="T136" s="1209"/>
    </row>
    <row r="137" spans="1:20" s="1191" customFormat="1" x14ac:dyDescent="0.2">
      <c r="E137" s="1307">
        <v>1</v>
      </c>
      <c r="F137" s="1203"/>
      <c r="G137" s="1203"/>
      <c r="H137" s="1204" t="s">
        <v>432</v>
      </c>
      <c r="I137" s="1235" t="s">
        <v>161</v>
      </c>
      <c r="J137" s="1314">
        <v>3</v>
      </c>
      <c r="K137" s="1211">
        <f t="shared" si="9"/>
        <v>300000</v>
      </c>
      <c r="L137" s="1315"/>
      <c r="M137" s="1244">
        <f t="shared" si="10"/>
        <v>12000</v>
      </c>
      <c r="N137" s="1209"/>
      <c r="O137" s="1211"/>
      <c r="P137" s="1211"/>
      <c r="Q137" s="1211"/>
      <c r="R137" s="1211"/>
      <c r="S137" s="1211"/>
      <c r="T137" s="1209"/>
    </row>
    <row r="138" spans="1:20" s="1191" customFormat="1" x14ac:dyDescent="0.2">
      <c r="E138" s="1307">
        <v>1</v>
      </c>
      <c r="F138" s="1203"/>
      <c r="G138" s="1203"/>
      <c r="H138" s="1204" t="s">
        <v>160</v>
      </c>
      <c r="I138" s="1235" t="s">
        <v>161</v>
      </c>
      <c r="J138" s="1314">
        <v>45</v>
      </c>
      <c r="K138" s="1211">
        <f t="shared" si="9"/>
        <v>4500000</v>
      </c>
      <c r="L138" s="1315"/>
      <c r="M138" s="1244">
        <f t="shared" si="10"/>
        <v>180000</v>
      </c>
      <c r="N138" s="1209"/>
      <c r="O138" s="1211"/>
      <c r="P138" s="1211"/>
      <c r="Q138" s="1211"/>
      <c r="R138" s="1211"/>
      <c r="S138" s="1211"/>
      <c r="T138" s="1209"/>
    </row>
    <row r="139" spans="1:20" s="1191" customFormat="1" x14ac:dyDescent="0.2">
      <c r="E139" s="1307">
        <v>1</v>
      </c>
      <c r="F139" s="1203"/>
      <c r="G139" s="1203"/>
      <c r="H139" s="1204" t="s">
        <v>162</v>
      </c>
      <c r="I139" s="1235" t="s">
        <v>161</v>
      </c>
      <c r="J139" s="1316">
        <v>24</v>
      </c>
      <c r="K139" s="1211">
        <f t="shared" si="9"/>
        <v>2400000</v>
      </c>
      <c r="L139" s="1315"/>
      <c r="M139" s="1244">
        <f t="shared" si="10"/>
        <v>96000</v>
      </c>
      <c r="N139" s="1209"/>
      <c r="O139" s="1211"/>
      <c r="P139" s="1211"/>
      <c r="Q139" s="1211"/>
      <c r="R139" s="1211"/>
      <c r="S139" s="1211"/>
      <c r="T139" s="1209"/>
    </row>
    <row r="140" spans="1:20" s="1191" customFormat="1" x14ac:dyDescent="0.2">
      <c r="E140" s="1307">
        <v>1</v>
      </c>
      <c r="F140" s="1203"/>
      <c r="G140" s="1203"/>
      <c r="H140" s="1204" t="s">
        <v>163</v>
      </c>
      <c r="I140" s="1235" t="s">
        <v>161</v>
      </c>
      <c r="J140" s="1316">
        <v>9</v>
      </c>
      <c r="K140" s="1211">
        <f t="shared" si="9"/>
        <v>900000</v>
      </c>
      <c r="L140" s="1315"/>
      <c r="M140" s="1244">
        <f t="shared" si="10"/>
        <v>36000</v>
      </c>
      <c r="N140" s="1209"/>
      <c r="O140" s="1211"/>
      <c r="P140" s="1211"/>
      <c r="Q140" s="1211"/>
      <c r="R140" s="1211"/>
      <c r="S140" s="1211"/>
      <c r="T140" s="1209"/>
    </row>
    <row r="141" spans="1:20" s="1191" customFormat="1" x14ac:dyDescent="0.2">
      <c r="E141" s="1307">
        <v>1</v>
      </c>
      <c r="F141" s="1203"/>
      <c r="G141" s="1203"/>
      <c r="H141" s="1204" t="s">
        <v>433</v>
      </c>
      <c r="I141" s="1235" t="s">
        <v>161</v>
      </c>
      <c r="J141" s="1314">
        <v>15</v>
      </c>
      <c r="K141" s="1211">
        <f t="shared" si="9"/>
        <v>1500000</v>
      </c>
      <c r="L141" s="1315"/>
      <c r="M141" s="1244">
        <f t="shared" si="10"/>
        <v>60000</v>
      </c>
      <c r="N141" s="1209"/>
      <c r="O141" s="1211"/>
      <c r="P141" s="1211"/>
      <c r="Q141" s="1211"/>
      <c r="R141" s="1211"/>
      <c r="S141" s="1211"/>
      <c r="T141" s="1209"/>
    </row>
    <row r="142" spans="1:20" s="1191" customFormat="1" x14ac:dyDescent="0.2">
      <c r="E142" s="1307">
        <v>1</v>
      </c>
      <c r="F142" s="1203"/>
      <c r="G142" s="1203"/>
      <c r="H142" s="1204" t="s">
        <v>434</v>
      </c>
      <c r="I142" s="1235" t="s">
        <v>161</v>
      </c>
      <c r="J142" s="1316">
        <f>1168/19.1-J141</f>
        <v>46.151832460732983</v>
      </c>
      <c r="K142" s="1211">
        <f t="shared" si="9"/>
        <v>4615183.2460732982</v>
      </c>
      <c r="L142" s="1315"/>
      <c r="M142" s="1244">
        <f t="shared" si="10"/>
        <v>184607.32984293194</v>
      </c>
      <c r="N142" s="1209"/>
      <c r="O142" s="1211"/>
      <c r="P142" s="1211"/>
      <c r="Q142" s="1211"/>
      <c r="R142" s="1211"/>
      <c r="S142" s="1211"/>
      <c r="T142" s="1209"/>
    </row>
    <row r="143" spans="1:20" s="1191" customFormat="1" x14ac:dyDescent="0.2">
      <c r="E143" s="1307">
        <v>1</v>
      </c>
      <c r="F143" s="1203"/>
      <c r="G143" s="1203"/>
      <c r="H143" s="1204" t="s">
        <v>167</v>
      </c>
      <c r="I143" s="1235" t="s">
        <v>168</v>
      </c>
      <c r="J143" s="1314">
        <v>80</v>
      </c>
      <c r="K143" s="1211">
        <f t="shared" si="9"/>
        <v>8000000</v>
      </c>
      <c r="L143" s="1315"/>
      <c r="M143" s="1244">
        <f t="shared" si="10"/>
        <v>320000</v>
      </c>
      <c r="N143" s="1209"/>
      <c r="O143" s="1211"/>
      <c r="P143" s="1211"/>
      <c r="Q143" s="1211"/>
      <c r="R143" s="1211"/>
      <c r="S143" s="1211"/>
      <c r="T143" s="1209"/>
    </row>
    <row r="144" spans="1:20" s="1191" customFormat="1" x14ac:dyDescent="0.2">
      <c r="E144" s="1307">
        <v>1</v>
      </c>
      <c r="F144" s="1203"/>
      <c r="G144" s="1203"/>
      <c r="H144" s="1204" t="s">
        <v>169</v>
      </c>
      <c r="I144" s="1235" t="s">
        <v>170</v>
      </c>
      <c r="J144" s="1314">
        <v>350</v>
      </c>
      <c r="K144" s="1211">
        <f>J144*J17*24</f>
        <v>2820720</v>
      </c>
      <c r="L144" s="1315"/>
      <c r="M144" s="1244">
        <f t="shared" si="10"/>
        <v>112828.8</v>
      </c>
      <c r="N144" s="1209"/>
      <c r="O144" s="1210" t="s">
        <v>171</v>
      </c>
      <c r="P144" s="1211"/>
      <c r="Q144" s="1211"/>
      <c r="R144" s="1211"/>
      <c r="S144" s="1211"/>
      <c r="T144" s="1209"/>
    </row>
    <row r="145" spans="1:20" s="1191" customFormat="1" x14ac:dyDescent="0.2">
      <c r="A145" s="1191" t="s">
        <v>707</v>
      </c>
      <c r="B145" s="1191" t="s">
        <v>594</v>
      </c>
      <c r="F145" s="1203"/>
      <c r="G145" s="1203"/>
      <c r="H145" s="1212" t="s">
        <v>172</v>
      </c>
      <c r="I145" s="1235" t="s">
        <v>173</v>
      </c>
      <c r="J145" s="1192"/>
      <c r="K145" s="1256">
        <f>SUM(K134:K144)</f>
        <v>25910248.795811519</v>
      </c>
      <c r="L145" s="1317">
        <v>0.04</v>
      </c>
      <c r="M145" s="1273">
        <f>L145*K145</f>
        <v>1036409.9518324608</v>
      </c>
      <c r="N145" s="1209"/>
      <c r="O145" s="1211"/>
      <c r="P145" s="1211"/>
      <c r="Q145" s="1211"/>
      <c r="R145" s="1211"/>
      <c r="S145" s="1211"/>
      <c r="T145" s="1209"/>
    </row>
    <row r="146" spans="1:20" s="1191" customFormat="1" x14ac:dyDescent="0.2">
      <c r="F146" s="1203"/>
      <c r="G146" s="1203"/>
      <c r="H146" s="1212" t="s">
        <v>174</v>
      </c>
      <c r="I146" s="1235" t="s">
        <v>175</v>
      </c>
      <c r="J146" s="1192"/>
      <c r="K146" s="1211">
        <f>K145/J18</f>
        <v>3214.9901722021436</v>
      </c>
      <c r="L146" s="1216"/>
      <c r="M146" s="1192"/>
      <c r="N146" s="1209"/>
      <c r="O146" s="1211"/>
      <c r="P146" s="1211"/>
      <c r="Q146" s="1211"/>
      <c r="R146" s="1211"/>
      <c r="S146" s="1211"/>
      <c r="T146" s="1209"/>
    </row>
    <row r="147" spans="1:20" s="1191" customFormat="1" x14ac:dyDescent="0.2">
      <c r="F147" s="1203"/>
      <c r="G147" s="1203"/>
      <c r="H147" s="1212"/>
      <c r="I147" s="1245" t="s">
        <v>435</v>
      </c>
      <c r="J147" s="1192"/>
      <c r="K147" s="1244">
        <f>K145/J15/1000</f>
        <v>259.10248795811515</v>
      </c>
      <c r="L147" s="1216"/>
      <c r="M147" s="1192"/>
      <c r="N147" s="1209"/>
      <c r="O147" s="1211"/>
      <c r="P147" s="1211"/>
      <c r="Q147" s="1211"/>
      <c r="R147" s="1211"/>
      <c r="S147" s="1211"/>
      <c r="T147" s="1209"/>
    </row>
    <row r="148" spans="1:20" s="1191" customFormat="1" ht="25.5" x14ac:dyDescent="0.2">
      <c r="F148" s="1203"/>
      <c r="G148" s="1196" t="s">
        <v>176</v>
      </c>
      <c r="H148" s="1275" t="s">
        <v>436</v>
      </c>
      <c r="I148" s="1276" t="s">
        <v>20</v>
      </c>
      <c r="J148" s="1198" t="s">
        <v>71</v>
      </c>
      <c r="K148" s="1198" t="s">
        <v>72</v>
      </c>
      <c r="L148" s="1199" t="s">
        <v>73</v>
      </c>
      <c r="M148" s="1198" t="s">
        <v>437</v>
      </c>
      <c r="N148" s="1202"/>
      <c r="O148" s="1318" t="s">
        <v>76</v>
      </c>
      <c r="P148" s="1187"/>
      <c r="Q148" s="1187"/>
      <c r="R148" s="1187"/>
      <c r="S148" s="1187"/>
      <c r="T148" s="1202"/>
    </row>
    <row r="149" spans="1:20" s="1191" customFormat="1" x14ac:dyDescent="0.2">
      <c r="F149" s="1203"/>
      <c r="G149" s="1203"/>
      <c r="H149" s="1204" t="str">
        <f>H33</f>
        <v>Screen rejects</v>
      </c>
      <c r="I149" s="1235" t="s">
        <v>50</v>
      </c>
      <c r="J149" s="1319">
        <f>P149</f>
        <v>0</v>
      </c>
      <c r="K149" s="1211">
        <f>M25</f>
        <v>2784.565282145325</v>
      </c>
      <c r="L149" s="1320">
        <v>0</v>
      </c>
      <c r="M149" s="1211">
        <f>L149*K149</f>
        <v>0</v>
      </c>
      <c r="N149" s="1209"/>
      <c r="O149" s="1210" t="s">
        <v>438</v>
      </c>
      <c r="P149" s="1210"/>
      <c r="Q149" s="1210"/>
      <c r="R149" s="1210"/>
      <c r="S149" s="1211"/>
      <c r="T149" s="1209"/>
    </row>
    <row r="150" spans="1:20" s="1191" customFormat="1" x14ac:dyDescent="0.2">
      <c r="F150" s="1203"/>
      <c r="G150" s="1203"/>
      <c r="H150" s="1204" t="str">
        <f>H34</f>
        <v>Bran - millrun</v>
      </c>
      <c r="I150" s="1235" t="s">
        <v>50</v>
      </c>
      <c r="J150" s="1235"/>
      <c r="K150" s="1211">
        <f>M26</f>
        <v>35797.133682690466</v>
      </c>
      <c r="L150" s="1321">
        <v>0</v>
      </c>
      <c r="M150" s="1211">
        <f>L150*K150</f>
        <v>0</v>
      </c>
      <c r="N150" s="1209"/>
      <c r="O150" s="1210" t="s">
        <v>438</v>
      </c>
      <c r="P150" s="1210"/>
      <c r="Q150" s="1210"/>
      <c r="R150" s="1210"/>
      <c r="S150" s="1211"/>
      <c r="T150" s="1209"/>
    </row>
    <row r="151" spans="1:20" s="1191" customFormat="1" x14ac:dyDescent="0.2">
      <c r="F151" s="1203"/>
      <c r="G151" s="1203"/>
      <c r="H151" s="1204" t="str">
        <f>H35</f>
        <v xml:space="preserve">Germ </v>
      </c>
      <c r="I151" s="1235" t="s">
        <v>50</v>
      </c>
      <c r="J151" s="1235"/>
      <c r="K151" s="1211">
        <f>M27</f>
        <v>8260.8770036977985</v>
      </c>
      <c r="L151" s="1321">
        <v>0</v>
      </c>
      <c r="M151" s="1211">
        <f>L151*K151</f>
        <v>0</v>
      </c>
      <c r="N151" s="1209"/>
      <c r="O151" s="1210" t="s">
        <v>438</v>
      </c>
      <c r="P151" s="1210"/>
      <c r="Q151" s="1210"/>
      <c r="R151" s="1210"/>
      <c r="S151" s="1211"/>
      <c r="T151" s="1209"/>
    </row>
    <row r="152" spans="1:20" s="1191" customFormat="1" x14ac:dyDescent="0.2">
      <c r="F152" s="1203"/>
      <c r="G152" s="1203"/>
      <c r="H152" s="1204" t="str">
        <f>H36</f>
        <v>Gluten</v>
      </c>
      <c r="I152" s="1235" t="s">
        <v>50</v>
      </c>
      <c r="J152" s="1235"/>
      <c r="K152" s="1211">
        <f>M28</f>
        <v>29312.789367959929</v>
      </c>
      <c r="L152" s="1320">
        <v>0</v>
      </c>
      <c r="M152" s="1211">
        <f>L152*K152</f>
        <v>0</v>
      </c>
      <c r="N152" s="1209"/>
      <c r="O152" s="1210" t="s">
        <v>439</v>
      </c>
      <c r="P152" s="1210"/>
      <c r="Q152" s="1210"/>
      <c r="R152" s="1210"/>
      <c r="S152" s="1211"/>
      <c r="T152" s="1209"/>
    </row>
    <row r="153" spans="1:20" s="1191" customFormat="1" x14ac:dyDescent="0.2">
      <c r="A153" s="1191" t="s">
        <v>708</v>
      </c>
      <c r="B153" s="1191" t="s">
        <v>722</v>
      </c>
      <c r="F153" s="1203"/>
      <c r="G153" s="1203"/>
      <c r="H153" s="1313" t="s">
        <v>477</v>
      </c>
      <c r="I153" s="1235"/>
      <c r="J153" s="1235"/>
      <c r="K153" s="1211">
        <f>K66</f>
        <v>21657.729972241421</v>
      </c>
      <c r="L153" s="1320">
        <v>20</v>
      </c>
      <c r="M153" s="1211">
        <f>L153*K153</f>
        <v>433154.5994448284</v>
      </c>
      <c r="N153" s="1209"/>
      <c r="O153" s="1210"/>
      <c r="P153" s="1210"/>
      <c r="Q153" s="1210"/>
      <c r="R153" s="1210"/>
      <c r="S153" s="1211"/>
      <c r="T153" s="1209"/>
    </row>
    <row r="154" spans="1:20" s="1191" customFormat="1" x14ac:dyDescent="0.2">
      <c r="F154" s="1203"/>
      <c r="G154" s="1203"/>
      <c r="H154" s="1212" t="s">
        <v>440</v>
      </c>
      <c r="I154" s="1235"/>
      <c r="J154" s="1192"/>
      <c r="K154" s="1192"/>
      <c r="L154" s="1216"/>
      <c r="M154" s="1273">
        <f>SUM(M149:M152)</f>
        <v>0</v>
      </c>
      <c r="N154" s="1209"/>
      <c r="O154" s="1211"/>
      <c r="P154" s="1211"/>
      <c r="Q154" s="1211"/>
      <c r="R154" s="1211"/>
      <c r="S154" s="1211"/>
      <c r="T154" s="1209"/>
    </row>
    <row r="155" spans="1:20" s="1191" customFormat="1" x14ac:dyDescent="0.2">
      <c r="F155" s="1203"/>
      <c r="G155" s="1224"/>
      <c r="H155" s="1283"/>
      <c r="I155" s="1284"/>
      <c r="J155" s="1225"/>
      <c r="K155" s="1225"/>
      <c r="L155" s="1227"/>
      <c r="M155" s="1322"/>
      <c r="N155" s="1228"/>
      <c r="O155" s="1229"/>
      <c r="P155" s="1229"/>
      <c r="Q155" s="1229"/>
      <c r="R155" s="1229"/>
      <c r="S155" s="1229"/>
      <c r="T155" s="1228"/>
    </row>
    <row r="156" spans="1:20" s="1191" customFormat="1" ht="38.25" x14ac:dyDescent="0.2">
      <c r="F156" s="1203"/>
      <c r="G156" s="1230" t="s">
        <v>189</v>
      </c>
      <c r="H156" s="1231" t="s">
        <v>441</v>
      </c>
      <c r="I156" s="1232" t="s">
        <v>20</v>
      </c>
      <c r="J156" s="1254" t="s">
        <v>213</v>
      </c>
      <c r="K156" s="1254" t="s">
        <v>72</v>
      </c>
      <c r="L156" s="1289" t="s">
        <v>73</v>
      </c>
      <c r="M156" s="1254" t="s">
        <v>130</v>
      </c>
      <c r="N156" s="1209"/>
      <c r="O156" s="1366" t="s">
        <v>1017</v>
      </c>
      <c r="P156" s="1211" t="s">
        <v>248</v>
      </c>
      <c r="Q156" s="1211"/>
      <c r="R156" s="1211"/>
      <c r="S156" s="1211" t="s">
        <v>324</v>
      </c>
      <c r="T156" s="1209"/>
    </row>
    <row r="157" spans="1:20" s="1191" customFormat="1" x14ac:dyDescent="0.2">
      <c r="F157" s="1203"/>
      <c r="G157" s="1203"/>
      <c r="H157" s="1267" t="s">
        <v>214</v>
      </c>
      <c r="I157" s="1235" t="s">
        <v>215</v>
      </c>
      <c r="J157" s="1236">
        <f>Assumptions!$F$11*P157</f>
        <v>1400</v>
      </c>
      <c r="K157" s="1210">
        <f>J15*1000*J47</f>
        <v>78900</v>
      </c>
      <c r="L157" s="1216">
        <f>2.2/32</f>
        <v>6.8750000000000006E-2</v>
      </c>
      <c r="M157" s="1211">
        <f>L157*K157*J157</f>
        <v>7594125</v>
      </c>
      <c r="N157" s="1209"/>
      <c r="O157" s="1211" t="s">
        <v>325</v>
      </c>
      <c r="P157" s="1211">
        <f>IF(O157="yes",1,2)</f>
        <v>2</v>
      </c>
      <c r="Q157" s="1211"/>
      <c r="R157" s="1211"/>
      <c r="S157" s="1211" t="s">
        <v>325</v>
      </c>
      <c r="T157" s="1209"/>
    </row>
    <row r="158" spans="1:20" s="1191" customFormat="1" x14ac:dyDescent="0.2">
      <c r="F158" s="1203"/>
      <c r="G158" s="1203"/>
      <c r="H158" s="1245"/>
      <c r="I158" s="1243"/>
      <c r="J158" s="1192"/>
      <c r="K158" s="1220"/>
      <c r="L158" s="1216"/>
      <c r="M158" s="1192"/>
      <c r="N158" s="1209"/>
      <c r="O158" s="1211"/>
      <c r="P158" s="1211"/>
      <c r="Q158" s="1211"/>
      <c r="R158" s="1211"/>
      <c r="S158" s="1211"/>
      <c r="T158" s="1209"/>
    </row>
    <row r="159" spans="1:20" s="1191" customFormat="1" x14ac:dyDescent="0.2">
      <c r="A159" s="1191" t="s">
        <v>710</v>
      </c>
      <c r="B159" s="1191" t="s">
        <v>184</v>
      </c>
      <c r="F159" s="1203"/>
      <c r="G159" s="1203"/>
      <c r="H159" s="1212" t="s">
        <v>216</v>
      </c>
      <c r="I159" s="1243"/>
      <c r="J159" s="1192"/>
      <c r="K159" s="1220"/>
      <c r="L159" s="1216"/>
      <c r="M159" s="1273">
        <f>M157</f>
        <v>7594125</v>
      </c>
      <c r="N159" s="1209"/>
      <c r="O159" s="1211"/>
      <c r="P159" s="1211"/>
      <c r="Q159" s="1211"/>
      <c r="R159" s="1211"/>
      <c r="S159" s="1211"/>
      <c r="T159" s="1209"/>
    </row>
    <row r="160" spans="1:20" s="1191" customFormat="1" x14ac:dyDescent="0.2">
      <c r="F160" s="1203"/>
      <c r="G160" s="1203"/>
      <c r="H160" s="1212"/>
      <c r="I160" s="1243"/>
      <c r="J160" s="1192"/>
      <c r="K160" s="1220"/>
      <c r="L160" s="1216"/>
      <c r="M160" s="1238"/>
      <c r="N160" s="1209"/>
      <c r="O160" s="1211"/>
      <c r="P160" s="1211"/>
      <c r="Q160" s="1211"/>
      <c r="R160" s="1211"/>
      <c r="S160" s="1211"/>
      <c r="T160" s="1209"/>
    </row>
    <row r="161" spans="1:20" s="1191" customFormat="1" ht="25.5" x14ac:dyDescent="0.2">
      <c r="F161" s="1203"/>
      <c r="G161" s="1196" t="s">
        <v>211</v>
      </c>
      <c r="H161" s="1275" t="s">
        <v>218</v>
      </c>
      <c r="I161" s="1276" t="s">
        <v>20</v>
      </c>
      <c r="J161" s="1198" t="s">
        <v>213</v>
      </c>
      <c r="K161" s="1198" t="s">
        <v>72</v>
      </c>
      <c r="L161" s="1199" t="s">
        <v>73</v>
      </c>
      <c r="M161" s="1198" t="s">
        <v>130</v>
      </c>
      <c r="N161" s="1202"/>
      <c r="O161" s="1318" t="s">
        <v>76</v>
      </c>
      <c r="P161" s="1187"/>
      <c r="Q161" s="1187"/>
      <c r="R161" s="1187"/>
      <c r="S161" s="1187"/>
      <c r="T161" s="1202"/>
    </row>
    <row r="162" spans="1:20" s="1191" customFormat="1" x14ac:dyDescent="0.2">
      <c r="F162" s="1203"/>
      <c r="G162" s="1230"/>
      <c r="H162" s="1204" t="s">
        <v>442</v>
      </c>
      <c r="I162" s="1235" t="s">
        <v>220</v>
      </c>
      <c r="J162" s="1263">
        <v>0</v>
      </c>
      <c r="K162" s="1210">
        <f>SUM(I250:I252)*1000000</f>
        <v>0</v>
      </c>
      <c r="L162" s="1323"/>
      <c r="M162" s="1244">
        <f t="shared" ref="M162:M167" si="11">J162*K162</f>
        <v>0</v>
      </c>
      <c r="N162" s="1209"/>
      <c r="O162" s="1290"/>
      <c r="P162" s="1211"/>
      <c r="Q162" s="1211"/>
      <c r="R162" s="1211"/>
      <c r="S162" s="1211"/>
      <c r="T162" s="1209"/>
    </row>
    <row r="163" spans="1:20" s="1191" customFormat="1" x14ac:dyDescent="0.2">
      <c r="F163" s="1203"/>
      <c r="G163" s="1230"/>
      <c r="H163" s="1204" t="s">
        <v>443</v>
      </c>
      <c r="I163" s="1235" t="s">
        <v>220</v>
      </c>
      <c r="J163" s="1263">
        <v>0.03</v>
      </c>
      <c r="K163" s="1210">
        <f>SUM(I253:I256)*1000000</f>
        <v>54000000</v>
      </c>
      <c r="L163" s="1323"/>
      <c r="M163" s="1244">
        <f t="shared" si="11"/>
        <v>1620000</v>
      </c>
      <c r="N163" s="1209"/>
      <c r="O163" s="1290"/>
      <c r="P163" s="1211"/>
      <c r="Q163" s="1211"/>
      <c r="R163" s="1211"/>
      <c r="S163" s="1211"/>
      <c r="T163" s="1209"/>
    </row>
    <row r="164" spans="1:20" s="1191" customFormat="1" x14ac:dyDescent="0.2">
      <c r="F164" s="1203"/>
      <c r="G164" s="1230"/>
      <c r="H164" s="1204" t="s">
        <v>444</v>
      </c>
      <c r="I164" s="1235" t="s">
        <v>220</v>
      </c>
      <c r="J164" s="1263">
        <v>0.03</v>
      </c>
      <c r="K164" s="1210">
        <f>SUM(I257:I258)*1000000</f>
        <v>14000000</v>
      </c>
      <c r="L164" s="1323"/>
      <c r="M164" s="1244">
        <f t="shared" si="11"/>
        <v>420000</v>
      </c>
      <c r="N164" s="1209"/>
      <c r="O164" s="1211"/>
      <c r="P164" s="1211"/>
      <c r="Q164" s="1211"/>
      <c r="R164" s="1211"/>
      <c r="S164" s="1211"/>
      <c r="T164" s="1209"/>
    </row>
    <row r="165" spans="1:20" s="1191" customFormat="1" x14ac:dyDescent="0.2">
      <c r="F165" s="1203"/>
      <c r="G165" s="1230"/>
      <c r="H165" s="1204" t="s">
        <v>221</v>
      </c>
      <c r="I165" s="1235" t="s">
        <v>220</v>
      </c>
      <c r="J165" s="1263">
        <v>0.03</v>
      </c>
      <c r="K165" s="1191">
        <f>I259*1000000</f>
        <v>13000000</v>
      </c>
      <c r="L165" s="1323"/>
      <c r="M165" s="1244">
        <f t="shared" si="11"/>
        <v>390000</v>
      </c>
      <c r="N165" s="1209"/>
      <c r="O165" s="1211"/>
      <c r="P165" s="1211"/>
      <c r="Q165" s="1211"/>
      <c r="R165" s="1211"/>
      <c r="S165" s="1211"/>
      <c r="T165" s="1209"/>
    </row>
    <row r="166" spans="1:20" s="1191" customFormat="1" x14ac:dyDescent="0.2">
      <c r="F166" s="1203"/>
      <c r="G166" s="1230"/>
      <c r="H166" s="1204" t="s">
        <v>222</v>
      </c>
      <c r="I166" s="1235" t="s">
        <v>220</v>
      </c>
      <c r="J166" s="1263">
        <v>0.03</v>
      </c>
      <c r="K166" s="1210">
        <f>I260*1000000</f>
        <v>10000000</v>
      </c>
      <c r="L166" s="1323"/>
      <c r="M166" s="1244">
        <f t="shared" si="11"/>
        <v>300000</v>
      </c>
      <c r="N166" s="1209"/>
      <c r="O166" s="1211"/>
      <c r="P166" s="1211"/>
      <c r="Q166" s="1211"/>
      <c r="R166" s="1211"/>
      <c r="S166" s="1211"/>
      <c r="T166" s="1209"/>
    </row>
    <row r="167" spans="1:20" s="1191" customFormat="1" x14ac:dyDescent="0.2">
      <c r="F167" s="1203"/>
      <c r="G167" s="1230"/>
      <c r="H167" s="1204" t="s">
        <v>129</v>
      </c>
      <c r="I167" s="1235" t="s">
        <v>220</v>
      </c>
      <c r="J167" s="1263">
        <v>0.03</v>
      </c>
      <c r="K167" s="1210">
        <f>SUM(J261,J266:K266)*1000000</f>
        <v>15380000.000000002</v>
      </c>
      <c r="L167" s="1323"/>
      <c r="M167" s="1244">
        <f t="shared" si="11"/>
        <v>461400.00000000006</v>
      </c>
      <c r="N167" s="1209"/>
      <c r="O167" s="1211"/>
      <c r="P167" s="1211"/>
      <c r="Q167" s="1211"/>
      <c r="R167" s="1211"/>
      <c r="S167" s="1211"/>
      <c r="T167" s="1209"/>
    </row>
    <row r="168" spans="1:20" s="1191" customFormat="1" x14ac:dyDescent="0.2">
      <c r="A168" s="1191" t="s">
        <v>711</v>
      </c>
      <c r="B168" s="1191" t="s">
        <v>218</v>
      </c>
      <c r="F168" s="1203"/>
      <c r="G168" s="1230"/>
      <c r="H168" s="1212" t="s">
        <v>445</v>
      </c>
      <c r="I168" s="1235"/>
      <c r="J168" s="1204"/>
      <c r="K168" s="1204"/>
      <c r="L168" s="1216"/>
      <c r="M168" s="1273">
        <f>SUM(M162:M167)</f>
        <v>3191400</v>
      </c>
      <c r="N168" s="1209"/>
      <c r="O168" s="1211"/>
      <c r="P168" s="1211"/>
      <c r="Q168" s="1211"/>
      <c r="R168" s="1211"/>
      <c r="S168" s="1211"/>
      <c r="T168" s="1209"/>
    </row>
    <row r="169" spans="1:20" s="1191" customFormat="1" x14ac:dyDescent="0.2">
      <c r="F169" s="1203"/>
      <c r="G169" s="1324"/>
      <c r="H169" s="1325"/>
      <c r="I169" s="1284"/>
      <c r="J169" s="1325"/>
      <c r="K169" s="1325"/>
      <c r="L169" s="1227"/>
      <c r="M169" s="1225"/>
      <c r="N169" s="1228"/>
      <c r="O169" s="1229"/>
      <c r="P169" s="1229"/>
      <c r="Q169" s="1229"/>
      <c r="R169" s="1229"/>
      <c r="S169" s="1229"/>
      <c r="T169" s="1228"/>
    </row>
    <row r="170" spans="1:20" s="1191" customFormat="1" ht="25.5" x14ac:dyDescent="0.2">
      <c r="F170" s="1203"/>
      <c r="G170" s="1196" t="s">
        <v>217</v>
      </c>
      <c r="H170" s="1275" t="s">
        <v>190</v>
      </c>
      <c r="I170" s="1276" t="s">
        <v>20</v>
      </c>
      <c r="J170" s="1198" t="s">
        <v>71</v>
      </c>
      <c r="K170" s="1198" t="s">
        <v>72</v>
      </c>
      <c r="L170" s="1199" t="s">
        <v>73</v>
      </c>
      <c r="M170" s="1198" t="s">
        <v>130</v>
      </c>
      <c r="N170" s="1202"/>
      <c r="O170" s="1318" t="s">
        <v>76</v>
      </c>
      <c r="P170" s="1187"/>
      <c r="Q170" s="1187"/>
      <c r="R170" s="1187"/>
      <c r="S170" s="1187"/>
      <c r="T170" s="1202"/>
    </row>
    <row r="171" spans="1:20" s="1191" customFormat="1" x14ac:dyDescent="0.2">
      <c r="F171" s="1203"/>
      <c r="G171" s="1203"/>
      <c r="H171" s="1204" t="s">
        <v>191</v>
      </c>
      <c r="I171" s="1235" t="s">
        <v>192</v>
      </c>
      <c r="J171" s="1326">
        <v>1</v>
      </c>
      <c r="K171" s="1327">
        <f t="shared" ref="K171:K179" si="12">J171</f>
        <v>1</v>
      </c>
      <c r="L171" s="1274">
        <v>185000</v>
      </c>
      <c r="M171" s="1244">
        <f t="shared" ref="M171:M181" si="13">K171*L171</f>
        <v>185000</v>
      </c>
      <c r="N171" s="1209"/>
      <c r="O171" s="1211"/>
      <c r="P171" s="1211"/>
      <c r="Q171" s="1211"/>
      <c r="R171" s="1211"/>
      <c r="S171" s="1211"/>
      <c r="T171" s="1209"/>
    </row>
    <row r="172" spans="1:20" s="1191" customFormat="1" x14ac:dyDescent="0.2">
      <c r="F172" s="1203"/>
      <c r="G172" s="1203"/>
      <c r="H172" s="1204" t="s">
        <v>193</v>
      </c>
      <c r="I172" s="1235" t="s">
        <v>192</v>
      </c>
      <c r="J172" s="1326">
        <v>1</v>
      </c>
      <c r="K172" s="1327">
        <f t="shared" si="12"/>
        <v>1</v>
      </c>
      <c r="L172" s="1274">
        <v>145000</v>
      </c>
      <c r="M172" s="1244">
        <f t="shared" si="13"/>
        <v>145000</v>
      </c>
      <c r="N172" s="1209"/>
      <c r="O172" s="1211"/>
      <c r="P172" s="1211"/>
      <c r="Q172" s="1211"/>
      <c r="R172" s="1211"/>
      <c r="S172" s="1211"/>
      <c r="T172" s="1209"/>
    </row>
    <row r="173" spans="1:20" s="1191" customFormat="1" x14ac:dyDescent="0.2">
      <c r="F173" s="1203"/>
      <c r="G173" s="1203"/>
      <c r="H173" s="1204" t="s">
        <v>194</v>
      </c>
      <c r="I173" s="1235" t="s">
        <v>192</v>
      </c>
      <c r="J173" s="1326">
        <v>1</v>
      </c>
      <c r="K173" s="1327">
        <f t="shared" si="12"/>
        <v>1</v>
      </c>
      <c r="L173" s="1274">
        <v>155000</v>
      </c>
      <c r="M173" s="1244">
        <f t="shared" si="13"/>
        <v>155000</v>
      </c>
      <c r="N173" s="1209"/>
      <c r="O173" s="1328"/>
      <c r="P173" s="1211"/>
      <c r="Q173" s="1211"/>
      <c r="R173" s="1211"/>
      <c r="S173" s="1211"/>
      <c r="T173" s="1209"/>
    </row>
    <row r="174" spans="1:20" s="1191" customFormat="1" x14ac:dyDescent="0.2">
      <c r="F174" s="1203"/>
      <c r="G174" s="1203"/>
      <c r="H174" s="1204" t="s">
        <v>195</v>
      </c>
      <c r="I174" s="1235" t="s">
        <v>192</v>
      </c>
      <c r="J174" s="1326">
        <v>3</v>
      </c>
      <c r="K174" s="1327">
        <f t="shared" si="12"/>
        <v>3</v>
      </c>
      <c r="L174" s="1274">
        <v>75000</v>
      </c>
      <c r="M174" s="1244">
        <f t="shared" si="13"/>
        <v>225000</v>
      </c>
      <c r="N174" s="1209"/>
      <c r="O174" s="1211" t="s">
        <v>691</v>
      </c>
      <c r="P174" s="1211"/>
      <c r="Q174" s="1211"/>
      <c r="R174" s="1211"/>
      <c r="S174" s="1211"/>
      <c r="T174" s="1209"/>
    </row>
    <row r="175" spans="1:20" s="1191" customFormat="1" x14ac:dyDescent="0.2">
      <c r="F175" s="1203"/>
      <c r="G175" s="1203"/>
      <c r="H175" s="1204" t="s">
        <v>197</v>
      </c>
      <c r="I175" s="1235" t="s">
        <v>192</v>
      </c>
      <c r="J175" s="1326">
        <v>1</v>
      </c>
      <c r="K175" s="1327">
        <f t="shared" si="12"/>
        <v>1</v>
      </c>
      <c r="L175" s="1274">
        <v>145000</v>
      </c>
      <c r="M175" s="1244">
        <f t="shared" si="13"/>
        <v>145000</v>
      </c>
      <c r="N175" s="1209"/>
      <c r="O175" s="1211"/>
      <c r="P175" s="1211"/>
      <c r="Q175" s="1211"/>
      <c r="R175" s="1211"/>
      <c r="S175" s="1211"/>
      <c r="T175" s="1209"/>
    </row>
    <row r="176" spans="1:20" s="1191" customFormat="1" x14ac:dyDescent="0.2">
      <c r="F176" s="1203"/>
      <c r="G176" s="1203"/>
      <c r="H176" s="1204" t="s">
        <v>198</v>
      </c>
      <c r="I176" s="1235" t="s">
        <v>192</v>
      </c>
      <c r="J176" s="1326">
        <v>1</v>
      </c>
      <c r="K176" s="1327">
        <f t="shared" si="12"/>
        <v>1</v>
      </c>
      <c r="L176" s="1274">
        <v>145000</v>
      </c>
      <c r="M176" s="1244">
        <f t="shared" si="13"/>
        <v>145000</v>
      </c>
      <c r="N176" s="1209"/>
      <c r="O176" s="1211"/>
      <c r="P176" s="1211"/>
      <c r="Q176" s="1211"/>
      <c r="R176" s="1211"/>
      <c r="S176" s="1211"/>
      <c r="T176" s="1209"/>
    </row>
    <row r="177" spans="1:20" s="1191" customFormat="1" x14ac:dyDescent="0.2">
      <c r="F177" s="1203"/>
      <c r="G177" s="1203"/>
      <c r="H177" s="1204" t="s">
        <v>199</v>
      </c>
      <c r="I177" s="1235" t="s">
        <v>192</v>
      </c>
      <c r="J177" s="1326">
        <v>5</v>
      </c>
      <c r="K177" s="1327">
        <f t="shared" si="12"/>
        <v>5</v>
      </c>
      <c r="L177" s="1274">
        <v>75000</v>
      </c>
      <c r="M177" s="1244">
        <f t="shared" si="13"/>
        <v>375000</v>
      </c>
      <c r="N177" s="1209"/>
      <c r="O177" s="1328"/>
      <c r="P177" s="1211"/>
      <c r="Q177" s="1211"/>
      <c r="R177" s="1211"/>
      <c r="S177" s="1211"/>
      <c r="T177" s="1209"/>
    </row>
    <row r="178" spans="1:20" s="1191" customFormat="1" x14ac:dyDescent="0.2">
      <c r="F178" s="1203"/>
      <c r="G178" s="1203"/>
      <c r="H178" s="1204" t="s">
        <v>200</v>
      </c>
      <c r="I178" s="1235" t="s">
        <v>192</v>
      </c>
      <c r="J178" s="1326">
        <v>1</v>
      </c>
      <c r="K178" s="1327">
        <f t="shared" si="12"/>
        <v>1</v>
      </c>
      <c r="L178" s="1274">
        <v>55000</v>
      </c>
      <c r="M178" s="1244">
        <f t="shared" si="13"/>
        <v>55000</v>
      </c>
      <c r="N178" s="1209"/>
      <c r="O178" s="1211"/>
      <c r="P178" s="1211"/>
      <c r="Q178" s="1211"/>
      <c r="R178" s="1211"/>
      <c r="S178" s="1211"/>
      <c r="T178" s="1209"/>
    </row>
    <row r="179" spans="1:20" s="1191" customFormat="1" x14ac:dyDescent="0.2">
      <c r="F179" s="1203"/>
      <c r="G179" s="1203"/>
      <c r="H179" s="1204" t="s">
        <v>201</v>
      </c>
      <c r="I179" s="1235" t="s">
        <v>192</v>
      </c>
      <c r="J179" s="1326">
        <v>1</v>
      </c>
      <c r="K179" s="1327">
        <f t="shared" si="12"/>
        <v>1</v>
      </c>
      <c r="L179" s="1274">
        <v>65000</v>
      </c>
      <c r="M179" s="1244">
        <f t="shared" si="13"/>
        <v>65000</v>
      </c>
      <c r="N179" s="1209"/>
      <c r="O179" s="1211" t="s">
        <v>454</v>
      </c>
      <c r="P179" s="1211"/>
      <c r="Q179" s="1211"/>
      <c r="R179" s="1211"/>
      <c r="S179" s="1211"/>
      <c r="T179" s="1209"/>
    </row>
    <row r="180" spans="1:20" s="1191" customFormat="1" x14ac:dyDescent="0.2">
      <c r="F180" s="1203"/>
      <c r="G180" s="1203"/>
      <c r="H180" s="1204" t="s">
        <v>202</v>
      </c>
      <c r="I180" s="1235" t="s">
        <v>192</v>
      </c>
      <c r="J180" s="1326">
        <v>1</v>
      </c>
      <c r="K180" s="1329">
        <f>J180*P180</f>
        <v>3</v>
      </c>
      <c r="L180" s="1274">
        <v>50000</v>
      </c>
      <c r="M180" s="1244">
        <f t="shared" si="13"/>
        <v>150000</v>
      </c>
      <c r="N180" s="1209"/>
      <c r="O180" s="1330" t="s">
        <v>206</v>
      </c>
      <c r="P180" s="1236">
        <v>3</v>
      </c>
      <c r="Q180" s="1211"/>
      <c r="R180" s="1211"/>
      <c r="S180" s="1211"/>
      <c r="T180" s="1209"/>
    </row>
    <row r="181" spans="1:20" s="1191" customFormat="1" x14ac:dyDescent="0.2">
      <c r="F181" s="1203"/>
      <c r="G181" s="1203"/>
      <c r="H181" s="1204" t="s">
        <v>204</v>
      </c>
      <c r="I181" s="1235" t="s">
        <v>205</v>
      </c>
      <c r="J181" s="1326">
        <v>3</v>
      </c>
      <c r="K181" s="1327">
        <f>J181*P181</f>
        <v>12</v>
      </c>
      <c r="L181" s="1274">
        <v>65000</v>
      </c>
      <c r="M181" s="1244">
        <f t="shared" si="13"/>
        <v>780000</v>
      </c>
      <c r="N181" s="1209"/>
      <c r="O181" s="1210" t="s">
        <v>206</v>
      </c>
      <c r="P181" s="1236">
        <v>4</v>
      </c>
      <c r="Q181" s="1210"/>
      <c r="R181" s="1328" t="s">
        <v>494</v>
      </c>
      <c r="S181" s="1211"/>
      <c r="T181" s="1209"/>
    </row>
    <row r="182" spans="1:20" s="1191" customFormat="1" x14ac:dyDescent="0.2">
      <c r="F182" s="1203"/>
      <c r="G182" s="1203"/>
      <c r="H182" s="1245" t="s">
        <v>207</v>
      </c>
      <c r="I182" s="1243"/>
      <c r="J182" s="1192"/>
      <c r="K182" s="1331">
        <f>SUM(K171:K181)</f>
        <v>30</v>
      </c>
      <c r="L182" s="1216"/>
      <c r="M182" s="1312">
        <f>SUM(M171:M181)</f>
        <v>2425000</v>
      </c>
      <c r="N182" s="1209"/>
      <c r="O182" s="1211"/>
      <c r="P182" s="1211"/>
      <c r="Q182" s="1211"/>
      <c r="R182" s="1211"/>
      <c r="S182" s="1211"/>
      <c r="T182" s="1209"/>
    </row>
    <row r="183" spans="1:20" s="1191" customFormat="1" x14ac:dyDescent="0.2">
      <c r="F183" s="1203"/>
      <c r="G183" s="1203"/>
      <c r="H183" s="1245" t="s">
        <v>208</v>
      </c>
      <c r="I183" s="1235" t="s">
        <v>209</v>
      </c>
      <c r="J183" s="1332">
        <v>0.2</v>
      </c>
      <c r="K183" s="1238">
        <f>M182</f>
        <v>2425000</v>
      </c>
      <c r="L183" s="1216"/>
      <c r="M183" s="1244">
        <f>K183*J183</f>
        <v>485000</v>
      </c>
      <c r="N183" s="1209"/>
      <c r="O183" s="1211"/>
      <c r="P183" s="1211"/>
      <c r="Q183" s="1211"/>
      <c r="R183" s="1211"/>
      <c r="S183" s="1211"/>
      <c r="T183" s="1209"/>
    </row>
    <row r="184" spans="1:20" s="1191" customFormat="1" x14ac:dyDescent="0.2">
      <c r="A184" s="1191" t="s">
        <v>709</v>
      </c>
      <c r="B184" s="1191" t="s">
        <v>190</v>
      </c>
      <c r="F184" s="1203"/>
      <c r="G184" s="1203"/>
      <c r="H184" s="1212" t="s">
        <v>210</v>
      </c>
      <c r="I184" s="1243"/>
      <c r="J184" s="1192"/>
      <c r="K184" s="1220"/>
      <c r="L184" s="1216"/>
      <c r="M184" s="1256">
        <f>SUM(M182:M183)</f>
        <v>2910000</v>
      </c>
      <c r="N184" s="1209"/>
      <c r="O184" s="1211"/>
      <c r="P184" s="1211"/>
      <c r="Q184" s="1211"/>
      <c r="R184" s="1211"/>
      <c r="S184" s="1211"/>
      <c r="T184" s="1209"/>
    </row>
    <row r="185" spans="1:20" s="1191" customFormat="1" x14ac:dyDescent="0.2">
      <c r="F185" s="1203"/>
      <c r="G185" s="1224"/>
      <c r="H185" s="1303"/>
      <c r="I185" s="1226"/>
      <c r="J185" s="1225"/>
      <c r="K185" s="1302"/>
      <c r="L185" s="1227"/>
      <c r="M185" s="1225"/>
      <c r="N185" s="1228"/>
      <c r="O185" s="1229"/>
      <c r="P185" s="1229"/>
      <c r="Q185" s="1229"/>
      <c r="R185" s="1229"/>
      <c r="S185" s="1229"/>
      <c r="T185" s="1228"/>
    </row>
    <row r="186" spans="1:20" s="1191" customFormat="1" ht="25.5" x14ac:dyDescent="0.2">
      <c r="F186" s="1203"/>
      <c r="G186" s="1196" t="s">
        <v>447</v>
      </c>
      <c r="H186" s="1275" t="s">
        <v>448</v>
      </c>
      <c r="I186" s="1276" t="s">
        <v>20</v>
      </c>
      <c r="J186" s="1198" t="s">
        <v>213</v>
      </c>
      <c r="K186" s="1198" t="s">
        <v>72</v>
      </c>
      <c r="L186" s="1199" t="s">
        <v>73</v>
      </c>
      <c r="M186" s="1198" t="s">
        <v>130</v>
      </c>
      <c r="N186" s="1202"/>
      <c r="O186" s="1318" t="s">
        <v>76</v>
      </c>
      <c r="P186" s="1211"/>
      <c r="Q186" s="1211"/>
      <c r="R186" s="1211"/>
      <c r="S186" s="1211"/>
      <c r="T186" s="1209"/>
    </row>
    <row r="187" spans="1:20" s="1191" customFormat="1" x14ac:dyDescent="0.2">
      <c r="F187" s="1203"/>
      <c r="G187" s="1203"/>
      <c r="H187" s="1204" t="s">
        <v>224</v>
      </c>
      <c r="I187" s="1235" t="s">
        <v>225</v>
      </c>
      <c r="J187" s="1294">
        <v>20</v>
      </c>
      <c r="K187" s="1192">
        <f>J187</f>
        <v>20</v>
      </c>
      <c r="L187" s="1274">
        <v>2000</v>
      </c>
      <c r="M187" s="1211">
        <f>L187*K187</f>
        <v>40000</v>
      </c>
      <c r="N187" s="1209"/>
      <c r="O187" s="1211"/>
      <c r="P187" s="1211"/>
      <c r="Q187" s="1211"/>
      <c r="R187" s="1211"/>
      <c r="S187" s="1211"/>
      <c r="T187" s="1209"/>
    </row>
    <row r="188" spans="1:20" s="1191" customFormat="1" x14ac:dyDescent="0.2">
      <c r="F188" s="1203"/>
      <c r="G188" s="1203"/>
      <c r="H188" s="1204" t="s">
        <v>226</v>
      </c>
      <c r="I188" s="1235" t="s">
        <v>227</v>
      </c>
      <c r="J188" s="1294"/>
      <c r="K188" s="1192"/>
      <c r="L188" s="1208"/>
      <c r="M188" s="1211">
        <f>L188*K188</f>
        <v>0</v>
      </c>
      <c r="N188" s="1209"/>
      <c r="O188" s="1210" t="s">
        <v>228</v>
      </c>
      <c r="P188" s="1211"/>
      <c r="Q188" s="1211"/>
      <c r="R188" s="1211"/>
      <c r="S188" s="1211"/>
      <c r="T188" s="1209"/>
    </row>
    <row r="189" spans="1:20" s="1191" customFormat="1" x14ac:dyDescent="0.2">
      <c r="F189" s="1203"/>
      <c r="G189" s="1203"/>
      <c r="H189" s="1204" t="s">
        <v>229</v>
      </c>
      <c r="I189" s="1235" t="s">
        <v>227</v>
      </c>
      <c r="J189" s="1236">
        <v>1</v>
      </c>
      <c r="K189" s="1211">
        <f>J189</f>
        <v>1</v>
      </c>
      <c r="L189" s="1274">
        <v>150000</v>
      </c>
      <c r="M189" s="1211">
        <f>L189*K189</f>
        <v>150000</v>
      </c>
      <c r="N189" s="1209"/>
      <c r="O189" s="1211"/>
      <c r="P189" s="1211"/>
      <c r="Q189" s="1211"/>
      <c r="R189" s="1211"/>
      <c r="S189" s="1211"/>
      <c r="T189" s="1209"/>
    </row>
    <row r="190" spans="1:20" s="1191" customFormat="1" x14ac:dyDescent="0.2">
      <c r="F190" s="1203"/>
      <c r="G190" s="1203"/>
      <c r="H190" s="1204" t="s">
        <v>449</v>
      </c>
      <c r="I190" s="1235" t="s">
        <v>227</v>
      </c>
      <c r="J190" s="1236">
        <v>1</v>
      </c>
      <c r="K190" s="1211">
        <f>J190</f>
        <v>1</v>
      </c>
      <c r="L190" s="1274">
        <v>1000000</v>
      </c>
      <c r="M190" s="1211">
        <f>L190*K190</f>
        <v>1000000</v>
      </c>
      <c r="N190" s="1209"/>
      <c r="O190" s="1211"/>
      <c r="P190" s="1211"/>
      <c r="Q190" s="1211"/>
      <c r="R190" s="1211"/>
      <c r="S190" s="1211"/>
      <c r="T190" s="1209"/>
    </row>
    <row r="191" spans="1:20" s="1191" customFormat="1" x14ac:dyDescent="0.2">
      <c r="F191" s="1203"/>
      <c r="G191" s="1203"/>
      <c r="H191" s="1204" t="s">
        <v>231</v>
      </c>
      <c r="I191" s="1235" t="s">
        <v>220</v>
      </c>
      <c r="J191" s="1333">
        <v>3.0000000000000001E-3</v>
      </c>
      <c r="K191" s="1334">
        <f>SUM(J268:K268)*1000000</f>
        <v>147180000</v>
      </c>
      <c r="L191" s="1208">
        <f>K191*J191</f>
        <v>441540</v>
      </c>
      <c r="M191" s="1211">
        <f>L191</f>
        <v>441540</v>
      </c>
      <c r="N191" s="1209"/>
      <c r="O191" s="1211"/>
      <c r="P191" s="1211"/>
      <c r="Q191" s="1211"/>
      <c r="R191" s="1211"/>
      <c r="S191" s="1211"/>
      <c r="T191" s="1209"/>
    </row>
    <row r="192" spans="1:20" s="1191" customFormat="1" x14ac:dyDescent="0.2">
      <c r="F192" s="1203"/>
      <c r="G192" s="1203"/>
      <c r="H192" s="1204" t="s">
        <v>232</v>
      </c>
      <c r="I192" s="1235" t="s">
        <v>233</v>
      </c>
      <c r="J192" s="1335">
        <v>75</v>
      </c>
      <c r="K192" s="1244">
        <f>J192</f>
        <v>75</v>
      </c>
      <c r="L192" s="1274">
        <v>1000</v>
      </c>
      <c r="M192" s="1211">
        <f>L192*K192</f>
        <v>75000</v>
      </c>
      <c r="N192" s="1209"/>
      <c r="O192" s="1211"/>
      <c r="P192" s="1211"/>
      <c r="Q192" s="1211"/>
      <c r="R192" s="1211"/>
      <c r="S192" s="1211"/>
      <c r="T192" s="1209"/>
    </row>
    <row r="193" spans="1:27" s="1191" customFormat="1" x14ac:dyDescent="0.2">
      <c r="F193" s="1203"/>
      <c r="G193" s="1203"/>
      <c r="H193" s="1204" t="s">
        <v>234</v>
      </c>
      <c r="I193" s="1235" t="s">
        <v>235</v>
      </c>
      <c r="J193" s="1294">
        <v>200</v>
      </c>
      <c r="K193" s="1240">
        <f>J17</f>
        <v>335.8</v>
      </c>
      <c r="L193" s="1208">
        <f>K193*J193</f>
        <v>67160</v>
      </c>
      <c r="M193" s="1211">
        <f>L193</f>
        <v>67160</v>
      </c>
      <c r="N193" s="1209"/>
      <c r="O193" s="1211"/>
      <c r="P193" s="1211"/>
      <c r="Q193" s="1211"/>
      <c r="R193" s="1211"/>
      <c r="S193" s="1211"/>
      <c r="T193" s="1209"/>
    </row>
    <row r="194" spans="1:27" x14ac:dyDescent="0.2">
      <c r="A194" s="1107" t="s">
        <v>712</v>
      </c>
      <c r="B194" s="1107" t="s">
        <v>448</v>
      </c>
      <c r="F194" s="1203"/>
      <c r="G194" s="1203"/>
      <c r="H194" s="1212" t="s">
        <v>364</v>
      </c>
      <c r="I194" s="1243"/>
      <c r="J194" s="1192"/>
      <c r="K194" s="1192"/>
      <c r="L194" s="1216"/>
      <c r="M194" s="1256">
        <f>SUM(M187:M193)</f>
        <v>1773700</v>
      </c>
      <c r="N194" s="1209"/>
      <c r="O194" s="1211"/>
      <c r="P194" s="1211"/>
      <c r="Q194" s="1211"/>
      <c r="R194" s="1211"/>
      <c r="S194" s="1211"/>
      <c r="T194" s="1209"/>
    </row>
    <row r="195" spans="1:27" x14ac:dyDescent="0.2">
      <c r="F195" s="1203"/>
      <c r="G195" s="1203"/>
      <c r="H195" s="1212"/>
      <c r="I195" s="1243"/>
      <c r="J195" s="1192"/>
      <c r="K195" s="1192"/>
      <c r="L195" s="1216"/>
      <c r="M195" s="1192"/>
      <c r="N195" s="1209"/>
      <c r="O195" s="1211"/>
      <c r="P195" s="1211"/>
      <c r="Q195" s="1211"/>
      <c r="R195" s="1211"/>
      <c r="S195" s="1211"/>
      <c r="T195" s="1209"/>
    </row>
    <row r="196" spans="1:27" ht="25.5" x14ac:dyDescent="0.2">
      <c r="F196" s="1203"/>
      <c r="G196" s="1196" t="s">
        <v>450</v>
      </c>
      <c r="H196" s="1336" t="s">
        <v>451</v>
      </c>
      <c r="I196" s="1276" t="s">
        <v>20</v>
      </c>
      <c r="J196" s="1198" t="s">
        <v>213</v>
      </c>
      <c r="K196" s="1198" t="s">
        <v>72</v>
      </c>
      <c r="L196" s="1199" t="s">
        <v>73</v>
      </c>
      <c r="M196" s="1198" t="s">
        <v>130</v>
      </c>
      <c r="N196" s="1202"/>
      <c r="O196" s="1318" t="s">
        <v>76</v>
      </c>
      <c r="P196" s="1187"/>
      <c r="Q196" s="1187"/>
      <c r="R196" s="1187"/>
      <c r="S196" s="1187"/>
      <c r="T196" s="1202"/>
    </row>
    <row r="197" spans="1:27" x14ac:dyDescent="0.2">
      <c r="F197" s="1203"/>
      <c r="G197" s="1203"/>
      <c r="H197" s="1204" t="s">
        <v>237</v>
      </c>
      <c r="I197" s="1235" t="s">
        <v>238</v>
      </c>
      <c r="J197" s="1294"/>
      <c r="K197" s="1192"/>
      <c r="L197" s="1299"/>
      <c r="M197" s="1192"/>
      <c r="N197" s="1209"/>
      <c r="O197" s="1211"/>
      <c r="P197" s="1211"/>
      <c r="Q197" s="1211"/>
      <c r="R197" s="1211"/>
      <c r="S197" s="1211"/>
      <c r="T197" s="1209"/>
    </row>
    <row r="198" spans="1:27" ht="14.25" x14ac:dyDescent="0.2">
      <c r="F198" s="1203"/>
      <c r="G198" s="1203"/>
      <c r="H198" s="1204" t="s">
        <v>221</v>
      </c>
      <c r="I198" s="1235" t="s">
        <v>239</v>
      </c>
      <c r="J198" s="1335">
        <v>8000</v>
      </c>
      <c r="K198" s="1192"/>
      <c r="L198" s="1279"/>
      <c r="M198" s="1192"/>
      <c r="N198" s="1209"/>
      <c r="O198" s="1210" t="s">
        <v>240</v>
      </c>
      <c r="P198" s="1211"/>
      <c r="Q198" s="1236">
        <v>0.6</v>
      </c>
      <c r="R198" s="1210" t="s">
        <v>241</v>
      </c>
      <c r="S198" s="1236">
        <v>37</v>
      </c>
      <c r="T198" s="1241" t="s">
        <v>242</v>
      </c>
    </row>
    <row r="199" spans="1:27" x14ac:dyDescent="0.2">
      <c r="F199" s="1203"/>
      <c r="G199" s="1203"/>
      <c r="H199" s="1192"/>
      <c r="I199" s="1235" t="s">
        <v>243</v>
      </c>
      <c r="J199" s="1335">
        <f>J198*Q198*S198</f>
        <v>177600</v>
      </c>
      <c r="K199" s="1240">
        <f>J17</f>
        <v>335.8</v>
      </c>
      <c r="L199" s="1279">
        <f>7/1000</f>
        <v>7.0000000000000001E-3</v>
      </c>
      <c r="M199" s="1337"/>
      <c r="N199" s="1209"/>
      <c r="O199" s="1211"/>
      <c r="P199" s="1211"/>
      <c r="Q199" s="1211"/>
      <c r="R199" s="1211"/>
      <c r="S199" s="1211"/>
      <c r="T199" s="1209"/>
    </row>
    <row r="200" spans="1:27" x14ac:dyDescent="0.2">
      <c r="F200" s="1203"/>
      <c r="G200" s="1203"/>
      <c r="H200" s="1204" t="s">
        <v>244</v>
      </c>
      <c r="I200" s="1235" t="s">
        <v>245</v>
      </c>
      <c r="J200" s="1244" t="str">
        <f>K148</f>
        <v xml:space="preserve"> Quantity</v>
      </c>
      <c r="K200" s="1338">
        <f>K145/1000</f>
        <v>25910.24879581152</v>
      </c>
      <c r="L200" s="1294">
        <v>80</v>
      </c>
      <c r="M200" s="1210">
        <f>L200*K200</f>
        <v>2072819.9036649216</v>
      </c>
      <c r="N200" s="1192"/>
      <c r="O200" s="1339" t="s">
        <v>246</v>
      </c>
      <c r="P200" s="1211"/>
      <c r="Q200" s="1211"/>
      <c r="R200" s="1211"/>
      <c r="S200" s="1211"/>
      <c r="T200" s="1209"/>
    </row>
    <row r="201" spans="1:27" x14ac:dyDescent="0.2">
      <c r="F201" s="1203"/>
      <c r="G201" s="1203"/>
      <c r="H201" s="1204" t="s">
        <v>247</v>
      </c>
      <c r="I201" s="1235"/>
      <c r="J201" s="1192"/>
      <c r="K201" s="1192"/>
      <c r="L201" s="1192"/>
      <c r="M201" s="1192"/>
      <c r="N201" s="1192"/>
      <c r="O201" s="1204"/>
      <c r="P201" s="1211"/>
      <c r="Q201" s="1211"/>
      <c r="R201" s="1211"/>
      <c r="S201" s="1211"/>
      <c r="T201" s="1209"/>
    </row>
    <row r="202" spans="1:27" x14ac:dyDescent="0.2">
      <c r="F202" s="1203"/>
      <c r="G202" s="1203"/>
      <c r="H202" s="1212" t="s">
        <v>365</v>
      </c>
      <c r="I202" s="1235"/>
      <c r="J202" s="1192"/>
      <c r="K202" s="1192"/>
      <c r="L202" s="1192"/>
      <c r="M202" s="1265">
        <f>SUM(M197:M200)</f>
        <v>2072819.9036649216</v>
      </c>
      <c r="N202" s="1192"/>
      <c r="O202" s="1204"/>
      <c r="P202" s="1211"/>
      <c r="Q202" s="1211"/>
      <c r="R202" s="1211"/>
      <c r="S202" s="1211"/>
      <c r="T202" s="1209"/>
    </row>
    <row r="203" spans="1:27" x14ac:dyDescent="0.2">
      <c r="F203" s="1203"/>
      <c r="G203" s="1203"/>
      <c r="H203" s="1204"/>
      <c r="I203" s="1235"/>
      <c r="J203" s="1192"/>
      <c r="K203" s="1192"/>
      <c r="L203" s="1192"/>
      <c r="M203" s="1192"/>
      <c r="N203" s="1209"/>
      <c r="O203" s="1210"/>
      <c r="P203" s="1211"/>
      <c r="Q203" s="1211"/>
      <c r="R203" s="1211"/>
      <c r="S203" s="1211"/>
      <c r="T203" s="1209"/>
    </row>
    <row r="204" spans="1:27" x14ac:dyDescent="0.2">
      <c r="F204" s="1203"/>
      <c r="G204" s="1224"/>
      <c r="H204" s="1225"/>
      <c r="I204" s="1226"/>
      <c r="J204" s="1340">
        <v>0</v>
      </c>
      <c r="K204" s="1341">
        <v>1</v>
      </c>
      <c r="L204" s="1341">
        <v>2</v>
      </c>
      <c r="M204" s="1341">
        <v>3</v>
      </c>
      <c r="N204" s="1341">
        <v>4</v>
      </c>
      <c r="O204" s="1341">
        <v>5</v>
      </c>
      <c r="P204" s="1341">
        <v>6</v>
      </c>
      <c r="Q204" s="1341">
        <v>7</v>
      </c>
      <c r="R204" s="1341">
        <v>8</v>
      </c>
      <c r="S204" s="1341">
        <v>9</v>
      </c>
      <c r="T204" s="1341">
        <v>10</v>
      </c>
      <c r="U204" s="1341">
        <v>11</v>
      </c>
      <c r="V204" s="1341">
        <v>12</v>
      </c>
      <c r="W204" s="1341">
        <v>13</v>
      </c>
      <c r="X204" s="1341">
        <v>14</v>
      </c>
      <c r="Y204" s="1341">
        <v>15</v>
      </c>
      <c r="Z204" s="1342">
        <v>16</v>
      </c>
    </row>
    <row r="205" spans="1:27" x14ac:dyDescent="0.2">
      <c r="F205" s="1203"/>
      <c r="G205" s="1196">
        <v>12</v>
      </c>
      <c r="H205" s="1343" t="s">
        <v>248</v>
      </c>
      <c r="I205" s="1344"/>
      <c r="J205" s="1198" t="s">
        <v>249</v>
      </c>
      <c r="K205" s="1199" t="s">
        <v>250</v>
      </c>
      <c r="L205" s="1199" t="s">
        <v>251</v>
      </c>
      <c r="M205" s="1199" t="s">
        <v>252</v>
      </c>
      <c r="N205" s="1345" t="s">
        <v>253</v>
      </c>
      <c r="O205" s="1345" t="s">
        <v>254</v>
      </c>
      <c r="P205" s="1345" t="s">
        <v>255</v>
      </c>
      <c r="Q205" s="1345" t="s">
        <v>256</v>
      </c>
      <c r="R205" s="1345" t="s">
        <v>257</v>
      </c>
      <c r="S205" s="1345" t="s">
        <v>258</v>
      </c>
      <c r="T205" s="1345" t="s">
        <v>259</v>
      </c>
      <c r="U205" s="1345" t="s">
        <v>260</v>
      </c>
      <c r="V205" s="1345" t="s">
        <v>261</v>
      </c>
      <c r="W205" s="1345" t="s">
        <v>262</v>
      </c>
      <c r="X205" s="1345" t="s">
        <v>263</v>
      </c>
      <c r="Y205" s="1345" t="s">
        <v>264</v>
      </c>
      <c r="Z205" s="1346" t="s">
        <v>265</v>
      </c>
    </row>
    <row r="206" spans="1:27" x14ac:dyDescent="0.2">
      <c r="F206" s="1203"/>
      <c r="G206" s="1203"/>
      <c r="H206" s="1204" t="s">
        <v>266</v>
      </c>
      <c r="I206" s="1235"/>
      <c r="J206" s="1347">
        <v>0</v>
      </c>
      <c r="K206" s="1348">
        <f t="shared" ref="K206:Z207" si="14">J206</f>
        <v>0</v>
      </c>
      <c r="L206" s="1348">
        <f t="shared" si="14"/>
        <v>0</v>
      </c>
      <c r="M206" s="1348">
        <f t="shared" si="14"/>
        <v>0</v>
      </c>
      <c r="N206" s="1349">
        <f t="shared" si="14"/>
        <v>0</v>
      </c>
      <c r="O206" s="1259">
        <f t="shared" si="14"/>
        <v>0</v>
      </c>
      <c r="P206" s="1349">
        <f t="shared" si="14"/>
        <v>0</v>
      </c>
      <c r="Q206" s="1349">
        <f t="shared" si="14"/>
        <v>0</v>
      </c>
      <c r="R206" s="1349">
        <f t="shared" si="14"/>
        <v>0</v>
      </c>
      <c r="S206" s="1349">
        <f t="shared" si="14"/>
        <v>0</v>
      </c>
      <c r="T206" s="1349">
        <f t="shared" si="14"/>
        <v>0</v>
      </c>
      <c r="U206" s="1349">
        <f t="shared" si="14"/>
        <v>0</v>
      </c>
      <c r="V206" s="1349">
        <f t="shared" si="14"/>
        <v>0</v>
      </c>
      <c r="W206" s="1349">
        <f t="shared" si="14"/>
        <v>0</v>
      </c>
      <c r="X206" s="1349">
        <f t="shared" si="14"/>
        <v>0</v>
      </c>
      <c r="Y206" s="1349">
        <f t="shared" si="14"/>
        <v>0</v>
      </c>
      <c r="Z206" s="1350">
        <f t="shared" si="14"/>
        <v>0</v>
      </c>
      <c r="AA206" s="1351"/>
    </row>
    <row r="207" spans="1:27" x14ac:dyDescent="0.2">
      <c r="F207" s="1203"/>
      <c r="G207" s="1203"/>
      <c r="H207" s="1204" t="s">
        <v>267</v>
      </c>
      <c r="I207" s="1235"/>
      <c r="J207" s="1347">
        <v>0</v>
      </c>
      <c r="K207" s="1348">
        <f t="shared" si="14"/>
        <v>0</v>
      </c>
      <c r="L207" s="1348">
        <f t="shared" si="14"/>
        <v>0</v>
      </c>
      <c r="M207" s="1348">
        <f t="shared" si="14"/>
        <v>0</v>
      </c>
      <c r="N207" s="1349">
        <f t="shared" si="14"/>
        <v>0</v>
      </c>
      <c r="O207" s="1259">
        <f t="shared" si="14"/>
        <v>0</v>
      </c>
      <c r="P207" s="1349">
        <f t="shared" si="14"/>
        <v>0</v>
      </c>
      <c r="Q207" s="1349">
        <f t="shared" si="14"/>
        <v>0</v>
      </c>
      <c r="R207" s="1349">
        <f t="shared" si="14"/>
        <v>0</v>
      </c>
      <c r="S207" s="1349">
        <f t="shared" si="14"/>
        <v>0</v>
      </c>
      <c r="T207" s="1349">
        <f t="shared" si="14"/>
        <v>0</v>
      </c>
      <c r="U207" s="1349">
        <f t="shared" si="14"/>
        <v>0</v>
      </c>
      <c r="V207" s="1349">
        <f t="shared" si="14"/>
        <v>0</v>
      </c>
      <c r="W207" s="1349">
        <f t="shared" si="14"/>
        <v>0</v>
      </c>
      <c r="X207" s="1349">
        <f t="shared" si="14"/>
        <v>0</v>
      </c>
      <c r="Y207" s="1349">
        <f t="shared" si="14"/>
        <v>0</v>
      </c>
      <c r="Z207" s="1350">
        <f t="shared" si="14"/>
        <v>0</v>
      </c>
      <c r="AA207" s="1351"/>
    </row>
    <row r="208" spans="1:27" x14ac:dyDescent="0.2">
      <c r="F208" s="1203"/>
      <c r="G208" s="1203"/>
      <c r="H208" s="1204" t="s">
        <v>268</v>
      </c>
      <c r="I208" s="1235"/>
      <c r="J208" s="1352">
        <v>1</v>
      </c>
      <c r="K208" s="1348"/>
      <c r="L208" s="1348"/>
      <c r="M208" s="1348"/>
      <c r="N208" s="1349"/>
      <c r="O208" s="1259"/>
      <c r="P208" s="1349"/>
      <c r="Q208" s="1349"/>
      <c r="R208" s="1349"/>
      <c r="S208" s="1349"/>
      <c r="T208" s="1349"/>
      <c r="U208" s="1349"/>
      <c r="V208" s="1349"/>
      <c r="W208" s="1349"/>
      <c r="X208" s="1349"/>
      <c r="Y208" s="1349"/>
      <c r="Z208" s="1350"/>
      <c r="AA208" s="1351"/>
    </row>
    <row r="209" spans="3:28" x14ac:dyDescent="0.2">
      <c r="F209" s="1203"/>
      <c r="G209" s="1203"/>
      <c r="H209" s="1204" t="s">
        <v>269</v>
      </c>
      <c r="I209" s="1235"/>
      <c r="J209" s="1352">
        <v>1</v>
      </c>
      <c r="K209" s="1204"/>
      <c r="L209" s="1192"/>
      <c r="M209" s="1192"/>
      <c r="N209" s="1349"/>
      <c r="O209" s="1259"/>
      <c r="P209" s="1349"/>
      <c r="Q209" s="1349"/>
      <c r="R209" s="1349"/>
      <c r="S209" s="1349"/>
      <c r="T209" s="1349"/>
      <c r="U209" s="1349"/>
      <c r="V209" s="1349"/>
      <c r="W209" s="1349"/>
      <c r="X209" s="1349"/>
      <c r="Y209" s="1349"/>
      <c r="Z209" s="1350"/>
    </row>
    <row r="210" spans="3:28" x14ac:dyDescent="0.2">
      <c r="F210" s="1203"/>
      <c r="G210" s="1203"/>
      <c r="H210" s="1204" t="s">
        <v>270</v>
      </c>
      <c r="I210" s="1235"/>
      <c r="J210" s="1294">
        <v>0</v>
      </c>
      <c r="K210" s="983">
        <v>0</v>
      </c>
      <c r="L210" s="1250">
        <v>0.75</v>
      </c>
      <c r="M210" s="1250">
        <v>1</v>
      </c>
      <c r="N210" s="1353">
        <f t="shared" ref="N210:Z210" si="15">M210</f>
        <v>1</v>
      </c>
      <c r="O210" s="1353">
        <f t="shared" si="15"/>
        <v>1</v>
      </c>
      <c r="P210" s="1353">
        <f t="shared" si="15"/>
        <v>1</v>
      </c>
      <c r="Q210" s="1353">
        <f t="shared" si="15"/>
        <v>1</v>
      </c>
      <c r="R210" s="1353">
        <f t="shared" si="15"/>
        <v>1</v>
      </c>
      <c r="S210" s="1353">
        <f t="shared" si="15"/>
        <v>1</v>
      </c>
      <c r="T210" s="1353">
        <f t="shared" si="15"/>
        <v>1</v>
      </c>
      <c r="U210" s="1353">
        <f t="shared" si="15"/>
        <v>1</v>
      </c>
      <c r="V210" s="1353">
        <f t="shared" si="15"/>
        <v>1</v>
      </c>
      <c r="W210" s="1353">
        <f t="shared" si="15"/>
        <v>1</v>
      </c>
      <c r="X210" s="1353">
        <f t="shared" si="15"/>
        <v>1</v>
      </c>
      <c r="Y210" s="1353">
        <f t="shared" si="15"/>
        <v>1</v>
      </c>
      <c r="Z210" s="1354">
        <f t="shared" si="15"/>
        <v>1</v>
      </c>
      <c r="AA210" s="1332"/>
    </row>
    <row r="211" spans="3:28" x14ac:dyDescent="0.2">
      <c r="F211" s="1203"/>
      <c r="G211" s="1203"/>
      <c r="H211" s="1355" t="s">
        <v>271</v>
      </c>
      <c r="I211" s="1235"/>
      <c r="J211" s="1308">
        <f t="shared" ref="J211:Z211" si="16">(1+J206)^J204</f>
        <v>1</v>
      </c>
      <c r="K211" s="1308">
        <f t="shared" si="16"/>
        <v>1</v>
      </c>
      <c r="L211" s="1308">
        <f t="shared" si="16"/>
        <v>1</v>
      </c>
      <c r="M211" s="1308">
        <f t="shared" si="16"/>
        <v>1</v>
      </c>
      <c r="N211" s="1278">
        <f t="shared" si="16"/>
        <v>1</v>
      </c>
      <c r="O211" s="1278">
        <f t="shared" si="16"/>
        <v>1</v>
      </c>
      <c r="P211" s="1278">
        <f t="shared" si="16"/>
        <v>1</v>
      </c>
      <c r="Q211" s="1278">
        <f t="shared" si="16"/>
        <v>1</v>
      </c>
      <c r="R211" s="1278">
        <f t="shared" si="16"/>
        <v>1</v>
      </c>
      <c r="S211" s="1278">
        <f t="shared" si="16"/>
        <v>1</v>
      </c>
      <c r="T211" s="1278">
        <f t="shared" si="16"/>
        <v>1</v>
      </c>
      <c r="U211" s="1278">
        <f t="shared" si="16"/>
        <v>1</v>
      </c>
      <c r="V211" s="1278">
        <f t="shared" si="16"/>
        <v>1</v>
      </c>
      <c r="W211" s="1278">
        <f t="shared" si="16"/>
        <v>1</v>
      </c>
      <c r="X211" s="1278">
        <f t="shared" si="16"/>
        <v>1</v>
      </c>
      <c r="Y211" s="1278">
        <f t="shared" si="16"/>
        <v>1</v>
      </c>
      <c r="Z211" s="1356">
        <f t="shared" si="16"/>
        <v>1</v>
      </c>
      <c r="AA211" s="1308"/>
    </row>
    <row r="212" spans="3:28" x14ac:dyDescent="0.2">
      <c r="F212" s="1203"/>
      <c r="G212" s="1203"/>
      <c r="H212" s="1355" t="s">
        <v>272</v>
      </c>
      <c r="I212" s="1235"/>
      <c r="J212" s="1308">
        <f t="shared" ref="J212:Z212" si="17">(1+J207)^J204</f>
        <v>1</v>
      </c>
      <c r="K212" s="1308">
        <f t="shared" si="17"/>
        <v>1</v>
      </c>
      <c r="L212" s="1308">
        <f t="shared" si="17"/>
        <v>1</v>
      </c>
      <c r="M212" s="1308">
        <f t="shared" si="17"/>
        <v>1</v>
      </c>
      <c r="N212" s="1278">
        <f t="shared" si="17"/>
        <v>1</v>
      </c>
      <c r="O212" s="1278">
        <f t="shared" si="17"/>
        <v>1</v>
      </c>
      <c r="P212" s="1278">
        <f t="shared" si="17"/>
        <v>1</v>
      </c>
      <c r="Q212" s="1278">
        <f t="shared" si="17"/>
        <v>1</v>
      </c>
      <c r="R212" s="1278">
        <f t="shared" si="17"/>
        <v>1</v>
      </c>
      <c r="S212" s="1278">
        <f t="shared" si="17"/>
        <v>1</v>
      </c>
      <c r="T212" s="1278">
        <f t="shared" si="17"/>
        <v>1</v>
      </c>
      <c r="U212" s="1278">
        <f t="shared" si="17"/>
        <v>1</v>
      </c>
      <c r="V212" s="1278">
        <f t="shared" si="17"/>
        <v>1</v>
      </c>
      <c r="W212" s="1278">
        <f t="shared" si="17"/>
        <v>1</v>
      </c>
      <c r="X212" s="1278">
        <f t="shared" si="17"/>
        <v>1</v>
      </c>
      <c r="Y212" s="1278">
        <f t="shared" si="17"/>
        <v>1</v>
      </c>
      <c r="Z212" s="1356">
        <f t="shared" si="17"/>
        <v>1</v>
      </c>
      <c r="AA212" s="1308"/>
    </row>
    <row r="213" spans="3:28" x14ac:dyDescent="0.2">
      <c r="F213" s="1203"/>
      <c r="G213" s="1203"/>
      <c r="H213" s="1355" t="s">
        <v>547</v>
      </c>
      <c r="I213" s="1235"/>
      <c r="J213" s="1308">
        <v>100</v>
      </c>
      <c r="K213" s="1308"/>
      <c r="L213" s="1308"/>
      <c r="M213" s="1308"/>
      <c r="N213" s="1278"/>
      <c r="O213" s="1278"/>
      <c r="P213" s="1278"/>
      <c r="Q213" s="1278"/>
      <c r="R213" s="1278"/>
      <c r="S213" s="1278"/>
      <c r="T213" s="1278"/>
      <c r="U213" s="1278"/>
      <c r="V213" s="1278"/>
      <c r="W213" s="1278"/>
      <c r="X213" s="1278"/>
      <c r="Y213" s="1278"/>
      <c r="Z213" s="1356"/>
      <c r="AA213" s="1308"/>
    </row>
    <row r="214" spans="3:28" x14ac:dyDescent="0.2">
      <c r="F214" s="1203"/>
      <c r="G214" s="1203"/>
      <c r="H214" s="1355" t="s">
        <v>548</v>
      </c>
      <c r="I214" s="1235"/>
      <c r="J214" s="1308">
        <v>0.66</v>
      </c>
      <c r="K214" s="1308"/>
      <c r="L214" s="1308"/>
      <c r="M214" s="1308"/>
      <c r="N214" s="1278"/>
      <c r="O214" s="1278"/>
      <c r="P214" s="1278"/>
      <c r="Q214" s="1278"/>
      <c r="R214" s="1278"/>
      <c r="S214" s="1278"/>
      <c r="T214" s="1278"/>
      <c r="U214" s="1278"/>
      <c r="V214" s="1278"/>
      <c r="W214" s="1278"/>
      <c r="X214" s="1278"/>
      <c r="Y214" s="1278"/>
      <c r="Z214" s="1356"/>
      <c r="AA214" s="1308"/>
    </row>
    <row r="215" spans="3:28" x14ac:dyDescent="0.2">
      <c r="F215" s="1203"/>
      <c r="G215" s="1203"/>
      <c r="H215" s="1357" t="s">
        <v>273</v>
      </c>
      <c r="I215" s="1235"/>
      <c r="J215" s="1358">
        <v>1</v>
      </c>
      <c r="K215" s="1308"/>
      <c r="L215" s="1308"/>
      <c r="M215" s="1308"/>
      <c r="N215" s="1349"/>
      <c r="O215" s="1349"/>
      <c r="P215" s="1349"/>
      <c r="Q215" s="1349"/>
      <c r="R215" s="1349"/>
      <c r="S215" s="1349"/>
      <c r="T215" s="1349"/>
      <c r="U215" s="1349"/>
      <c r="V215" s="1349"/>
      <c r="W215" s="1349"/>
      <c r="X215" s="1349"/>
      <c r="Y215" s="1349"/>
      <c r="Z215" s="1350"/>
      <c r="AA215" s="1308"/>
    </row>
    <row r="216" spans="3:28" x14ac:dyDescent="0.2">
      <c r="F216" s="1203"/>
      <c r="G216" s="1203"/>
      <c r="H216" s="1357" t="s">
        <v>274</v>
      </c>
      <c r="I216" s="1235"/>
      <c r="J216" s="1358">
        <v>0.4</v>
      </c>
      <c r="K216" s="1358">
        <v>0.6</v>
      </c>
      <c r="L216" s="1308"/>
      <c r="M216" s="1308"/>
      <c r="N216" s="1349"/>
      <c r="O216" s="1349"/>
      <c r="P216" s="1349"/>
      <c r="Q216" s="1349"/>
      <c r="R216" s="1349"/>
      <c r="S216" s="1349"/>
      <c r="T216" s="1349"/>
      <c r="U216" s="1349"/>
      <c r="V216" s="1349"/>
      <c r="W216" s="1349"/>
      <c r="X216" s="1349"/>
      <c r="Y216" s="1349"/>
      <c r="Z216" s="1350"/>
      <c r="AA216" s="1308"/>
    </row>
    <row r="217" spans="3:28" x14ac:dyDescent="0.2">
      <c r="F217" s="1203"/>
      <c r="G217" s="1203"/>
      <c r="H217" s="1357" t="s">
        <v>275</v>
      </c>
      <c r="I217" s="1235"/>
      <c r="J217" s="1333">
        <v>0.01</v>
      </c>
      <c r="K217" s="1359">
        <f t="shared" ref="K217:Z217" si="18">J217</f>
        <v>0.01</v>
      </c>
      <c r="L217" s="1359">
        <f t="shared" si="18"/>
        <v>0.01</v>
      </c>
      <c r="M217" s="1359">
        <f t="shared" si="18"/>
        <v>0.01</v>
      </c>
      <c r="N217" s="1349">
        <f t="shared" si="18"/>
        <v>0.01</v>
      </c>
      <c r="O217" s="1349">
        <f t="shared" si="18"/>
        <v>0.01</v>
      </c>
      <c r="P217" s="1349">
        <f t="shared" si="18"/>
        <v>0.01</v>
      </c>
      <c r="Q217" s="1349">
        <f t="shared" si="18"/>
        <v>0.01</v>
      </c>
      <c r="R217" s="1349">
        <f t="shared" si="18"/>
        <v>0.01</v>
      </c>
      <c r="S217" s="1349">
        <f t="shared" si="18"/>
        <v>0.01</v>
      </c>
      <c r="T217" s="1349">
        <f t="shared" si="18"/>
        <v>0.01</v>
      </c>
      <c r="U217" s="1349">
        <f t="shared" si="18"/>
        <v>0.01</v>
      </c>
      <c r="V217" s="1349">
        <f t="shared" si="18"/>
        <v>0.01</v>
      </c>
      <c r="W217" s="1349">
        <f t="shared" si="18"/>
        <v>0.01</v>
      </c>
      <c r="X217" s="1349">
        <f t="shared" si="18"/>
        <v>0.01</v>
      </c>
      <c r="Y217" s="1349">
        <f t="shared" si="18"/>
        <v>0.01</v>
      </c>
      <c r="Z217" s="1350">
        <f t="shared" si="18"/>
        <v>0.01</v>
      </c>
      <c r="AA217" s="1359"/>
    </row>
    <row r="218" spans="3:28" x14ac:dyDescent="0.2">
      <c r="F218" s="1203"/>
      <c r="G218" s="1203"/>
      <c r="H218" s="1204" t="s">
        <v>276</v>
      </c>
      <c r="I218" s="1235"/>
      <c r="J218" s="1263">
        <v>0.2</v>
      </c>
      <c r="K218" s="1204" t="s">
        <v>277</v>
      </c>
      <c r="L218" s="1192"/>
      <c r="M218" s="1192"/>
      <c r="N218" s="1211"/>
      <c r="O218" s="1210"/>
      <c r="P218" s="1211"/>
      <c r="Q218" s="1211"/>
      <c r="R218" s="1211"/>
      <c r="S218" s="1211"/>
      <c r="T218" s="1211"/>
      <c r="U218" s="1211"/>
      <c r="V218" s="1211"/>
      <c r="W218" s="1211"/>
      <c r="X218" s="1211"/>
      <c r="Y218" s="1211"/>
      <c r="Z218" s="1209"/>
    </row>
    <row r="219" spans="3:28" x14ac:dyDescent="0.2">
      <c r="F219" s="1203"/>
      <c r="G219" s="1203"/>
      <c r="H219" s="1192"/>
      <c r="I219" s="1243"/>
      <c r="J219" s="1192"/>
      <c r="K219" s="1192"/>
      <c r="L219" s="1216"/>
      <c r="M219" s="1192"/>
      <c r="N219" s="1211"/>
      <c r="O219" s="1211"/>
      <c r="P219" s="1211"/>
      <c r="Q219" s="1211"/>
      <c r="R219" s="1211"/>
      <c r="S219" s="1211"/>
      <c r="T219" s="1211"/>
      <c r="U219" s="1211"/>
      <c r="V219" s="1211"/>
      <c r="W219" s="1211"/>
      <c r="X219" s="1211"/>
      <c r="Y219" s="1211"/>
      <c r="Z219" s="1209"/>
    </row>
    <row r="220" spans="3:28" x14ac:dyDescent="0.2">
      <c r="F220" s="1203"/>
      <c r="G220" s="1196">
        <v>13</v>
      </c>
      <c r="H220" s="1275" t="s">
        <v>278</v>
      </c>
      <c r="I220" s="1276"/>
      <c r="J220" s="1360" t="s">
        <v>249</v>
      </c>
      <c r="K220" s="1361" t="s">
        <v>250</v>
      </c>
      <c r="L220" s="1198" t="s">
        <v>251</v>
      </c>
      <c r="M220" s="1198" t="s">
        <v>252</v>
      </c>
      <c r="N220" s="1362" t="s">
        <v>253</v>
      </c>
      <c r="O220" s="1362" t="s">
        <v>254</v>
      </c>
      <c r="P220" s="1362" t="s">
        <v>255</v>
      </c>
      <c r="Q220" s="1362" t="s">
        <v>256</v>
      </c>
      <c r="R220" s="1362" t="s">
        <v>257</v>
      </c>
      <c r="S220" s="1362" t="s">
        <v>258</v>
      </c>
      <c r="T220" s="1362" t="s">
        <v>259</v>
      </c>
      <c r="U220" s="1362" t="s">
        <v>260</v>
      </c>
      <c r="V220" s="1362" t="s">
        <v>261</v>
      </c>
      <c r="W220" s="1362" t="s">
        <v>262</v>
      </c>
      <c r="X220" s="1362" t="s">
        <v>263</v>
      </c>
      <c r="Y220" s="1362" t="s">
        <v>264</v>
      </c>
      <c r="Z220" s="1200" t="s">
        <v>265</v>
      </c>
      <c r="AB220" s="1198"/>
    </row>
    <row r="221" spans="3:28" x14ac:dyDescent="0.2">
      <c r="C221" s="1363"/>
      <c r="D221" s="1363"/>
      <c r="E221" s="1363"/>
      <c r="F221" s="1203"/>
      <c r="G221" s="1230"/>
      <c r="H221" s="1220" t="s">
        <v>279</v>
      </c>
      <c r="I221" s="1232"/>
      <c r="J221" s="1364"/>
      <c r="K221" s="1365"/>
      <c r="L221" s="1254"/>
      <c r="M221" s="1254"/>
      <c r="N221" s="1366"/>
      <c r="O221" s="1366"/>
      <c r="P221" s="1366"/>
      <c r="Q221" s="1366"/>
      <c r="R221" s="1366"/>
      <c r="S221" s="1366"/>
      <c r="T221" s="1366"/>
      <c r="U221" s="1366"/>
      <c r="V221" s="1366"/>
      <c r="W221" s="1366"/>
      <c r="X221" s="1366"/>
      <c r="Y221" s="1366"/>
      <c r="Z221" s="1367"/>
      <c r="AA221" s="1254"/>
      <c r="AB221" s="1254"/>
    </row>
    <row r="222" spans="3:28" x14ac:dyDescent="0.2">
      <c r="C222" s="1363"/>
      <c r="D222" s="1363"/>
      <c r="E222" s="1363"/>
      <c r="F222" s="1203"/>
      <c r="G222" s="1230"/>
      <c r="H222" s="1368" t="s">
        <v>452</v>
      </c>
      <c r="I222" s="1232"/>
      <c r="J222" s="1364"/>
      <c r="K222" s="1365"/>
      <c r="L222" s="1309"/>
      <c r="M222" s="1309"/>
      <c r="N222" s="1309"/>
      <c r="O222" s="1309"/>
      <c r="P222" s="1309"/>
      <c r="Q222" s="1309"/>
      <c r="R222" s="1309"/>
      <c r="S222" s="1309"/>
      <c r="T222" s="1309"/>
      <c r="U222" s="1309"/>
      <c r="V222" s="1309"/>
      <c r="W222" s="1309"/>
      <c r="X222" s="1309"/>
      <c r="Y222" s="1309"/>
      <c r="Z222" s="1309"/>
      <c r="AA222" s="1254"/>
      <c r="AB222" s="1254"/>
    </row>
    <row r="223" spans="3:28" x14ac:dyDescent="0.2">
      <c r="C223" s="1363"/>
      <c r="D223" s="1363"/>
      <c r="E223" s="1363"/>
      <c r="F223" s="1203"/>
      <c r="G223" s="1230"/>
      <c r="H223" s="1368" t="s">
        <v>453</v>
      </c>
      <c r="I223" s="1232"/>
      <c r="J223" s="1364"/>
      <c r="K223" s="1365"/>
      <c r="L223" s="1309"/>
      <c r="M223" s="1309"/>
      <c r="N223" s="1309"/>
      <c r="O223" s="1309"/>
      <c r="P223" s="1309"/>
      <c r="Q223" s="1309"/>
      <c r="R223" s="1309"/>
      <c r="S223" s="1309"/>
      <c r="T223" s="1309"/>
      <c r="U223" s="1309"/>
      <c r="V223" s="1309"/>
      <c r="W223" s="1309"/>
      <c r="X223" s="1309"/>
      <c r="Y223" s="1309"/>
      <c r="Z223" s="1309"/>
      <c r="AA223" s="1254"/>
      <c r="AB223" s="1254"/>
    </row>
    <row r="224" spans="3:28" x14ac:dyDescent="0.2">
      <c r="C224" s="1363"/>
      <c r="D224" s="1363"/>
      <c r="E224" s="1363"/>
      <c r="F224" s="1203"/>
      <c r="G224" s="1230"/>
      <c r="H224" s="1204" t="s">
        <v>392</v>
      </c>
      <c r="I224" s="1232"/>
      <c r="J224" s="1364"/>
      <c r="K224" s="1365"/>
      <c r="L224" s="1309"/>
      <c r="M224" s="1309"/>
      <c r="N224" s="1309"/>
      <c r="O224" s="1309"/>
      <c r="P224" s="1309"/>
      <c r="Q224" s="1309"/>
      <c r="R224" s="1309"/>
      <c r="S224" s="1309"/>
      <c r="T224" s="1309"/>
      <c r="U224" s="1309"/>
      <c r="V224" s="1309"/>
      <c r="W224" s="1309"/>
      <c r="X224" s="1309"/>
      <c r="Y224" s="1309"/>
      <c r="Z224" s="1309"/>
      <c r="AA224" s="1254"/>
      <c r="AB224" s="1254"/>
    </row>
    <row r="225" spans="3:27" x14ac:dyDescent="0.2">
      <c r="C225" s="1363"/>
      <c r="D225" s="1363"/>
      <c r="E225" s="1363"/>
      <c r="F225" s="1203"/>
      <c r="G225" s="1203"/>
      <c r="H225" s="1204" t="s">
        <v>280</v>
      </c>
      <c r="I225" s="1235"/>
      <c r="J225" s="1339"/>
      <c r="K225" s="1369"/>
      <c r="L225" s="1309">
        <f t="shared" ref="L225:Z225" si="19">L210*$J$208*L211*$M$15</f>
        <v>67500000</v>
      </c>
      <c r="M225" s="1309">
        <f t="shared" si="19"/>
        <v>90000000</v>
      </c>
      <c r="N225" s="1309">
        <f t="shared" si="19"/>
        <v>90000000</v>
      </c>
      <c r="O225" s="1309">
        <f t="shared" si="19"/>
        <v>90000000</v>
      </c>
      <c r="P225" s="1309">
        <f t="shared" si="19"/>
        <v>90000000</v>
      </c>
      <c r="Q225" s="1309">
        <f t="shared" si="19"/>
        <v>90000000</v>
      </c>
      <c r="R225" s="1309">
        <f t="shared" si="19"/>
        <v>90000000</v>
      </c>
      <c r="S225" s="1309">
        <f t="shared" si="19"/>
        <v>90000000</v>
      </c>
      <c r="T225" s="1309">
        <f t="shared" si="19"/>
        <v>90000000</v>
      </c>
      <c r="U225" s="1309">
        <f t="shared" si="19"/>
        <v>90000000</v>
      </c>
      <c r="V225" s="1309">
        <f t="shared" si="19"/>
        <v>90000000</v>
      </c>
      <c r="W225" s="1309">
        <f t="shared" si="19"/>
        <v>90000000</v>
      </c>
      <c r="X225" s="1309">
        <f t="shared" si="19"/>
        <v>90000000</v>
      </c>
      <c r="Y225" s="1309">
        <f t="shared" si="19"/>
        <v>90000000</v>
      </c>
      <c r="Z225" s="1309">
        <f t="shared" si="19"/>
        <v>90000000</v>
      </c>
      <c r="AA225" s="1208"/>
    </row>
    <row r="226" spans="3:27" x14ac:dyDescent="0.2">
      <c r="C226" s="1363">
        <v>8</v>
      </c>
      <c r="D226" s="1363" t="s">
        <v>631</v>
      </c>
      <c r="E226" s="1363"/>
      <c r="F226" s="1203"/>
      <c r="G226" s="1203"/>
      <c r="H226" s="1204" t="s">
        <v>454</v>
      </c>
      <c r="I226" s="1235"/>
      <c r="J226" s="1339"/>
      <c r="K226" s="1369"/>
      <c r="L226" s="1309">
        <f t="shared" ref="L226:Z226" si="20">L210*$J$208*L211*$M$66</f>
        <v>8121648.7395905331</v>
      </c>
      <c r="M226" s="1309">
        <f t="shared" si="20"/>
        <v>10828864.98612071</v>
      </c>
      <c r="N226" s="1309">
        <f t="shared" si="20"/>
        <v>10828864.98612071</v>
      </c>
      <c r="O226" s="1309">
        <f t="shared" si="20"/>
        <v>10828864.98612071</v>
      </c>
      <c r="P226" s="1309">
        <f t="shared" si="20"/>
        <v>10828864.98612071</v>
      </c>
      <c r="Q226" s="1309">
        <f t="shared" si="20"/>
        <v>10828864.98612071</v>
      </c>
      <c r="R226" s="1309">
        <f t="shared" si="20"/>
        <v>10828864.98612071</v>
      </c>
      <c r="S226" s="1309">
        <f t="shared" si="20"/>
        <v>10828864.98612071</v>
      </c>
      <c r="T226" s="1309">
        <f t="shared" si="20"/>
        <v>10828864.98612071</v>
      </c>
      <c r="U226" s="1309">
        <f t="shared" si="20"/>
        <v>10828864.98612071</v>
      </c>
      <c r="V226" s="1309">
        <f t="shared" si="20"/>
        <v>10828864.98612071</v>
      </c>
      <c r="W226" s="1309">
        <f t="shared" si="20"/>
        <v>10828864.98612071</v>
      </c>
      <c r="X226" s="1309">
        <f t="shared" si="20"/>
        <v>10828864.98612071</v>
      </c>
      <c r="Y226" s="1309">
        <f t="shared" si="20"/>
        <v>10828864.98612071</v>
      </c>
      <c r="Z226" s="1309">
        <f t="shared" si="20"/>
        <v>10828864.98612071</v>
      </c>
      <c r="AA226" s="1208"/>
    </row>
    <row r="227" spans="3:27" x14ac:dyDescent="0.2">
      <c r="C227" s="1363">
        <v>8</v>
      </c>
      <c r="D227" s="1363" t="s">
        <v>631</v>
      </c>
      <c r="E227" s="1363"/>
      <c r="F227" s="1203"/>
      <c r="G227" s="1203"/>
      <c r="H227" s="1204" t="s">
        <v>281</v>
      </c>
      <c r="I227" s="1235"/>
      <c r="J227" s="1339"/>
      <c r="K227" s="1369"/>
      <c r="L227" s="1309">
        <f t="shared" ref="L227:Z227" si="21">L210*$J$208*L211*$M$202</f>
        <v>1554614.9277486913</v>
      </c>
      <c r="M227" s="1309">
        <f t="shared" si="21"/>
        <v>2072819.9036649216</v>
      </c>
      <c r="N227" s="1309">
        <f t="shared" si="21"/>
        <v>2072819.9036649216</v>
      </c>
      <c r="O227" s="1309">
        <f t="shared" si="21"/>
        <v>2072819.9036649216</v>
      </c>
      <c r="P227" s="1309">
        <f t="shared" si="21"/>
        <v>2072819.9036649216</v>
      </c>
      <c r="Q227" s="1309">
        <f t="shared" si="21"/>
        <v>2072819.9036649216</v>
      </c>
      <c r="R227" s="1309">
        <f t="shared" si="21"/>
        <v>2072819.9036649216</v>
      </c>
      <c r="S227" s="1309">
        <f t="shared" si="21"/>
        <v>2072819.9036649216</v>
      </c>
      <c r="T227" s="1309">
        <f t="shared" si="21"/>
        <v>2072819.9036649216</v>
      </c>
      <c r="U227" s="1309">
        <f t="shared" si="21"/>
        <v>2072819.9036649216</v>
      </c>
      <c r="V227" s="1309">
        <f t="shared" si="21"/>
        <v>2072819.9036649216</v>
      </c>
      <c r="W227" s="1309">
        <f t="shared" si="21"/>
        <v>2072819.9036649216</v>
      </c>
      <c r="X227" s="1309">
        <f t="shared" si="21"/>
        <v>2072819.9036649216</v>
      </c>
      <c r="Y227" s="1309">
        <f t="shared" si="21"/>
        <v>2072819.9036649216</v>
      </c>
      <c r="Z227" s="1309">
        <f t="shared" si="21"/>
        <v>2072819.9036649216</v>
      </c>
      <c r="AA227" s="1208"/>
    </row>
    <row r="228" spans="3:27" x14ac:dyDescent="0.2">
      <c r="C228" s="1363"/>
      <c r="D228" s="1363"/>
      <c r="E228" s="1363"/>
      <c r="F228" s="1203"/>
      <c r="G228" s="1203"/>
      <c r="H228" s="1204"/>
      <c r="I228" s="1235"/>
      <c r="J228" s="1339"/>
      <c r="K228" s="1369"/>
      <c r="L228" s="1370">
        <f t="shared" ref="L228:Z228" si="22">SUM(L222:L227)</f>
        <v>77176263.667339221</v>
      </c>
      <c r="M228" s="1371">
        <f t="shared" si="22"/>
        <v>102901684.88978563</v>
      </c>
      <c r="N228" s="1371">
        <f t="shared" si="22"/>
        <v>102901684.88978563</v>
      </c>
      <c r="O228" s="1371">
        <f t="shared" si="22"/>
        <v>102901684.88978563</v>
      </c>
      <c r="P228" s="1371">
        <f t="shared" si="22"/>
        <v>102901684.88978563</v>
      </c>
      <c r="Q228" s="1371">
        <f t="shared" si="22"/>
        <v>102901684.88978563</v>
      </c>
      <c r="R228" s="1371">
        <f t="shared" si="22"/>
        <v>102901684.88978563</v>
      </c>
      <c r="S228" s="1371">
        <f t="shared" si="22"/>
        <v>102901684.88978563</v>
      </c>
      <c r="T228" s="1371">
        <f t="shared" si="22"/>
        <v>102901684.88978563</v>
      </c>
      <c r="U228" s="1371">
        <f t="shared" si="22"/>
        <v>102901684.88978563</v>
      </c>
      <c r="V228" s="1371">
        <f t="shared" si="22"/>
        <v>102901684.88978563</v>
      </c>
      <c r="W228" s="1371">
        <f t="shared" si="22"/>
        <v>102901684.88978563</v>
      </c>
      <c r="X228" s="1371">
        <f t="shared" si="22"/>
        <v>102901684.88978563</v>
      </c>
      <c r="Y228" s="1371">
        <f t="shared" si="22"/>
        <v>102901684.88978563</v>
      </c>
      <c r="Z228" s="1372">
        <f t="shared" si="22"/>
        <v>102901684.88978563</v>
      </c>
      <c r="AA228" s="1208"/>
    </row>
    <row r="229" spans="3:27" x14ac:dyDescent="0.2">
      <c r="C229" s="1363"/>
      <c r="D229" s="1363"/>
      <c r="E229" s="1363"/>
      <c r="F229" s="1203"/>
      <c r="G229" s="1203"/>
      <c r="H229" s="1220" t="s">
        <v>282</v>
      </c>
      <c r="I229" s="1243"/>
      <c r="J229" s="1203"/>
      <c r="K229" s="1369"/>
      <c r="AA229" s="1208"/>
    </row>
    <row r="230" spans="3:27" x14ac:dyDescent="0.2">
      <c r="C230" s="1363">
        <v>7</v>
      </c>
      <c r="D230" s="1363" t="s">
        <v>184</v>
      </c>
      <c r="E230" s="1363"/>
      <c r="F230" s="1203"/>
      <c r="G230" s="1203"/>
      <c r="H230" s="1368" t="s">
        <v>452</v>
      </c>
      <c r="I230" s="1243"/>
      <c r="J230" s="1203"/>
      <c r="K230" s="1369"/>
      <c r="L230" s="1309">
        <f>-$M$150*$J$209*L210*L212</f>
        <v>0</v>
      </c>
      <c r="M230" s="1309">
        <f>-$M$150*$J$209*M210*M212</f>
        <v>0</v>
      </c>
      <c r="N230" s="1309">
        <f t="shared" ref="N230:Z230" si="23">-$M$149*$J$209*N210*N212</f>
        <v>0</v>
      </c>
      <c r="O230" s="1309">
        <f t="shared" si="23"/>
        <v>0</v>
      </c>
      <c r="P230" s="1309">
        <f t="shared" si="23"/>
        <v>0</v>
      </c>
      <c r="Q230" s="1309">
        <f t="shared" si="23"/>
        <v>0</v>
      </c>
      <c r="R230" s="1309">
        <f t="shared" si="23"/>
        <v>0</v>
      </c>
      <c r="S230" s="1309">
        <f t="shared" si="23"/>
        <v>0</v>
      </c>
      <c r="T230" s="1309">
        <f t="shared" si="23"/>
        <v>0</v>
      </c>
      <c r="U230" s="1309">
        <f t="shared" si="23"/>
        <v>0</v>
      </c>
      <c r="V230" s="1309">
        <f t="shared" si="23"/>
        <v>0</v>
      </c>
      <c r="W230" s="1309">
        <f t="shared" si="23"/>
        <v>0</v>
      </c>
      <c r="X230" s="1309">
        <f t="shared" si="23"/>
        <v>0</v>
      </c>
      <c r="Y230" s="1309">
        <f t="shared" si="23"/>
        <v>0</v>
      </c>
      <c r="Z230" s="1309">
        <f t="shared" si="23"/>
        <v>0</v>
      </c>
      <c r="AA230" s="1208"/>
    </row>
    <row r="231" spans="3:27" x14ac:dyDescent="0.2">
      <c r="C231" s="1363">
        <v>7</v>
      </c>
      <c r="D231" s="1363" t="s">
        <v>184</v>
      </c>
      <c r="E231" s="1363"/>
      <c r="F231" s="1203"/>
      <c r="G231" s="1203"/>
      <c r="H231" s="1368" t="s">
        <v>453</v>
      </c>
      <c r="I231" s="1243"/>
      <c r="J231" s="1203"/>
      <c r="K231" s="1369"/>
      <c r="L231" s="1309">
        <f>-$M$151*$J$209*L210*L212</f>
        <v>0</v>
      </c>
      <c r="M231" s="1309">
        <f>-$M$151*$J$209*M210*M212</f>
        <v>0</v>
      </c>
      <c r="N231" s="1309">
        <f t="shared" ref="N231:Z231" si="24">-$M$150*$J$209*N210*N212</f>
        <v>0</v>
      </c>
      <c r="O231" s="1309">
        <f t="shared" si="24"/>
        <v>0</v>
      </c>
      <c r="P231" s="1309">
        <f t="shared" si="24"/>
        <v>0</v>
      </c>
      <c r="Q231" s="1309">
        <f t="shared" si="24"/>
        <v>0</v>
      </c>
      <c r="R231" s="1309">
        <f t="shared" si="24"/>
        <v>0</v>
      </c>
      <c r="S231" s="1309">
        <f t="shared" si="24"/>
        <v>0</v>
      </c>
      <c r="T231" s="1309">
        <f t="shared" si="24"/>
        <v>0</v>
      </c>
      <c r="U231" s="1309">
        <f t="shared" si="24"/>
        <v>0</v>
      </c>
      <c r="V231" s="1309">
        <f t="shared" si="24"/>
        <v>0</v>
      </c>
      <c r="W231" s="1309">
        <f t="shared" si="24"/>
        <v>0</v>
      </c>
      <c r="X231" s="1309">
        <f t="shared" si="24"/>
        <v>0</v>
      </c>
      <c r="Y231" s="1309">
        <f t="shared" si="24"/>
        <v>0</v>
      </c>
      <c r="Z231" s="1309">
        <f t="shared" si="24"/>
        <v>0</v>
      </c>
      <c r="AA231" s="1208"/>
    </row>
    <row r="232" spans="3:27" x14ac:dyDescent="0.2">
      <c r="C232" s="1363">
        <v>7</v>
      </c>
      <c r="D232" s="1363" t="s">
        <v>184</v>
      </c>
      <c r="E232" s="1363"/>
      <c r="F232" s="1203"/>
      <c r="G232" s="1203"/>
      <c r="H232" s="1204" t="s">
        <v>392</v>
      </c>
      <c r="I232" s="1243"/>
      <c r="J232" s="1203"/>
      <c r="K232" s="1369"/>
      <c r="L232" s="1309">
        <f>-$M$152*$J$209*L210*L212</f>
        <v>0</v>
      </c>
      <c r="M232" s="1309">
        <f>-$M$152*$J$209*M210*M212</f>
        <v>0</v>
      </c>
      <c r="N232" s="1309">
        <f t="shared" ref="N232:Z232" si="25">-$M$151*$J$209*N210*N212</f>
        <v>0</v>
      </c>
      <c r="O232" s="1309">
        <f t="shared" si="25"/>
        <v>0</v>
      </c>
      <c r="P232" s="1309">
        <f t="shared" si="25"/>
        <v>0</v>
      </c>
      <c r="Q232" s="1309">
        <f t="shared" si="25"/>
        <v>0</v>
      </c>
      <c r="R232" s="1309">
        <f t="shared" si="25"/>
        <v>0</v>
      </c>
      <c r="S232" s="1309">
        <f t="shared" si="25"/>
        <v>0</v>
      </c>
      <c r="T232" s="1309">
        <f t="shared" si="25"/>
        <v>0</v>
      </c>
      <c r="U232" s="1309">
        <f t="shared" si="25"/>
        <v>0</v>
      </c>
      <c r="V232" s="1309">
        <f t="shared" si="25"/>
        <v>0</v>
      </c>
      <c r="W232" s="1309">
        <f t="shared" si="25"/>
        <v>0</v>
      </c>
      <c r="X232" s="1309">
        <f t="shared" si="25"/>
        <v>0</v>
      </c>
      <c r="Y232" s="1309">
        <f t="shared" si="25"/>
        <v>0</v>
      </c>
      <c r="Z232" s="1309">
        <f t="shared" si="25"/>
        <v>0</v>
      </c>
      <c r="AA232" s="1208"/>
    </row>
    <row r="233" spans="3:27" x14ac:dyDescent="0.2">
      <c r="C233" s="1363">
        <v>7</v>
      </c>
      <c r="D233" s="1363" t="s">
        <v>184</v>
      </c>
      <c r="E233" s="1363"/>
      <c r="F233" s="1203"/>
      <c r="G233" s="1203"/>
      <c r="H233" s="1204" t="s">
        <v>454</v>
      </c>
      <c r="I233" s="1243"/>
      <c r="J233" s="1203"/>
      <c r="K233" s="1369"/>
      <c r="L233" s="1309">
        <f>-$M$153*$J$209*L210*L212</f>
        <v>-324865.94958362129</v>
      </c>
      <c r="M233" s="1309">
        <f t="shared" ref="M233:Z233" si="26">-$M$153*$J$209*M210*M212</f>
        <v>-433154.5994448284</v>
      </c>
      <c r="N233" s="1309">
        <f t="shared" si="26"/>
        <v>-433154.5994448284</v>
      </c>
      <c r="O233" s="1309">
        <f t="shared" si="26"/>
        <v>-433154.5994448284</v>
      </c>
      <c r="P233" s="1309">
        <f t="shared" si="26"/>
        <v>-433154.5994448284</v>
      </c>
      <c r="Q233" s="1309">
        <f t="shared" si="26"/>
        <v>-433154.5994448284</v>
      </c>
      <c r="R233" s="1309">
        <f t="shared" si="26"/>
        <v>-433154.5994448284</v>
      </c>
      <c r="S233" s="1309">
        <f t="shared" si="26"/>
        <v>-433154.5994448284</v>
      </c>
      <c r="T233" s="1309">
        <f t="shared" si="26"/>
        <v>-433154.5994448284</v>
      </c>
      <c r="U233" s="1309">
        <f t="shared" si="26"/>
        <v>-433154.5994448284</v>
      </c>
      <c r="V233" s="1309">
        <f t="shared" si="26"/>
        <v>-433154.5994448284</v>
      </c>
      <c r="W233" s="1309">
        <f t="shared" si="26"/>
        <v>-433154.5994448284</v>
      </c>
      <c r="X233" s="1309">
        <f t="shared" si="26"/>
        <v>-433154.5994448284</v>
      </c>
      <c r="Y233" s="1309">
        <f t="shared" si="26"/>
        <v>-433154.5994448284</v>
      </c>
      <c r="Z233" s="1309">
        <f t="shared" si="26"/>
        <v>-433154.5994448284</v>
      </c>
      <c r="AA233" s="1208"/>
    </row>
    <row r="234" spans="3:27" x14ac:dyDescent="0.2">
      <c r="C234" s="1363">
        <v>7</v>
      </c>
      <c r="D234" s="1363" t="s">
        <v>184</v>
      </c>
      <c r="E234" s="1363"/>
      <c r="F234" s="1203"/>
      <c r="G234" s="1203"/>
      <c r="H234" s="1313" t="s">
        <v>280</v>
      </c>
      <c r="I234" s="1243"/>
      <c r="J234" s="1203"/>
      <c r="K234" s="1369"/>
      <c r="L234" s="1309">
        <f>-$M$159*$J$209*L210*L212</f>
        <v>-5695593.75</v>
      </c>
      <c r="M234" s="1309">
        <f t="shared" ref="M234:Z234" si="27">-$M$159*$J$209*M210*M212</f>
        <v>-7594125</v>
      </c>
      <c r="N234" s="1309">
        <f t="shared" si="27"/>
        <v>-7594125</v>
      </c>
      <c r="O234" s="1309">
        <f t="shared" si="27"/>
        <v>-7594125</v>
      </c>
      <c r="P234" s="1309">
        <f t="shared" si="27"/>
        <v>-7594125</v>
      </c>
      <c r="Q234" s="1309">
        <f t="shared" si="27"/>
        <v>-7594125</v>
      </c>
      <c r="R234" s="1309">
        <f t="shared" si="27"/>
        <v>-7594125</v>
      </c>
      <c r="S234" s="1309">
        <f t="shared" si="27"/>
        <v>-7594125</v>
      </c>
      <c r="T234" s="1309">
        <f t="shared" si="27"/>
        <v>-7594125</v>
      </c>
      <c r="U234" s="1309">
        <f t="shared" si="27"/>
        <v>-7594125</v>
      </c>
      <c r="V234" s="1309">
        <f t="shared" si="27"/>
        <v>-7594125</v>
      </c>
      <c r="W234" s="1309">
        <f t="shared" si="27"/>
        <v>-7594125</v>
      </c>
      <c r="X234" s="1309">
        <f t="shared" si="27"/>
        <v>-7594125</v>
      </c>
      <c r="Y234" s="1309">
        <f t="shared" si="27"/>
        <v>-7594125</v>
      </c>
      <c r="Z234" s="1309">
        <f t="shared" si="27"/>
        <v>-7594125</v>
      </c>
      <c r="AA234" s="1208"/>
    </row>
    <row r="235" spans="3:27" x14ac:dyDescent="0.2">
      <c r="C235" s="1363"/>
      <c r="D235" s="1363"/>
      <c r="E235" s="1363"/>
      <c r="F235" s="1203"/>
      <c r="G235" s="1203"/>
      <c r="H235" s="1220" t="s">
        <v>283</v>
      </c>
      <c r="I235" s="1243"/>
      <c r="J235" s="1298"/>
      <c r="K235" s="1373"/>
      <c r="L235" s="1370">
        <f t="shared" ref="L235:Z235" si="28">SUM(L228:L234)</f>
        <v>71155803.967755601</v>
      </c>
      <c r="M235" s="1371">
        <f t="shared" si="28"/>
        <v>94874405.290340811</v>
      </c>
      <c r="N235" s="1371">
        <f t="shared" si="28"/>
        <v>94874405.290340811</v>
      </c>
      <c r="O235" s="1371">
        <f t="shared" si="28"/>
        <v>94874405.290340811</v>
      </c>
      <c r="P235" s="1371">
        <f t="shared" si="28"/>
        <v>94874405.290340811</v>
      </c>
      <c r="Q235" s="1371">
        <f t="shared" si="28"/>
        <v>94874405.290340811</v>
      </c>
      <c r="R235" s="1371">
        <f t="shared" si="28"/>
        <v>94874405.290340811</v>
      </c>
      <c r="S235" s="1371">
        <f t="shared" si="28"/>
        <v>94874405.290340811</v>
      </c>
      <c r="T235" s="1371">
        <f t="shared" si="28"/>
        <v>94874405.290340811</v>
      </c>
      <c r="U235" s="1371">
        <f t="shared" si="28"/>
        <v>94874405.290340811</v>
      </c>
      <c r="V235" s="1371">
        <f t="shared" si="28"/>
        <v>94874405.290340811</v>
      </c>
      <c r="W235" s="1371">
        <f t="shared" si="28"/>
        <v>94874405.290340811</v>
      </c>
      <c r="X235" s="1371">
        <f t="shared" si="28"/>
        <v>94874405.290340811</v>
      </c>
      <c r="Y235" s="1371">
        <f t="shared" si="28"/>
        <v>94874405.290340811</v>
      </c>
      <c r="Z235" s="1372">
        <f t="shared" si="28"/>
        <v>94874405.290340811</v>
      </c>
      <c r="AA235" s="1374"/>
    </row>
    <row r="236" spans="3:27" x14ac:dyDescent="0.2">
      <c r="C236" s="1363"/>
      <c r="D236" s="1363"/>
      <c r="E236" s="1363"/>
      <c r="F236" s="1203"/>
      <c r="G236" s="1203"/>
      <c r="H236" s="1220" t="s">
        <v>284</v>
      </c>
      <c r="I236" s="1243"/>
      <c r="J236" s="1298"/>
      <c r="K236" s="1373"/>
      <c r="L236" s="1309"/>
      <c r="M236" s="1309"/>
      <c r="N236" s="1309"/>
      <c r="O236" s="1309"/>
      <c r="P236" s="1309"/>
      <c r="Q236" s="1309"/>
      <c r="R236" s="1309"/>
      <c r="S236" s="1309"/>
      <c r="T236" s="1309"/>
      <c r="U236" s="1309"/>
      <c r="V236" s="1309"/>
      <c r="W236" s="1309"/>
      <c r="X236" s="1309"/>
      <c r="Y236" s="1309"/>
      <c r="Z236" s="1375"/>
      <c r="AA236" s="1212"/>
    </row>
    <row r="237" spans="3:27" x14ac:dyDescent="0.2">
      <c r="C237" s="1363">
        <v>1</v>
      </c>
      <c r="D237" s="1363" t="str">
        <f>H237</f>
        <v>Feedstock</v>
      </c>
      <c r="E237" s="1363"/>
      <c r="F237" s="1203"/>
      <c r="G237" s="1203"/>
      <c r="H237" s="1204" t="s">
        <v>285</v>
      </c>
      <c r="I237" s="1243"/>
      <c r="J237" s="1298"/>
      <c r="K237" s="1373"/>
      <c r="L237" s="1309">
        <f>-L210*$M$37*$L$212*$J$209</f>
        <v>-30345174.431705847</v>
      </c>
      <c r="M237" s="1309">
        <f t="shared" ref="M237:Z237" si="29">-M210*$M$37*$L$212*$J$209</f>
        <v>-40460232.575607799</v>
      </c>
      <c r="N237" s="1309">
        <f t="shared" si="29"/>
        <v>-40460232.575607799</v>
      </c>
      <c r="O237" s="1309">
        <f t="shared" si="29"/>
        <v>-40460232.575607799</v>
      </c>
      <c r="P237" s="1309">
        <f t="shared" si="29"/>
        <v>-40460232.575607799</v>
      </c>
      <c r="Q237" s="1309">
        <f t="shared" si="29"/>
        <v>-40460232.575607799</v>
      </c>
      <c r="R237" s="1309">
        <f t="shared" si="29"/>
        <v>-40460232.575607799</v>
      </c>
      <c r="S237" s="1309">
        <f t="shared" si="29"/>
        <v>-40460232.575607799</v>
      </c>
      <c r="T237" s="1309">
        <f t="shared" si="29"/>
        <v>-40460232.575607799</v>
      </c>
      <c r="U237" s="1309">
        <f t="shared" si="29"/>
        <v>-40460232.575607799</v>
      </c>
      <c r="V237" s="1309">
        <f t="shared" si="29"/>
        <v>-40460232.575607799</v>
      </c>
      <c r="W237" s="1309">
        <f t="shared" si="29"/>
        <v>-40460232.575607799</v>
      </c>
      <c r="X237" s="1309">
        <f t="shared" si="29"/>
        <v>-40460232.575607799</v>
      </c>
      <c r="Y237" s="1309">
        <f t="shared" si="29"/>
        <v>-40460232.575607799</v>
      </c>
      <c r="Z237" s="1309">
        <f t="shared" si="29"/>
        <v>-40460232.575607799</v>
      </c>
      <c r="AA237" s="1309"/>
    </row>
    <row r="238" spans="3:27" x14ac:dyDescent="0.2">
      <c r="C238" s="1363">
        <v>2</v>
      </c>
      <c r="D238" s="1363" t="str">
        <f>H238</f>
        <v>Chemicals</v>
      </c>
      <c r="E238" s="1363"/>
      <c r="F238" s="1203"/>
      <c r="G238" s="1203"/>
      <c r="H238" s="1204" t="s">
        <v>86</v>
      </c>
      <c r="I238" s="1243"/>
      <c r="J238" s="1298"/>
      <c r="K238" s="1373"/>
      <c r="L238" s="1309">
        <f t="shared" ref="L238:Z238" si="30">-L$210*$M$109*L$212*$J$209</f>
        <v>-2035482.8558044969</v>
      </c>
      <c r="M238" s="1309">
        <f t="shared" si="30"/>
        <v>-2713977.1410726625</v>
      </c>
      <c r="N238" s="1309">
        <f t="shared" si="30"/>
        <v>-2713977.1410726625</v>
      </c>
      <c r="O238" s="1309">
        <f t="shared" si="30"/>
        <v>-2713977.1410726625</v>
      </c>
      <c r="P238" s="1309">
        <f t="shared" si="30"/>
        <v>-2713977.1410726625</v>
      </c>
      <c r="Q238" s="1309">
        <f t="shared" si="30"/>
        <v>-2713977.1410726625</v>
      </c>
      <c r="R238" s="1309">
        <f t="shared" si="30"/>
        <v>-2713977.1410726625</v>
      </c>
      <c r="S238" s="1309">
        <f t="shared" si="30"/>
        <v>-2713977.1410726625</v>
      </c>
      <c r="T238" s="1309">
        <f t="shared" si="30"/>
        <v>-2713977.1410726625</v>
      </c>
      <c r="U238" s="1309">
        <f t="shared" si="30"/>
        <v>-2713977.1410726625</v>
      </c>
      <c r="V238" s="1309">
        <f t="shared" si="30"/>
        <v>-2713977.1410726625</v>
      </c>
      <c r="W238" s="1309">
        <f t="shared" si="30"/>
        <v>-2713977.1410726625</v>
      </c>
      <c r="X238" s="1309">
        <f t="shared" si="30"/>
        <v>-2713977.1410726625</v>
      </c>
      <c r="Y238" s="1309">
        <f t="shared" si="30"/>
        <v>-2713977.1410726625</v>
      </c>
      <c r="Z238" s="1309">
        <f t="shared" si="30"/>
        <v>-2713977.1410726625</v>
      </c>
      <c r="AA238" s="1220"/>
    </row>
    <row r="239" spans="3:27" x14ac:dyDescent="0.2">
      <c r="C239" s="1363">
        <v>3</v>
      </c>
      <c r="D239" s="1363" t="s">
        <v>129</v>
      </c>
      <c r="E239" s="1363"/>
      <c r="F239" s="1203"/>
      <c r="G239" s="1203"/>
      <c r="H239" s="1204" t="s">
        <v>139</v>
      </c>
      <c r="I239" s="1243"/>
      <c r="J239" s="1298"/>
      <c r="K239" s="1373"/>
      <c r="L239" s="1309">
        <f t="shared" ref="L239:Z239" si="31">-L$210*$M$132*L$212*$J$209</f>
        <v>-2047500</v>
      </c>
      <c r="M239" s="1309">
        <f t="shared" si="31"/>
        <v>-2730000</v>
      </c>
      <c r="N239" s="1309">
        <f t="shared" si="31"/>
        <v>-2730000</v>
      </c>
      <c r="O239" s="1309">
        <f t="shared" si="31"/>
        <v>-2730000</v>
      </c>
      <c r="P239" s="1309">
        <f t="shared" si="31"/>
        <v>-2730000</v>
      </c>
      <c r="Q239" s="1309">
        <f t="shared" si="31"/>
        <v>-2730000</v>
      </c>
      <c r="R239" s="1309">
        <f t="shared" si="31"/>
        <v>-2730000</v>
      </c>
      <c r="S239" s="1309">
        <f t="shared" si="31"/>
        <v>-2730000</v>
      </c>
      <c r="T239" s="1309">
        <f t="shared" si="31"/>
        <v>-2730000</v>
      </c>
      <c r="U239" s="1309">
        <f t="shared" si="31"/>
        <v>-2730000</v>
      </c>
      <c r="V239" s="1309">
        <f t="shared" si="31"/>
        <v>-2730000</v>
      </c>
      <c r="W239" s="1309">
        <f t="shared" si="31"/>
        <v>-2730000</v>
      </c>
      <c r="X239" s="1309">
        <f t="shared" si="31"/>
        <v>-2730000</v>
      </c>
      <c r="Y239" s="1309">
        <f t="shared" si="31"/>
        <v>-2730000</v>
      </c>
      <c r="Z239" s="1309">
        <f t="shared" si="31"/>
        <v>-2730000</v>
      </c>
      <c r="AA239" s="1220"/>
    </row>
    <row r="240" spans="3:27" x14ac:dyDescent="0.2">
      <c r="C240" s="1363">
        <v>3</v>
      </c>
      <c r="D240" s="1363" t="s">
        <v>129</v>
      </c>
      <c r="E240" s="1363"/>
      <c r="F240" s="1203"/>
      <c r="G240" s="1203"/>
      <c r="H240" s="1204" t="s">
        <v>286</v>
      </c>
      <c r="I240" s="1243"/>
      <c r="J240" s="1298"/>
      <c r="K240" s="1373"/>
      <c r="L240" s="1309">
        <f t="shared" ref="L240:Z240" si="32">-L$210*SUM($M$145,$M$118)*L$212*$J$209</f>
        <v>-2263490.4386661565</v>
      </c>
      <c r="M240" s="1309">
        <f t="shared" si="32"/>
        <v>-3017987.2515548752</v>
      </c>
      <c r="N240" s="1309">
        <f t="shared" si="32"/>
        <v>-3017987.2515548752</v>
      </c>
      <c r="O240" s="1309">
        <f t="shared" si="32"/>
        <v>-3017987.2515548752</v>
      </c>
      <c r="P240" s="1309">
        <f t="shared" si="32"/>
        <v>-3017987.2515548752</v>
      </c>
      <c r="Q240" s="1309">
        <f t="shared" si="32"/>
        <v>-3017987.2515548752</v>
      </c>
      <c r="R240" s="1309">
        <f t="shared" si="32"/>
        <v>-3017987.2515548752</v>
      </c>
      <c r="S240" s="1309">
        <f t="shared" si="32"/>
        <v>-3017987.2515548752</v>
      </c>
      <c r="T240" s="1309">
        <f t="shared" si="32"/>
        <v>-3017987.2515548752</v>
      </c>
      <c r="U240" s="1309">
        <f t="shared" si="32"/>
        <v>-3017987.2515548752</v>
      </c>
      <c r="V240" s="1309">
        <f t="shared" si="32"/>
        <v>-3017987.2515548752</v>
      </c>
      <c r="W240" s="1309">
        <f t="shared" si="32"/>
        <v>-3017987.2515548752</v>
      </c>
      <c r="X240" s="1309">
        <f t="shared" si="32"/>
        <v>-3017987.2515548752</v>
      </c>
      <c r="Y240" s="1309">
        <f t="shared" si="32"/>
        <v>-3017987.2515548752</v>
      </c>
      <c r="Z240" s="1309">
        <f t="shared" si="32"/>
        <v>-3017987.2515548752</v>
      </c>
      <c r="AA240" s="1220"/>
    </row>
    <row r="241" spans="1:27" x14ac:dyDescent="0.2">
      <c r="C241" s="1363">
        <v>4</v>
      </c>
      <c r="D241" s="1363" t="s">
        <v>218</v>
      </c>
      <c r="E241" s="1363"/>
      <c r="F241" s="1203"/>
      <c r="G241" s="1203"/>
      <c r="H241" s="1204" t="s">
        <v>218</v>
      </c>
      <c r="I241" s="1243"/>
      <c r="J241" s="1298"/>
      <c r="K241" s="1373"/>
      <c r="L241" s="1309">
        <f t="shared" ref="L241:Z241" si="33">-L$210*$M$168*L$212*$J$209</f>
        <v>-2393550</v>
      </c>
      <c r="M241" s="1309">
        <f t="shared" si="33"/>
        <v>-3191400</v>
      </c>
      <c r="N241" s="1309">
        <f t="shared" si="33"/>
        <v>-3191400</v>
      </c>
      <c r="O241" s="1309">
        <f t="shared" si="33"/>
        <v>-3191400</v>
      </c>
      <c r="P241" s="1309">
        <f t="shared" si="33"/>
        <v>-3191400</v>
      </c>
      <c r="Q241" s="1309">
        <f t="shared" si="33"/>
        <v>-3191400</v>
      </c>
      <c r="R241" s="1309">
        <f t="shared" si="33"/>
        <v>-3191400</v>
      </c>
      <c r="S241" s="1309">
        <f t="shared" si="33"/>
        <v>-3191400</v>
      </c>
      <c r="T241" s="1309">
        <f t="shared" si="33"/>
        <v>-3191400</v>
      </c>
      <c r="U241" s="1309">
        <f t="shared" si="33"/>
        <v>-3191400</v>
      </c>
      <c r="V241" s="1309">
        <f t="shared" si="33"/>
        <v>-3191400</v>
      </c>
      <c r="W241" s="1309">
        <f t="shared" si="33"/>
        <v>-3191400</v>
      </c>
      <c r="X241" s="1309">
        <f t="shared" si="33"/>
        <v>-3191400</v>
      </c>
      <c r="Y241" s="1309">
        <f t="shared" si="33"/>
        <v>-3191400</v>
      </c>
      <c r="Z241" s="1309">
        <f t="shared" si="33"/>
        <v>-3191400</v>
      </c>
      <c r="AA241" s="1220"/>
    </row>
    <row r="242" spans="1:27" x14ac:dyDescent="0.2">
      <c r="C242" s="1363">
        <v>5</v>
      </c>
      <c r="D242" s="1363" t="s">
        <v>287</v>
      </c>
      <c r="E242" s="1363"/>
      <c r="F242" s="1203"/>
      <c r="G242" s="1203"/>
      <c r="H242" s="1204" t="s">
        <v>190</v>
      </c>
      <c r="I242" s="1243"/>
      <c r="J242" s="1298"/>
      <c r="K242" s="1373"/>
      <c r="L242" s="1309">
        <f>-$M$184*$L$212*$J$209*L210</f>
        <v>-2182500</v>
      </c>
      <c r="M242" s="1309">
        <f t="shared" ref="M242:Z242" si="34">-$M$184*$L$212*$J$209*M210</f>
        <v>-2910000</v>
      </c>
      <c r="N242" s="1309">
        <f t="shared" si="34"/>
        <v>-2910000</v>
      </c>
      <c r="O242" s="1309">
        <f t="shared" si="34"/>
        <v>-2910000</v>
      </c>
      <c r="P242" s="1309">
        <f t="shared" si="34"/>
        <v>-2910000</v>
      </c>
      <c r="Q242" s="1309">
        <f t="shared" si="34"/>
        <v>-2910000</v>
      </c>
      <c r="R242" s="1309">
        <f t="shared" si="34"/>
        <v>-2910000</v>
      </c>
      <c r="S242" s="1309">
        <f t="shared" si="34"/>
        <v>-2910000</v>
      </c>
      <c r="T242" s="1309">
        <f t="shared" si="34"/>
        <v>-2910000</v>
      </c>
      <c r="U242" s="1309">
        <f t="shared" si="34"/>
        <v>-2910000</v>
      </c>
      <c r="V242" s="1309">
        <f t="shared" si="34"/>
        <v>-2910000</v>
      </c>
      <c r="W242" s="1309">
        <f t="shared" si="34"/>
        <v>-2910000</v>
      </c>
      <c r="X242" s="1309">
        <f t="shared" si="34"/>
        <v>-2910000</v>
      </c>
      <c r="Y242" s="1309">
        <f t="shared" si="34"/>
        <v>-2910000</v>
      </c>
      <c r="Z242" s="1309">
        <f t="shared" si="34"/>
        <v>-2910000</v>
      </c>
      <c r="AA242" s="1220"/>
    </row>
    <row r="243" spans="1:27" x14ac:dyDescent="0.2">
      <c r="C243" s="1363">
        <v>6</v>
      </c>
      <c r="D243" s="1363" t="s">
        <v>448</v>
      </c>
      <c r="E243" s="1363"/>
      <c r="F243" s="1203"/>
      <c r="G243" s="1203"/>
      <c r="H243" s="1204" t="s">
        <v>288</v>
      </c>
      <c r="I243" s="1243"/>
      <c r="J243" s="1298"/>
      <c r="K243" s="1373"/>
      <c r="L243" s="1309">
        <f>-L$210*$M194*L$212*$J$209</f>
        <v>-1330275</v>
      </c>
      <c r="M243" s="1309">
        <f t="shared" ref="M243:Z243" si="35">-M$210*$M194*M$212*$J$209</f>
        <v>-1773700</v>
      </c>
      <c r="N243" s="1309">
        <f t="shared" si="35"/>
        <v>-1773700</v>
      </c>
      <c r="O243" s="1309">
        <f t="shared" si="35"/>
        <v>-1773700</v>
      </c>
      <c r="P243" s="1309">
        <f t="shared" si="35"/>
        <v>-1773700</v>
      </c>
      <c r="Q243" s="1309">
        <f t="shared" si="35"/>
        <v>-1773700</v>
      </c>
      <c r="R243" s="1309">
        <f t="shared" si="35"/>
        <v>-1773700</v>
      </c>
      <c r="S243" s="1309">
        <f t="shared" si="35"/>
        <v>-1773700</v>
      </c>
      <c r="T243" s="1309">
        <f t="shared" si="35"/>
        <v>-1773700</v>
      </c>
      <c r="U243" s="1309">
        <f t="shared" si="35"/>
        <v>-1773700</v>
      </c>
      <c r="V243" s="1309">
        <f t="shared" si="35"/>
        <v>-1773700</v>
      </c>
      <c r="W243" s="1309">
        <f t="shared" si="35"/>
        <v>-1773700</v>
      </c>
      <c r="X243" s="1309">
        <f t="shared" si="35"/>
        <v>-1773700</v>
      </c>
      <c r="Y243" s="1309">
        <f t="shared" si="35"/>
        <v>-1773700</v>
      </c>
      <c r="Z243" s="1309">
        <f t="shared" si="35"/>
        <v>-1773700</v>
      </c>
      <c r="AA243" s="1220"/>
    </row>
    <row r="244" spans="1:27" x14ac:dyDescent="0.2">
      <c r="C244" s="1363"/>
      <c r="D244" s="1363"/>
      <c r="E244" s="1363"/>
      <c r="F244" s="1203"/>
      <c r="G244" s="1203"/>
      <c r="H244" s="1204" t="s">
        <v>289</v>
      </c>
      <c r="I244" s="1243"/>
      <c r="J244" s="1298"/>
      <c r="K244" s="1373"/>
      <c r="L244" s="1309"/>
      <c r="M244" s="1309"/>
      <c r="N244" s="1309"/>
      <c r="O244" s="1309"/>
      <c r="P244" s="1309"/>
      <c r="Q244" s="1309"/>
      <c r="R244" s="1309"/>
      <c r="S244" s="1309"/>
      <c r="T244" s="1309"/>
      <c r="U244" s="1309"/>
      <c r="V244" s="1309"/>
      <c r="W244" s="1309"/>
      <c r="X244" s="1309"/>
      <c r="Y244" s="1309"/>
      <c r="Z244" s="1375"/>
      <c r="AA244" s="1220"/>
    </row>
    <row r="245" spans="1:27" x14ac:dyDescent="0.2">
      <c r="C245" s="1363"/>
      <c r="D245" s="1363"/>
      <c r="E245" s="1363"/>
      <c r="F245" s="1203"/>
      <c r="G245" s="1203"/>
      <c r="H245" s="1313" t="s">
        <v>247</v>
      </c>
      <c r="I245" s="1243"/>
      <c r="J245" s="1298"/>
      <c r="K245" s="1373"/>
      <c r="L245" s="1212"/>
      <c r="M245" s="1220"/>
      <c r="N245" s="1265"/>
      <c r="O245" s="1265"/>
      <c r="P245" s="1265"/>
      <c r="Q245" s="1265"/>
      <c r="R245" s="1265"/>
      <c r="S245" s="1265"/>
      <c r="T245" s="1265"/>
      <c r="U245" s="1265"/>
      <c r="V245" s="1265"/>
      <c r="W245" s="1265"/>
      <c r="X245" s="1265"/>
      <c r="Y245" s="1265"/>
      <c r="Z245" s="1223"/>
      <c r="AA245" s="1220"/>
    </row>
    <row r="246" spans="1:27" x14ac:dyDescent="0.2">
      <c r="A246" s="1107" t="s">
        <v>715</v>
      </c>
      <c r="B246" s="1107" t="s">
        <v>275</v>
      </c>
      <c r="C246" s="1363">
        <v>4</v>
      </c>
      <c r="D246" s="1363" t="s">
        <v>218</v>
      </c>
      <c r="E246" s="1363"/>
      <c r="F246" s="1203"/>
      <c r="G246" s="1203"/>
      <c r="H246" s="1204" t="s">
        <v>275</v>
      </c>
      <c r="I246" s="1243"/>
      <c r="J246" s="1298"/>
      <c r="K246" s="1373"/>
      <c r="L246" s="1309">
        <f>-L267*10^6</f>
        <v>-1471800</v>
      </c>
      <c r="M246" s="1309">
        <f t="shared" ref="M246:Z246" si="36">-M267*10^6</f>
        <v>-1471800</v>
      </c>
      <c r="N246" s="1309">
        <f t="shared" si="36"/>
        <v>-1471800</v>
      </c>
      <c r="O246" s="1309">
        <f t="shared" si="36"/>
        <v>-1471800</v>
      </c>
      <c r="P246" s="1309">
        <f t="shared" si="36"/>
        <v>-1471800</v>
      </c>
      <c r="Q246" s="1309">
        <f t="shared" si="36"/>
        <v>-1471800</v>
      </c>
      <c r="R246" s="1309">
        <f t="shared" si="36"/>
        <v>-1471800</v>
      </c>
      <c r="S246" s="1309">
        <f t="shared" si="36"/>
        <v>-1471800</v>
      </c>
      <c r="T246" s="1309">
        <f t="shared" si="36"/>
        <v>-1471800</v>
      </c>
      <c r="U246" s="1309">
        <f t="shared" si="36"/>
        <v>-1471800</v>
      </c>
      <c r="V246" s="1309">
        <f t="shared" si="36"/>
        <v>-1471800</v>
      </c>
      <c r="W246" s="1309">
        <f t="shared" si="36"/>
        <v>-1471800</v>
      </c>
      <c r="X246" s="1309">
        <f t="shared" si="36"/>
        <v>-1471800</v>
      </c>
      <c r="Y246" s="1309">
        <f t="shared" si="36"/>
        <v>-1471800</v>
      </c>
      <c r="Z246" s="1309">
        <f t="shared" si="36"/>
        <v>-1471800</v>
      </c>
      <c r="AA246" s="1220"/>
    </row>
    <row r="247" spans="1:27" x14ac:dyDescent="0.2">
      <c r="C247" s="1363"/>
      <c r="D247" s="1363"/>
      <c r="E247" s="1363"/>
      <c r="F247" s="1203"/>
      <c r="G247" s="1203"/>
      <c r="H247" s="1220" t="s">
        <v>290</v>
      </c>
      <c r="I247" s="1243"/>
      <c r="J247" s="1298"/>
      <c r="K247" s="1373"/>
      <c r="L247" s="1376">
        <f t="shared" ref="L247:Z247" si="37">SUM(L235:L245)</f>
        <v>28557831.2415791</v>
      </c>
      <c r="M247" s="1376">
        <f t="shared" si="37"/>
        <v>38077108.322105475</v>
      </c>
      <c r="N247" s="1376">
        <f t="shared" si="37"/>
        <v>38077108.322105475</v>
      </c>
      <c r="O247" s="1376">
        <f t="shared" si="37"/>
        <v>38077108.322105475</v>
      </c>
      <c r="P247" s="1376">
        <f t="shared" si="37"/>
        <v>38077108.322105475</v>
      </c>
      <c r="Q247" s="1376">
        <f t="shared" si="37"/>
        <v>38077108.322105475</v>
      </c>
      <c r="R247" s="1376">
        <f t="shared" si="37"/>
        <v>38077108.322105475</v>
      </c>
      <c r="S247" s="1376">
        <f t="shared" si="37"/>
        <v>38077108.322105475</v>
      </c>
      <c r="T247" s="1376">
        <f t="shared" si="37"/>
        <v>38077108.322105475</v>
      </c>
      <c r="U247" s="1376">
        <f t="shared" si="37"/>
        <v>38077108.322105475</v>
      </c>
      <c r="V247" s="1376">
        <f t="shared" si="37"/>
        <v>38077108.322105475</v>
      </c>
      <c r="W247" s="1376">
        <f t="shared" si="37"/>
        <v>38077108.322105475</v>
      </c>
      <c r="X247" s="1376">
        <f t="shared" si="37"/>
        <v>38077108.322105475</v>
      </c>
      <c r="Y247" s="1376">
        <f t="shared" si="37"/>
        <v>38077108.322105475</v>
      </c>
      <c r="Z247" s="1376">
        <f t="shared" si="37"/>
        <v>38077108.322105475</v>
      </c>
      <c r="AA247" s="1220"/>
    </row>
    <row r="248" spans="1:27" x14ac:dyDescent="0.2">
      <c r="C248" s="1363"/>
      <c r="D248" s="1363"/>
      <c r="E248" s="1363"/>
      <c r="F248" s="1203"/>
      <c r="G248" s="1203"/>
      <c r="H248" s="1192"/>
      <c r="I248" s="1243"/>
      <c r="J248" s="1203"/>
      <c r="K248" s="1369"/>
      <c r="L248" s="1216"/>
      <c r="M248" s="1192"/>
      <c r="N248" s="1211"/>
      <c r="O248" s="1211"/>
      <c r="P248" s="1211"/>
      <c r="Q248" s="1211"/>
      <c r="R248" s="1211"/>
      <c r="S248" s="1211"/>
      <c r="T248" s="1211"/>
      <c r="U248" s="1211"/>
      <c r="V248" s="1211"/>
      <c r="W248" s="1211"/>
      <c r="X248" s="1211"/>
      <c r="Y248" s="1211"/>
      <c r="Z248" s="1209"/>
    </row>
    <row r="249" spans="1:27" x14ac:dyDescent="0.2">
      <c r="F249" s="1203"/>
      <c r="G249" s="1196">
        <v>14</v>
      </c>
      <c r="H249" s="1275" t="s">
        <v>291</v>
      </c>
      <c r="I249" s="1276" t="s">
        <v>21</v>
      </c>
      <c r="J249" s="1360" t="s">
        <v>249</v>
      </c>
      <c r="K249" s="1361" t="s">
        <v>250</v>
      </c>
      <c r="L249" s="1198" t="s">
        <v>251</v>
      </c>
      <c r="M249" s="1198" t="s">
        <v>252</v>
      </c>
      <c r="N249" s="1362" t="s">
        <v>253</v>
      </c>
      <c r="O249" s="1362" t="s">
        <v>254</v>
      </c>
      <c r="P249" s="1362" t="s">
        <v>255</v>
      </c>
      <c r="Q249" s="1362" t="s">
        <v>256</v>
      </c>
      <c r="R249" s="1362" t="s">
        <v>257</v>
      </c>
      <c r="S249" s="1362" t="s">
        <v>258</v>
      </c>
      <c r="T249" s="1362" t="s">
        <v>259</v>
      </c>
      <c r="U249" s="1362" t="s">
        <v>260</v>
      </c>
      <c r="V249" s="1362" t="s">
        <v>261</v>
      </c>
      <c r="W249" s="1362" t="s">
        <v>262</v>
      </c>
      <c r="X249" s="1362" t="s">
        <v>263</v>
      </c>
      <c r="Y249" s="1362" t="s">
        <v>264</v>
      </c>
      <c r="Z249" s="1200" t="s">
        <v>265</v>
      </c>
    </row>
    <row r="250" spans="1:27" x14ac:dyDescent="0.2">
      <c r="E250" s="1107" t="s">
        <v>484</v>
      </c>
      <c r="F250" s="1192"/>
      <c r="G250" s="1203"/>
      <c r="H250" s="1204" t="s">
        <v>455</v>
      </c>
      <c r="I250" s="1326">
        <v>0</v>
      </c>
      <c r="J250" s="1377">
        <f>J$216*$I250*$J$212*$J$215*($J$15/$J$213)^$J$214</f>
        <v>0</v>
      </c>
      <c r="K250" s="1378">
        <f>K$216*$I250*$J$212*$J$215*($J$15/$J$213)^$J$214</f>
        <v>0</v>
      </c>
      <c r="L250" s="1216"/>
      <c r="M250" s="1192"/>
      <c r="N250" s="1211"/>
      <c r="O250" s="1211"/>
      <c r="P250" s="1211"/>
      <c r="Q250" s="1211"/>
      <c r="R250" s="1211"/>
      <c r="S250" s="1211"/>
      <c r="T250" s="1211"/>
      <c r="U250" s="1211"/>
      <c r="V250" s="1211"/>
      <c r="W250" s="1211"/>
      <c r="X250" s="1211"/>
      <c r="Y250" s="1211"/>
      <c r="Z250" s="1209"/>
    </row>
    <row r="251" spans="1:27" x14ac:dyDescent="0.2">
      <c r="E251" s="1107">
        <v>0</v>
      </c>
      <c r="F251" s="1192"/>
      <c r="G251" s="1203"/>
      <c r="H251" s="1204" t="s">
        <v>456</v>
      </c>
      <c r="I251" s="1326">
        <v>0</v>
      </c>
      <c r="J251" s="1377">
        <f t="shared" ref="J251:K261" si="38">J$216*$I251*$J$212*$J$215*($J$15/$J$213)^$J$214</f>
        <v>0</v>
      </c>
      <c r="K251" s="1378">
        <f t="shared" si="38"/>
        <v>0</v>
      </c>
      <c r="L251" s="1216"/>
      <c r="M251" s="1192"/>
      <c r="N251" s="1211"/>
      <c r="O251" s="1211"/>
      <c r="P251" s="1211"/>
      <c r="Q251" s="1211"/>
      <c r="R251" s="1211"/>
      <c r="S251" s="1211"/>
      <c r="T251" s="1211"/>
      <c r="U251" s="1211"/>
      <c r="V251" s="1211"/>
      <c r="W251" s="1211"/>
      <c r="X251" s="1211"/>
      <c r="Y251" s="1211"/>
      <c r="Z251" s="1209"/>
    </row>
    <row r="252" spans="1:27" x14ac:dyDescent="0.2">
      <c r="E252" s="1107">
        <v>0</v>
      </c>
      <c r="F252" s="1192"/>
      <c r="G252" s="1203"/>
      <c r="H252" s="1204" t="s">
        <v>457</v>
      </c>
      <c r="I252" s="1326">
        <v>0</v>
      </c>
      <c r="J252" s="1377">
        <f t="shared" si="38"/>
        <v>0</v>
      </c>
      <c r="K252" s="1378">
        <f t="shared" si="38"/>
        <v>0</v>
      </c>
      <c r="L252" s="1216"/>
      <c r="M252" s="1192"/>
      <c r="N252" s="1211"/>
      <c r="O252" s="1211"/>
      <c r="P252" s="1211"/>
      <c r="Q252" s="1211"/>
      <c r="R252" s="1211"/>
      <c r="S252" s="1211"/>
      <c r="T252" s="1211"/>
      <c r="U252" s="1211"/>
      <c r="V252" s="1211"/>
      <c r="W252" s="1211"/>
      <c r="X252" s="1211"/>
      <c r="Y252" s="1211"/>
      <c r="Z252" s="1209"/>
    </row>
    <row r="253" spans="1:27" x14ac:dyDescent="0.2">
      <c r="E253" s="1107">
        <v>1</v>
      </c>
      <c r="F253" s="1192"/>
      <c r="G253" s="1203"/>
      <c r="H253" s="1204" t="s">
        <v>458</v>
      </c>
      <c r="I253" s="1326">
        <v>8</v>
      </c>
      <c r="J253" s="1377">
        <f t="shared" si="38"/>
        <v>3.2</v>
      </c>
      <c r="K253" s="1378">
        <f t="shared" si="38"/>
        <v>4.8</v>
      </c>
      <c r="L253" s="1216"/>
      <c r="M253" s="1192"/>
      <c r="N253" s="1211"/>
      <c r="O253" s="1211"/>
      <c r="P253" s="1211"/>
      <c r="Q253" s="1211"/>
      <c r="R253" s="1211"/>
      <c r="S253" s="1211"/>
      <c r="T253" s="1211"/>
      <c r="U253" s="1211"/>
      <c r="V253" s="1211"/>
      <c r="W253" s="1211"/>
      <c r="X253" s="1211"/>
      <c r="Y253" s="1211"/>
      <c r="Z253" s="1209"/>
    </row>
    <row r="254" spans="1:27" x14ac:dyDescent="0.2">
      <c r="E254" s="1107">
        <v>1</v>
      </c>
      <c r="F254" s="1192"/>
      <c r="G254" s="1203"/>
      <c r="H254" s="1204" t="s">
        <v>293</v>
      </c>
      <c r="I254" s="1326">
        <v>18</v>
      </c>
      <c r="J254" s="1377">
        <f t="shared" si="38"/>
        <v>7.2</v>
      </c>
      <c r="K254" s="1378">
        <f t="shared" si="38"/>
        <v>10.799999999999999</v>
      </c>
      <c r="L254" s="1216"/>
      <c r="M254" s="1192"/>
      <c r="N254" s="1211"/>
      <c r="O254" s="1211"/>
      <c r="P254" s="1211"/>
      <c r="Q254" s="1211"/>
      <c r="R254" s="1211"/>
      <c r="S254" s="1211"/>
      <c r="T254" s="1211"/>
      <c r="U254" s="1211"/>
      <c r="V254" s="1211"/>
      <c r="W254" s="1211"/>
      <c r="X254" s="1211"/>
      <c r="Y254" s="1211"/>
      <c r="Z254" s="1209"/>
    </row>
    <row r="255" spans="1:27" x14ac:dyDescent="0.2">
      <c r="E255" s="1107">
        <v>1</v>
      </c>
      <c r="F255" s="1192"/>
      <c r="G255" s="1203"/>
      <c r="H255" s="1204" t="s">
        <v>294</v>
      </c>
      <c r="I255" s="1326">
        <v>23</v>
      </c>
      <c r="J255" s="1377">
        <f t="shared" si="38"/>
        <v>9.2000000000000011</v>
      </c>
      <c r="K255" s="1378">
        <f t="shared" si="38"/>
        <v>13.799999999999999</v>
      </c>
      <c r="L255" s="1216"/>
      <c r="M255" s="1192"/>
      <c r="N255" s="1211"/>
      <c r="O255" s="1211"/>
      <c r="P255" s="1211"/>
      <c r="Q255" s="1211"/>
      <c r="R255" s="1211"/>
      <c r="S255" s="1211"/>
      <c r="T255" s="1211"/>
      <c r="U255" s="1211"/>
      <c r="V255" s="1211"/>
      <c r="W255" s="1211"/>
      <c r="X255" s="1211"/>
      <c r="Y255" s="1211"/>
      <c r="Z255" s="1209"/>
    </row>
    <row r="256" spans="1:27" x14ac:dyDescent="0.2">
      <c r="E256" s="1107">
        <v>1</v>
      </c>
      <c r="F256" s="1192"/>
      <c r="G256" s="1203"/>
      <c r="H256" s="1204" t="s">
        <v>295</v>
      </c>
      <c r="I256" s="1326">
        <v>5</v>
      </c>
      <c r="J256" s="1377">
        <f t="shared" si="38"/>
        <v>2</v>
      </c>
      <c r="K256" s="1378">
        <f t="shared" si="38"/>
        <v>3</v>
      </c>
      <c r="L256" s="1216"/>
      <c r="M256" s="1192"/>
      <c r="N256" s="1211"/>
      <c r="O256" s="1211"/>
      <c r="P256" s="1211"/>
      <c r="Q256" s="1211"/>
      <c r="R256" s="1211"/>
      <c r="S256" s="1211"/>
      <c r="T256" s="1211"/>
      <c r="U256" s="1211"/>
      <c r="V256" s="1211"/>
      <c r="W256" s="1211"/>
      <c r="X256" s="1211"/>
      <c r="Y256" s="1211"/>
      <c r="Z256" s="1209"/>
    </row>
    <row r="257" spans="3:27" x14ac:dyDescent="0.2">
      <c r="E257" s="1107">
        <v>1</v>
      </c>
      <c r="F257" s="1192"/>
      <c r="G257" s="1203"/>
      <c r="H257" s="1204" t="s">
        <v>459</v>
      </c>
      <c r="I257" s="1326">
        <v>14</v>
      </c>
      <c r="J257" s="1377">
        <f t="shared" si="38"/>
        <v>5.6000000000000005</v>
      </c>
      <c r="K257" s="1378">
        <f t="shared" si="38"/>
        <v>8.4</v>
      </c>
      <c r="L257" s="1216"/>
      <c r="M257" s="1192"/>
      <c r="N257" s="1211"/>
      <c r="O257" s="1211"/>
      <c r="P257" s="1211"/>
      <c r="Q257" s="1211"/>
      <c r="R257" s="1211"/>
      <c r="S257" s="1211"/>
      <c r="T257" s="1211"/>
      <c r="U257" s="1211"/>
      <c r="V257" s="1211"/>
      <c r="W257" s="1211"/>
      <c r="X257" s="1211"/>
      <c r="Y257" s="1211"/>
      <c r="Z257" s="1209"/>
    </row>
    <row r="258" spans="3:27" x14ac:dyDescent="0.2">
      <c r="E258" s="1107">
        <v>1</v>
      </c>
      <c r="F258" s="1192"/>
      <c r="G258" s="1203"/>
      <c r="H258" s="1204" t="s">
        <v>460</v>
      </c>
      <c r="I258" s="1326">
        <v>0</v>
      </c>
      <c r="J258" s="1377">
        <f t="shared" si="38"/>
        <v>0</v>
      </c>
      <c r="K258" s="1378">
        <f t="shared" si="38"/>
        <v>0</v>
      </c>
      <c r="L258" s="1216"/>
      <c r="M258" s="1192"/>
      <c r="N258" s="1211"/>
      <c r="O258" s="1211"/>
      <c r="P258" s="1211"/>
      <c r="Q258" s="1211"/>
      <c r="R258" s="1211"/>
      <c r="S258" s="1211"/>
      <c r="T258" s="1211"/>
      <c r="U258" s="1211"/>
      <c r="V258" s="1211"/>
      <c r="W258" s="1211"/>
      <c r="X258" s="1211"/>
      <c r="Y258" s="1211"/>
      <c r="Z258" s="1209"/>
    </row>
    <row r="259" spans="3:27" x14ac:dyDescent="0.2">
      <c r="E259" s="1107">
        <v>1</v>
      </c>
      <c r="F259" s="1192"/>
      <c r="G259" s="1203"/>
      <c r="H259" s="1204" t="s">
        <v>167</v>
      </c>
      <c r="I259" s="1326">
        <v>13</v>
      </c>
      <c r="J259" s="1377">
        <f t="shared" si="38"/>
        <v>5.2</v>
      </c>
      <c r="K259" s="1378">
        <f t="shared" si="38"/>
        <v>7.8</v>
      </c>
      <c r="L259" s="1216"/>
      <c r="M259" s="1192"/>
      <c r="N259" s="1211"/>
      <c r="O259" s="1211"/>
      <c r="P259" s="1211"/>
      <c r="Q259" s="1211"/>
      <c r="R259" s="1211"/>
      <c r="S259" s="1211"/>
      <c r="T259" s="1211"/>
      <c r="U259" s="1211"/>
      <c r="V259" s="1211"/>
      <c r="W259" s="1211"/>
      <c r="X259" s="1211"/>
      <c r="Y259" s="1211"/>
      <c r="Z259" s="1209"/>
    </row>
    <row r="260" spans="3:27" x14ac:dyDescent="0.2">
      <c r="E260" s="1107">
        <v>1</v>
      </c>
      <c r="F260" s="1192"/>
      <c r="G260" s="1203"/>
      <c r="H260" s="1204" t="s">
        <v>461</v>
      </c>
      <c r="I260" s="1326">
        <v>10</v>
      </c>
      <c r="J260" s="1377">
        <f t="shared" si="38"/>
        <v>4</v>
      </c>
      <c r="K260" s="1378">
        <f t="shared" si="38"/>
        <v>6</v>
      </c>
      <c r="L260" s="1216"/>
      <c r="M260" s="1192"/>
      <c r="N260" s="1211"/>
      <c r="O260" s="1211"/>
      <c r="P260" s="1211"/>
      <c r="Q260" s="1211"/>
      <c r="R260" s="1211"/>
      <c r="S260" s="1211"/>
      <c r="T260" s="1211"/>
      <c r="U260" s="1211"/>
      <c r="V260" s="1211"/>
      <c r="W260" s="1211"/>
      <c r="X260" s="1211"/>
      <c r="Y260" s="1211"/>
      <c r="Z260" s="1209"/>
    </row>
    <row r="261" spans="3:27" x14ac:dyDescent="0.2">
      <c r="E261" s="1107">
        <v>1</v>
      </c>
      <c r="F261" s="1192"/>
      <c r="G261" s="1203"/>
      <c r="H261" s="1204" t="s">
        <v>462</v>
      </c>
      <c r="I261" s="1326">
        <v>5</v>
      </c>
      <c r="J261" s="1377">
        <f t="shared" si="38"/>
        <v>2</v>
      </c>
      <c r="K261" s="1378">
        <f t="shared" si="38"/>
        <v>3</v>
      </c>
      <c r="L261" s="1216"/>
      <c r="M261" s="1192"/>
      <c r="N261" s="1211"/>
      <c r="O261" s="1211"/>
      <c r="P261" s="1211"/>
      <c r="Q261" s="1211"/>
      <c r="R261" s="1211"/>
      <c r="S261" s="1211"/>
      <c r="T261" s="1211"/>
      <c r="U261" s="1211"/>
      <c r="V261" s="1211"/>
      <c r="W261" s="1211"/>
      <c r="X261" s="1211"/>
      <c r="Y261" s="1211"/>
      <c r="Z261" s="1209"/>
    </row>
    <row r="262" spans="3:27" x14ac:dyDescent="0.2">
      <c r="E262" s="1107">
        <v>1</v>
      </c>
      <c r="F262" s="1192"/>
      <c r="G262" s="1203"/>
      <c r="H262" s="1204" t="s">
        <v>298</v>
      </c>
      <c r="I262" s="1205">
        <v>0.125</v>
      </c>
      <c r="J262" s="1377">
        <f>SUM(J250:J261)*$I262</f>
        <v>4.8000000000000007</v>
      </c>
      <c r="K262" s="1378">
        <f>SUM(K250:K261)*$I262</f>
        <v>7.1999999999999993</v>
      </c>
      <c r="L262" s="1204" t="s">
        <v>367</v>
      </c>
      <c r="N262" s="1211"/>
      <c r="O262" s="1211"/>
      <c r="P262" s="1211"/>
      <c r="Q262" s="1211"/>
      <c r="R262" s="1211"/>
      <c r="S262" s="1211"/>
      <c r="T262" s="1211"/>
      <c r="U262" s="1211"/>
      <c r="V262" s="1211"/>
      <c r="W262" s="1211"/>
      <c r="X262" s="1211"/>
      <c r="Y262" s="1211"/>
      <c r="Z262" s="1209"/>
    </row>
    <row r="263" spans="3:27" x14ac:dyDescent="0.2">
      <c r="F263" s="1192"/>
      <c r="G263" s="1203"/>
      <c r="H263" s="1204" t="s">
        <v>368</v>
      </c>
      <c r="I263" s="1205">
        <v>0.1</v>
      </c>
      <c r="J263" s="1377">
        <f>SUM(J250:J262)*$I263</f>
        <v>4.32</v>
      </c>
      <c r="K263" s="1378">
        <f>SUM(K250:K262)*$I263</f>
        <v>6.48</v>
      </c>
      <c r="L263" s="1221" t="s">
        <v>369</v>
      </c>
      <c r="M263" s="1204"/>
      <c r="N263" s="1211"/>
      <c r="O263" s="1211"/>
      <c r="P263" s="1211"/>
      <c r="Q263" s="1211"/>
      <c r="R263" s="1211"/>
      <c r="S263" s="1211"/>
      <c r="T263" s="1211"/>
      <c r="U263" s="1211"/>
      <c r="V263" s="1211"/>
      <c r="W263" s="1211"/>
      <c r="X263" s="1211"/>
      <c r="Y263" s="1211"/>
      <c r="Z263" s="1209"/>
    </row>
    <row r="264" spans="3:27" x14ac:dyDescent="0.2">
      <c r="F264" s="1192"/>
      <c r="G264" s="1203"/>
      <c r="H264" s="1204" t="s">
        <v>370</v>
      </c>
      <c r="I264" s="1326">
        <v>5</v>
      </c>
      <c r="J264" s="1377">
        <f>I264</f>
        <v>5</v>
      </c>
      <c r="K264" s="1378"/>
      <c r="L264" s="1267" t="s">
        <v>371</v>
      </c>
      <c r="M264" s="1192"/>
      <c r="N264" s="1211"/>
      <c r="O264" s="1211"/>
      <c r="P264" s="1211"/>
      <c r="Q264" s="1211"/>
      <c r="R264" s="1211"/>
      <c r="S264" s="1211"/>
      <c r="T264" s="1211"/>
      <c r="U264" s="1211"/>
      <c r="V264" s="1211"/>
      <c r="W264" s="1211"/>
      <c r="X264" s="1211"/>
      <c r="Y264" s="1211"/>
      <c r="Z264" s="1209"/>
    </row>
    <row r="265" spans="3:27" x14ac:dyDescent="0.2">
      <c r="F265" s="1192"/>
      <c r="G265" s="1203"/>
      <c r="H265" s="1204" t="s">
        <v>372</v>
      </c>
      <c r="I265" s="1326">
        <v>10</v>
      </c>
      <c r="J265" s="1377">
        <f>J$216*$I265*$J$212*$J$215</f>
        <v>4</v>
      </c>
      <c r="K265" s="1378">
        <f>K$216*$I265*$J$212*$J$215</f>
        <v>6</v>
      </c>
      <c r="L265" s="1355" t="s">
        <v>653</v>
      </c>
      <c r="M265" s="1192"/>
      <c r="N265" s="1211"/>
      <c r="O265" s="1211"/>
      <c r="P265" s="1211"/>
      <c r="Q265" s="1211"/>
      <c r="R265" s="1211"/>
      <c r="S265" s="1211"/>
      <c r="T265" s="1211"/>
      <c r="U265" s="1211"/>
      <c r="V265" s="1211"/>
      <c r="W265" s="1211"/>
      <c r="X265" s="1211"/>
      <c r="Y265" s="1211"/>
      <c r="Z265" s="1209"/>
    </row>
    <row r="266" spans="3:27" x14ac:dyDescent="0.2">
      <c r="F266" s="1192"/>
      <c r="G266" s="1203"/>
      <c r="H266" s="1204" t="s">
        <v>299</v>
      </c>
      <c r="I266" s="1379">
        <v>0.1</v>
      </c>
      <c r="J266" s="1377">
        <f>SUM(J250:J265)*$I266</f>
        <v>5.652000000000001</v>
      </c>
      <c r="K266" s="1378">
        <f>SUM(K250:K265)*$I266</f>
        <v>7.7280000000000006</v>
      </c>
      <c r="L266" s="1216"/>
      <c r="M266" s="1192"/>
      <c r="N266" s="1211"/>
      <c r="O266" s="1211"/>
      <c r="P266" s="1211"/>
      <c r="Q266" s="1211"/>
      <c r="R266" s="1211"/>
      <c r="S266" s="1211"/>
      <c r="T266" s="1211"/>
      <c r="U266" s="1211"/>
      <c r="V266" s="1211"/>
      <c r="W266" s="1211"/>
      <c r="X266" s="1211"/>
      <c r="Y266" s="1211"/>
      <c r="Z266" s="1209"/>
    </row>
    <row r="267" spans="3:27" x14ac:dyDescent="0.2">
      <c r="C267" s="1363">
        <v>4</v>
      </c>
      <c r="D267" s="1363" t="s">
        <v>218</v>
      </c>
      <c r="F267" s="1192"/>
      <c r="G267" s="1203"/>
      <c r="H267" s="1313" t="s">
        <v>275</v>
      </c>
      <c r="I267" s="1235" t="s">
        <v>300</v>
      </c>
      <c r="J267" s="1380"/>
      <c r="K267" s="1381"/>
      <c r="L267" s="1382">
        <f>L212*L217*SUM($J$268:$K$268)</f>
        <v>1.4718</v>
      </c>
      <c r="M267" s="1382">
        <f t="shared" ref="M267:Z267" si="39">M212*M217*SUM($J$268:$K$268)</f>
        <v>1.4718</v>
      </c>
      <c r="N267" s="1382">
        <f t="shared" si="39"/>
        <v>1.4718</v>
      </c>
      <c r="O267" s="1382">
        <f t="shared" si="39"/>
        <v>1.4718</v>
      </c>
      <c r="P267" s="1382">
        <f t="shared" si="39"/>
        <v>1.4718</v>
      </c>
      <c r="Q267" s="1208">
        <f t="shared" si="39"/>
        <v>1.4718</v>
      </c>
      <c r="R267" s="1208">
        <f t="shared" si="39"/>
        <v>1.4718</v>
      </c>
      <c r="S267" s="1208">
        <f t="shared" si="39"/>
        <v>1.4718</v>
      </c>
      <c r="T267" s="1208">
        <f t="shared" si="39"/>
        <v>1.4718</v>
      </c>
      <c r="U267" s="1208">
        <f t="shared" si="39"/>
        <v>1.4718</v>
      </c>
      <c r="V267" s="1208">
        <f t="shared" si="39"/>
        <v>1.4718</v>
      </c>
      <c r="W267" s="1208">
        <f t="shared" si="39"/>
        <v>1.4718</v>
      </c>
      <c r="X267" s="1208">
        <f t="shared" si="39"/>
        <v>1.4718</v>
      </c>
      <c r="Y267" s="1208">
        <f t="shared" si="39"/>
        <v>1.4718</v>
      </c>
      <c r="Z267" s="1383">
        <f t="shared" si="39"/>
        <v>1.4718</v>
      </c>
      <c r="AA267" s="1382">
        <f>AA212*AA217*SUM($J$229:Z268)</f>
        <v>0</v>
      </c>
    </row>
    <row r="268" spans="3:27" x14ac:dyDescent="0.2">
      <c r="F268" s="1192"/>
      <c r="G268" s="1203"/>
      <c r="H268" s="1220" t="s">
        <v>301</v>
      </c>
      <c r="I268" s="1243"/>
      <c r="J268" s="1384">
        <f t="shared" ref="J268:Z268" si="40">SUM(J250:J267)</f>
        <v>62.172000000000004</v>
      </c>
      <c r="K268" s="1385">
        <f t="shared" si="40"/>
        <v>85.007999999999996</v>
      </c>
      <c r="L268" s="1384">
        <f t="shared" si="40"/>
        <v>1.4718</v>
      </c>
      <c r="M268" s="1384">
        <f t="shared" si="40"/>
        <v>1.4718</v>
      </c>
      <c r="N268" s="1273">
        <f t="shared" si="40"/>
        <v>1.4718</v>
      </c>
      <c r="O268" s="1273">
        <f t="shared" si="40"/>
        <v>1.4718</v>
      </c>
      <c r="P268" s="1273">
        <f t="shared" si="40"/>
        <v>1.4718</v>
      </c>
      <c r="Q268" s="1273">
        <f t="shared" si="40"/>
        <v>1.4718</v>
      </c>
      <c r="R268" s="1273">
        <f t="shared" si="40"/>
        <v>1.4718</v>
      </c>
      <c r="S268" s="1273">
        <f t="shared" si="40"/>
        <v>1.4718</v>
      </c>
      <c r="T268" s="1273">
        <f t="shared" si="40"/>
        <v>1.4718</v>
      </c>
      <c r="U268" s="1273">
        <f t="shared" si="40"/>
        <v>1.4718</v>
      </c>
      <c r="V268" s="1273">
        <f t="shared" si="40"/>
        <v>1.4718</v>
      </c>
      <c r="W268" s="1273">
        <f t="shared" si="40"/>
        <v>1.4718</v>
      </c>
      <c r="X268" s="1273">
        <f t="shared" si="40"/>
        <v>1.4718</v>
      </c>
      <c r="Y268" s="1273">
        <f t="shared" si="40"/>
        <v>1.4718</v>
      </c>
      <c r="Z268" s="1218">
        <f t="shared" si="40"/>
        <v>1.4718</v>
      </c>
    </row>
    <row r="269" spans="3:27" x14ac:dyDescent="0.2">
      <c r="F269" s="1192"/>
      <c r="G269" s="1203"/>
      <c r="H269" s="1192"/>
      <c r="I269" s="1243"/>
      <c r="J269" s="1203"/>
      <c r="K269" s="1369"/>
      <c r="L269" s="1216"/>
      <c r="M269" s="1192"/>
      <c r="N269" s="1211"/>
      <c r="O269" s="1211"/>
      <c r="P269" s="1211"/>
      <c r="Q269" s="1211"/>
      <c r="R269" s="1211"/>
      <c r="S269" s="1211"/>
      <c r="T269" s="1211"/>
      <c r="U269" s="1211"/>
      <c r="V269" s="1211"/>
      <c r="W269" s="1211"/>
      <c r="X269" s="1211"/>
      <c r="Y269" s="1211"/>
      <c r="Z269" s="1209"/>
    </row>
    <row r="270" spans="3:27" x14ac:dyDescent="0.2">
      <c r="F270" s="1192"/>
      <c r="G270" s="1224"/>
      <c r="H270" s="1225"/>
      <c r="I270" s="1226"/>
      <c r="J270" s="1224"/>
      <c r="K270" s="1386"/>
      <c r="L270" s="1227"/>
      <c r="M270" s="1225"/>
      <c r="N270" s="1229"/>
      <c r="O270" s="1229"/>
      <c r="P270" s="1229"/>
      <c r="Q270" s="1229"/>
      <c r="R270" s="1229"/>
      <c r="S270" s="1229"/>
      <c r="T270" s="1229"/>
      <c r="U270" s="1229"/>
      <c r="V270" s="1229"/>
      <c r="W270" s="1229"/>
      <c r="X270" s="1229"/>
      <c r="Y270" s="1229"/>
      <c r="Z270" s="1228"/>
    </row>
    <row r="271" spans="3:27" x14ac:dyDescent="0.2">
      <c r="F271" s="1192"/>
      <c r="G271" s="1192"/>
      <c r="K271" s="1192"/>
      <c r="L271" s="1216"/>
      <c r="M271" s="1192"/>
      <c r="N271" s="1211"/>
      <c r="O271" s="1211"/>
      <c r="P271" s="1211"/>
      <c r="Q271" s="1211"/>
      <c r="R271" s="1211"/>
      <c r="S271" s="1211"/>
      <c r="T271" s="1211"/>
    </row>
    <row r="272" spans="3:27" x14ac:dyDescent="0.2">
      <c r="F272" s="1203"/>
      <c r="G272" s="1203"/>
      <c r="H272" s="1192"/>
      <c r="I272" s="1243"/>
      <c r="J272" s="1192"/>
      <c r="K272" s="1192"/>
      <c r="L272" s="1216"/>
      <c r="M272" s="1192"/>
      <c r="N272" s="1209"/>
      <c r="O272" s="1211"/>
      <c r="P272" s="1211"/>
      <c r="Q272" s="1211"/>
      <c r="R272" s="1211"/>
      <c r="S272" s="1211"/>
      <c r="T272" s="1209"/>
    </row>
    <row r="273" spans="3:28" x14ac:dyDescent="0.2">
      <c r="F273" s="1203"/>
      <c r="G273" s="1203"/>
      <c r="H273" s="1192"/>
      <c r="I273" s="1243"/>
      <c r="J273" s="1192"/>
      <c r="K273" s="1192"/>
      <c r="L273" s="1216"/>
      <c r="M273" s="1192"/>
      <c r="N273" s="1209"/>
      <c r="O273" s="1211"/>
      <c r="P273" s="1211"/>
      <c r="Q273" s="1211"/>
      <c r="R273" s="1211"/>
      <c r="S273" s="1211"/>
      <c r="T273" s="1209"/>
    </row>
    <row r="274" spans="3:28" s="1191" customFormat="1" x14ac:dyDescent="0.2">
      <c r="C274" s="1107"/>
      <c r="D274" s="1107"/>
      <c r="E274" s="1107"/>
      <c r="F274" s="1203"/>
      <c r="G274" s="1203"/>
      <c r="H274" s="1192"/>
      <c r="I274" s="1243"/>
      <c r="J274" s="1192"/>
      <c r="K274" s="1192"/>
      <c r="L274" s="1216"/>
      <c r="M274" s="1192"/>
      <c r="N274" s="1209"/>
      <c r="O274" s="1211"/>
      <c r="P274" s="1211"/>
      <c r="Q274" s="1211"/>
      <c r="R274" s="1211"/>
      <c r="S274" s="1211"/>
      <c r="T274" s="1209"/>
      <c r="AA274" s="1107"/>
      <c r="AB274" s="1107"/>
    </row>
    <row r="275" spans="3:28" s="1191" customFormat="1" x14ac:dyDescent="0.2">
      <c r="C275" s="1107"/>
      <c r="D275" s="1107"/>
      <c r="E275" s="1107"/>
      <c r="F275" s="1203"/>
      <c r="G275" s="1203"/>
      <c r="H275" s="1192"/>
      <c r="I275" s="1243"/>
      <c r="J275" s="1192"/>
      <c r="K275" s="1192"/>
      <c r="L275" s="1216"/>
      <c r="M275" s="1192"/>
      <c r="N275" s="1209"/>
      <c r="O275" s="1211"/>
      <c r="P275" s="1211"/>
      <c r="Q275" s="1211"/>
      <c r="R275" s="1211"/>
      <c r="S275" s="1211"/>
      <c r="T275" s="1209"/>
      <c r="AA275" s="1107"/>
      <c r="AB275" s="1107"/>
    </row>
    <row r="276" spans="3:28" s="1191" customFormat="1" x14ac:dyDescent="0.2">
      <c r="C276" s="1107"/>
      <c r="D276" s="1107"/>
      <c r="E276" s="1107"/>
      <c r="F276" s="1203"/>
      <c r="G276" s="1203"/>
      <c r="H276" s="1192"/>
      <c r="I276" s="1243"/>
      <c r="J276" s="1192"/>
      <c r="K276" s="1192"/>
      <c r="L276" s="1216"/>
      <c r="M276" s="1192"/>
      <c r="N276" s="1209"/>
      <c r="O276" s="1211"/>
      <c r="P276" s="1211"/>
      <c r="Q276" s="1211"/>
      <c r="R276" s="1211"/>
      <c r="S276" s="1211"/>
      <c r="T276" s="1209"/>
      <c r="AA276" s="1107"/>
      <c r="AB276" s="1107"/>
    </row>
    <row r="277" spans="3:28" s="1191" customFormat="1" x14ac:dyDescent="0.2">
      <c r="F277" s="1203"/>
      <c r="G277" s="1203"/>
      <c r="H277" s="1192"/>
      <c r="I277" s="1243"/>
      <c r="J277" s="1192"/>
      <c r="K277" s="1192"/>
      <c r="L277" s="1216"/>
      <c r="M277" s="1192"/>
      <c r="N277" s="1209"/>
      <c r="O277" s="1211"/>
      <c r="P277" s="1211"/>
      <c r="Q277" s="1211"/>
      <c r="R277" s="1211"/>
      <c r="S277" s="1211"/>
      <c r="T277" s="1209"/>
    </row>
    <row r="278" spans="3:28" s="1191" customFormat="1" x14ac:dyDescent="0.2">
      <c r="F278" s="1203"/>
      <c r="G278" s="1203"/>
      <c r="H278" s="1192"/>
      <c r="I278" s="1243"/>
      <c r="J278" s="1192"/>
      <c r="K278" s="1192"/>
      <c r="L278" s="1216"/>
      <c r="M278" s="1192"/>
      <c r="N278" s="1209"/>
      <c r="O278" s="1211"/>
      <c r="P278" s="1211"/>
      <c r="Q278" s="1211"/>
      <c r="R278" s="1211"/>
      <c r="S278" s="1211"/>
      <c r="T278" s="1209"/>
    </row>
    <row r="279" spans="3:28" s="1191" customFormat="1" x14ac:dyDescent="0.2">
      <c r="F279" s="1203"/>
      <c r="G279" s="1203"/>
      <c r="H279" s="1192"/>
      <c r="I279" s="1243"/>
      <c r="J279" s="1192"/>
      <c r="K279" s="1192"/>
      <c r="L279" s="1216"/>
      <c r="M279" s="1192"/>
      <c r="N279" s="1209"/>
      <c r="O279" s="1211"/>
      <c r="P279" s="1211"/>
      <c r="Q279" s="1211"/>
      <c r="R279" s="1211"/>
      <c r="S279" s="1211"/>
      <c r="T279" s="1209"/>
    </row>
    <row r="280" spans="3:28" s="1191" customFormat="1" x14ac:dyDescent="0.2">
      <c r="F280" s="1203"/>
      <c r="G280" s="1203"/>
      <c r="H280" s="1192"/>
      <c r="I280" s="1243"/>
      <c r="J280" s="1192"/>
      <c r="K280" s="1192"/>
      <c r="L280" s="1216"/>
      <c r="M280" s="1192"/>
      <c r="N280" s="1209"/>
      <c r="O280" s="1211"/>
      <c r="P280" s="1211"/>
      <c r="Q280" s="1211"/>
      <c r="R280" s="1211"/>
      <c r="S280" s="1211"/>
      <c r="T280" s="1209"/>
    </row>
    <row r="281" spans="3:28" s="1191" customFormat="1" x14ac:dyDescent="0.2">
      <c r="F281" s="1203"/>
      <c r="G281" s="1203"/>
      <c r="H281" s="1192"/>
      <c r="I281" s="1243"/>
      <c r="J281" s="1192"/>
      <c r="K281" s="1192"/>
      <c r="L281" s="1216"/>
      <c r="M281" s="1192"/>
      <c r="N281" s="1209"/>
      <c r="O281" s="1211"/>
      <c r="P281" s="1211"/>
      <c r="Q281" s="1211"/>
      <c r="R281" s="1211"/>
      <c r="S281" s="1211"/>
      <c r="T281" s="1209"/>
    </row>
    <row r="282" spans="3:28" s="1191" customFormat="1" x14ac:dyDescent="0.2">
      <c r="F282" s="1203"/>
      <c r="G282" s="1203"/>
      <c r="H282" s="1192"/>
      <c r="I282" s="1243"/>
      <c r="J282" s="1192"/>
      <c r="K282" s="1192"/>
      <c r="L282" s="1216"/>
      <c r="M282" s="1192"/>
      <c r="N282" s="1209"/>
      <c r="O282" s="1211"/>
      <c r="P282" s="1211"/>
      <c r="Q282" s="1211"/>
      <c r="R282" s="1211"/>
      <c r="S282" s="1211"/>
      <c r="T282" s="1209"/>
    </row>
    <row r="283" spans="3:28" s="1191" customFormat="1" x14ac:dyDescent="0.2">
      <c r="F283" s="1203"/>
      <c r="G283" s="1203"/>
      <c r="H283" s="1192"/>
      <c r="I283" s="1243"/>
      <c r="J283" s="1192"/>
      <c r="K283" s="1192"/>
      <c r="L283" s="1216"/>
      <c r="M283" s="1192"/>
      <c r="N283" s="1209"/>
      <c r="O283" s="1211"/>
      <c r="P283" s="1211"/>
      <c r="Q283" s="1211"/>
      <c r="R283" s="1211"/>
      <c r="S283" s="1211"/>
      <c r="T283" s="1209"/>
    </row>
    <row r="284" spans="3:28" s="1191" customFormat="1" x14ac:dyDescent="0.2">
      <c r="F284" s="1203"/>
      <c r="G284" s="1203"/>
      <c r="H284" s="1192"/>
      <c r="I284" s="1243"/>
      <c r="J284" s="1192"/>
      <c r="K284" s="1192"/>
      <c r="L284" s="1216"/>
      <c r="M284" s="1192"/>
      <c r="N284" s="1209"/>
      <c r="O284" s="1211"/>
      <c r="P284" s="1211"/>
      <c r="Q284" s="1211"/>
      <c r="R284" s="1211"/>
      <c r="S284" s="1211"/>
      <c r="T284" s="1209"/>
    </row>
    <row r="285" spans="3:28" s="1191" customFormat="1" x14ac:dyDescent="0.2">
      <c r="F285" s="1203"/>
      <c r="G285" s="1203"/>
      <c r="H285" s="1192"/>
      <c r="I285" s="1243"/>
      <c r="J285" s="1192"/>
      <c r="K285" s="1192"/>
      <c r="L285" s="1216"/>
      <c r="M285" s="1192"/>
      <c r="N285" s="1209"/>
      <c r="O285" s="1211"/>
      <c r="P285" s="1211"/>
      <c r="Q285" s="1211"/>
      <c r="R285" s="1211"/>
      <c r="S285" s="1211"/>
      <c r="T285" s="1209"/>
    </row>
    <row r="286" spans="3:28" s="1191" customFormat="1" x14ac:dyDescent="0.2">
      <c r="F286" s="1203"/>
      <c r="G286" s="1203"/>
      <c r="H286" s="1192"/>
      <c r="I286" s="1243"/>
      <c r="J286" s="1192"/>
      <c r="K286" s="1192"/>
      <c r="L286" s="1216"/>
      <c r="M286" s="1192"/>
      <c r="N286" s="1209"/>
      <c r="O286" s="1211"/>
      <c r="P286" s="1211"/>
      <c r="Q286" s="1211"/>
      <c r="R286" s="1211"/>
      <c r="S286" s="1211"/>
      <c r="T286" s="1209"/>
    </row>
    <row r="287" spans="3:28" s="1191" customFormat="1" x14ac:dyDescent="0.2">
      <c r="F287" s="1203"/>
      <c r="G287" s="1203"/>
      <c r="H287" s="1192"/>
      <c r="I287" s="1243"/>
      <c r="J287" s="1192"/>
      <c r="K287" s="1192"/>
      <c r="L287" s="1216"/>
      <c r="M287" s="1192"/>
      <c r="N287" s="1209"/>
      <c r="O287" s="1211"/>
      <c r="P287" s="1211"/>
      <c r="Q287" s="1211"/>
      <c r="R287" s="1211"/>
      <c r="S287" s="1211"/>
      <c r="T287" s="1209"/>
    </row>
    <row r="288" spans="3:28" s="1191" customFormat="1" x14ac:dyDescent="0.2">
      <c r="F288" s="1203"/>
      <c r="G288" s="1203"/>
      <c r="H288" s="1192"/>
      <c r="I288" s="1243"/>
      <c r="J288" s="1192"/>
      <c r="K288" s="1192"/>
      <c r="L288" s="1216"/>
      <c r="M288" s="1192"/>
      <c r="N288" s="1209"/>
      <c r="O288" s="1211"/>
      <c r="P288" s="1211"/>
      <c r="Q288" s="1211"/>
      <c r="R288" s="1211"/>
      <c r="S288" s="1211"/>
      <c r="T288" s="1209"/>
    </row>
    <row r="289" spans="6:20" s="1191" customFormat="1" x14ac:dyDescent="0.2">
      <c r="F289" s="1203"/>
      <c r="G289" s="1203"/>
      <c r="H289" s="1192"/>
      <c r="I289" s="1243"/>
      <c r="J289" s="1192"/>
      <c r="K289" s="1192"/>
      <c r="L289" s="1216"/>
      <c r="M289" s="1192"/>
      <c r="N289" s="1209"/>
      <c r="O289" s="1211"/>
      <c r="P289" s="1211"/>
      <c r="Q289" s="1211"/>
      <c r="R289" s="1211"/>
      <c r="S289" s="1211"/>
      <c r="T289" s="1209"/>
    </row>
    <row r="290" spans="6:20" s="1191" customFormat="1" x14ac:dyDescent="0.2">
      <c r="F290" s="1203"/>
      <c r="G290" s="1203"/>
      <c r="H290" s="1192"/>
      <c r="I290" s="1243"/>
      <c r="J290" s="1192"/>
      <c r="K290" s="1192"/>
      <c r="L290" s="1216"/>
      <c r="M290" s="1192"/>
      <c r="N290" s="1209"/>
      <c r="O290" s="1211"/>
      <c r="P290" s="1211"/>
      <c r="Q290" s="1211"/>
      <c r="R290" s="1211"/>
      <c r="S290" s="1211"/>
      <c r="T290" s="1209"/>
    </row>
    <row r="291" spans="6:20" s="1191" customFormat="1" x14ac:dyDescent="0.2">
      <c r="F291" s="1203"/>
      <c r="G291" s="1203"/>
      <c r="H291" s="1192"/>
      <c r="I291" s="1243"/>
      <c r="J291" s="1192"/>
      <c r="K291" s="1192"/>
      <c r="L291" s="1216"/>
      <c r="M291" s="1192"/>
      <c r="N291" s="1209"/>
      <c r="O291" s="1211"/>
      <c r="P291" s="1211"/>
      <c r="Q291" s="1211"/>
      <c r="R291" s="1211"/>
      <c r="S291" s="1211"/>
      <c r="T291" s="1209"/>
    </row>
    <row r="292" spans="6:20" s="1191" customFormat="1" x14ac:dyDescent="0.2">
      <c r="F292" s="1203"/>
      <c r="G292" s="1203"/>
      <c r="H292" s="1192"/>
      <c r="I292" s="1243"/>
      <c r="J292" s="1192"/>
      <c r="K292" s="1192"/>
      <c r="L292" s="1216"/>
      <c r="M292" s="1192"/>
      <c r="N292" s="1209"/>
      <c r="O292" s="1211"/>
      <c r="P292" s="1211"/>
      <c r="Q292" s="1211"/>
      <c r="R292" s="1211"/>
      <c r="S292" s="1211"/>
      <c r="T292" s="1209"/>
    </row>
    <row r="293" spans="6:20" s="1191" customFormat="1" x14ac:dyDescent="0.2">
      <c r="F293" s="1203"/>
      <c r="G293" s="1203"/>
      <c r="H293" s="1192"/>
      <c r="I293" s="1243"/>
      <c r="J293" s="1192"/>
      <c r="K293" s="1192"/>
      <c r="L293" s="1216"/>
      <c r="M293" s="1192"/>
      <c r="N293" s="1209"/>
      <c r="O293" s="1211"/>
      <c r="P293" s="1211"/>
      <c r="Q293" s="1211"/>
      <c r="R293" s="1211"/>
      <c r="S293" s="1211"/>
      <c r="T293" s="1209"/>
    </row>
    <row r="294" spans="6:20" s="1191" customFormat="1" x14ac:dyDescent="0.2">
      <c r="F294" s="1203"/>
      <c r="G294" s="1203"/>
      <c r="H294" s="1192"/>
      <c r="I294" s="1243"/>
      <c r="J294" s="1192"/>
      <c r="K294" s="1192"/>
      <c r="L294" s="1216"/>
      <c r="M294" s="1192"/>
      <c r="N294" s="1209"/>
      <c r="O294" s="1211"/>
      <c r="P294" s="1211"/>
      <c r="Q294" s="1211"/>
      <c r="R294" s="1211"/>
      <c r="S294" s="1211"/>
      <c r="T294" s="1209"/>
    </row>
    <row r="295" spans="6:20" s="1191" customFormat="1" x14ac:dyDescent="0.2">
      <c r="F295" s="1203"/>
      <c r="G295" s="1203"/>
      <c r="H295" s="1192"/>
      <c r="I295" s="1243"/>
      <c r="J295" s="1192"/>
      <c r="K295" s="1192"/>
      <c r="L295" s="1216"/>
      <c r="M295" s="1192"/>
      <c r="N295" s="1209"/>
      <c r="O295" s="1211"/>
      <c r="P295" s="1211"/>
      <c r="Q295" s="1211"/>
      <c r="R295" s="1211"/>
      <c r="S295" s="1211"/>
      <c r="T295" s="1209"/>
    </row>
    <row r="296" spans="6:20" s="1191" customFormat="1" x14ac:dyDescent="0.2">
      <c r="F296" s="1203"/>
      <c r="G296" s="1203"/>
      <c r="H296" s="1192"/>
      <c r="I296" s="1243"/>
      <c r="J296" s="1192"/>
      <c r="K296" s="1192"/>
      <c r="L296" s="1216"/>
      <c r="M296" s="1192"/>
      <c r="N296" s="1209"/>
      <c r="O296" s="1211"/>
      <c r="P296" s="1211"/>
      <c r="Q296" s="1211"/>
      <c r="R296" s="1211"/>
      <c r="S296" s="1211"/>
      <c r="T296" s="1209"/>
    </row>
    <row r="297" spans="6:20" s="1191" customFormat="1" x14ac:dyDescent="0.2">
      <c r="F297" s="1203"/>
      <c r="G297" s="1203"/>
      <c r="H297" s="1192"/>
      <c r="I297" s="1243"/>
      <c r="J297" s="1192"/>
      <c r="K297" s="1192"/>
      <c r="L297" s="1216"/>
      <c r="M297" s="1192"/>
      <c r="N297" s="1209"/>
      <c r="O297" s="1211"/>
      <c r="P297" s="1211"/>
      <c r="Q297" s="1211"/>
      <c r="R297" s="1211"/>
      <c r="S297" s="1211"/>
      <c r="T297" s="1209"/>
    </row>
    <row r="298" spans="6:20" s="1191" customFormat="1" x14ac:dyDescent="0.2">
      <c r="F298" s="1203"/>
      <c r="G298" s="1203"/>
      <c r="H298" s="1192"/>
      <c r="I298" s="1243"/>
      <c r="J298" s="1192"/>
      <c r="K298" s="1192"/>
      <c r="L298" s="1216"/>
      <c r="M298" s="1192"/>
      <c r="N298" s="1209"/>
      <c r="O298" s="1211"/>
      <c r="P298" s="1211"/>
      <c r="Q298" s="1211"/>
      <c r="R298" s="1211"/>
      <c r="S298" s="1211"/>
      <c r="T298" s="1209"/>
    </row>
    <row r="299" spans="6:20" s="1191" customFormat="1" x14ac:dyDescent="0.2">
      <c r="F299" s="1203"/>
      <c r="G299" s="1203"/>
      <c r="H299" s="1192"/>
      <c r="I299" s="1243"/>
      <c r="J299" s="1192"/>
      <c r="K299" s="1192"/>
      <c r="L299" s="1216"/>
      <c r="M299" s="1192"/>
      <c r="N299" s="1209"/>
      <c r="O299" s="1211"/>
      <c r="P299" s="1211"/>
      <c r="Q299" s="1211"/>
      <c r="R299" s="1211"/>
      <c r="S299" s="1211"/>
      <c r="T299" s="1209"/>
    </row>
    <row r="300" spans="6:20" s="1191" customFormat="1" x14ac:dyDescent="0.2">
      <c r="F300" s="1203"/>
      <c r="G300" s="1203"/>
      <c r="H300" s="1192"/>
      <c r="I300" s="1243"/>
      <c r="J300" s="1192"/>
      <c r="K300" s="1192"/>
      <c r="L300" s="1216"/>
      <c r="M300" s="1192"/>
      <c r="N300" s="1209"/>
      <c r="O300" s="1211"/>
      <c r="P300" s="1211"/>
      <c r="Q300" s="1211"/>
      <c r="R300" s="1211"/>
      <c r="S300" s="1211"/>
      <c r="T300" s="1209"/>
    </row>
    <row r="301" spans="6:20" s="1191" customFormat="1" x14ac:dyDescent="0.2">
      <c r="F301" s="1203"/>
      <c r="G301" s="1203"/>
      <c r="H301" s="1192"/>
      <c r="I301" s="1243"/>
      <c r="J301" s="1192"/>
      <c r="K301" s="1192"/>
      <c r="L301" s="1216"/>
      <c r="M301" s="1192"/>
      <c r="N301" s="1209"/>
      <c r="O301" s="1211"/>
      <c r="P301" s="1211"/>
      <c r="Q301" s="1211"/>
      <c r="R301" s="1211"/>
      <c r="S301" s="1211"/>
      <c r="T301" s="1209"/>
    </row>
    <row r="302" spans="6:20" s="1191" customFormat="1" x14ac:dyDescent="0.2">
      <c r="F302" s="1203"/>
      <c r="G302" s="1203"/>
      <c r="H302" s="1192"/>
      <c r="I302" s="1243"/>
      <c r="J302" s="1192"/>
      <c r="K302" s="1192"/>
      <c r="L302" s="1216"/>
      <c r="M302" s="1192"/>
      <c r="N302" s="1209"/>
      <c r="O302" s="1211"/>
      <c r="P302" s="1211"/>
      <c r="Q302" s="1211"/>
      <c r="R302" s="1211"/>
      <c r="S302" s="1211"/>
      <c r="T302" s="1209"/>
    </row>
    <row r="303" spans="6:20" s="1191" customFormat="1" x14ac:dyDescent="0.2">
      <c r="F303" s="1203"/>
      <c r="G303" s="1203"/>
      <c r="H303" s="1192"/>
      <c r="I303" s="1243"/>
      <c r="J303" s="1192"/>
      <c r="K303" s="1192"/>
      <c r="L303" s="1216"/>
      <c r="M303" s="1192"/>
      <c r="N303" s="1209"/>
      <c r="O303" s="1211"/>
      <c r="P303" s="1211"/>
      <c r="Q303" s="1211"/>
      <c r="R303" s="1211"/>
      <c r="S303" s="1211"/>
      <c r="T303" s="1209"/>
    </row>
    <row r="304" spans="6:20" s="1191" customFormat="1" x14ac:dyDescent="0.2">
      <c r="F304" s="1203"/>
      <c r="G304" s="1196"/>
      <c r="H304" s="1275"/>
      <c r="I304" s="1276"/>
      <c r="J304" s="1198"/>
      <c r="K304" s="1198"/>
      <c r="L304" s="1199"/>
      <c r="M304" s="1198"/>
      <c r="N304" s="1202"/>
      <c r="O304" s="1277"/>
      <c r="P304" s="1187"/>
      <c r="Q304" s="1187"/>
      <c r="R304" s="1187"/>
      <c r="S304" s="1187"/>
      <c r="T304" s="1202"/>
    </row>
    <row r="305" spans="6:20" s="1191" customFormat="1" x14ac:dyDescent="0.2">
      <c r="F305" s="1192"/>
      <c r="G305" s="1203"/>
      <c r="H305" s="1204"/>
      <c r="I305" s="1243"/>
      <c r="J305" s="1192"/>
      <c r="K305" s="1192"/>
      <c r="L305" s="1216"/>
      <c r="M305" s="1192"/>
      <c r="N305" s="1209"/>
      <c r="O305" s="1387"/>
      <c r="P305" s="1211"/>
      <c r="Q305" s="1211"/>
      <c r="R305" s="1211"/>
      <c r="S305" s="1211"/>
      <c r="T305" s="1209"/>
    </row>
    <row r="306" spans="6:20" s="1191" customFormat="1" x14ac:dyDescent="0.2">
      <c r="F306" s="1192"/>
      <c r="G306" s="1203"/>
      <c r="H306" s="1204"/>
      <c r="I306" s="1243"/>
      <c r="J306" s="1192"/>
      <c r="K306" s="1192"/>
      <c r="L306" s="1216"/>
      <c r="M306" s="1192"/>
      <c r="N306" s="1209"/>
      <c r="O306" s="1387"/>
      <c r="P306" s="1211"/>
      <c r="Q306" s="1211"/>
      <c r="R306" s="1211"/>
      <c r="S306" s="1211"/>
      <c r="T306" s="1209"/>
    </row>
    <row r="307" spans="6:20" s="1191" customFormat="1" x14ac:dyDescent="0.2">
      <c r="F307" s="1192"/>
      <c r="G307" s="1203"/>
      <c r="H307" s="1204"/>
      <c r="I307" s="1243"/>
      <c r="J307" s="1192"/>
      <c r="K307" s="1192"/>
      <c r="L307" s="1216"/>
      <c r="M307" s="1192"/>
      <c r="N307" s="1209"/>
      <c r="O307" s="1387"/>
      <c r="P307" s="1211"/>
      <c r="Q307" s="1211"/>
      <c r="R307" s="1211"/>
      <c r="S307" s="1211"/>
      <c r="T307" s="1209"/>
    </row>
    <row r="308" spans="6:20" s="1191" customFormat="1" x14ac:dyDescent="0.2">
      <c r="F308" s="1192"/>
      <c r="G308" s="1203"/>
      <c r="H308" s="1204"/>
      <c r="I308" s="1243"/>
      <c r="J308" s="1192"/>
      <c r="K308" s="1192"/>
      <c r="L308" s="1216"/>
      <c r="M308" s="1192"/>
      <c r="N308" s="1209"/>
      <c r="O308" s="1387"/>
      <c r="P308" s="1211"/>
      <c r="Q308" s="1211"/>
      <c r="R308" s="1211"/>
      <c r="S308" s="1211"/>
      <c r="T308" s="1209"/>
    </row>
    <row r="309" spans="6:20" s="1191" customFormat="1" x14ac:dyDescent="0.2">
      <c r="F309" s="1192"/>
      <c r="G309" s="1203"/>
      <c r="H309" s="1204"/>
      <c r="I309" s="1243"/>
      <c r="J309" s="1192"/>
      <c r="K309" s="1192"/>
      <c r="L309" s="1216"/>
      <c r="M309" s="1192"/>
      <c r="N309" s="1209"/>
      <c r="O309" s="1387"/>
      <c r="P309" s="1211"/>
      <c r="Q309" s="1211"/>
      <c r="R309" s="1211"/>
      <c r="S309" s="1211"/>
      <c r="T309" s="1209"/>
    </row>
    <row r="310" spans="6:20" s="1191" customFormat="1" x14ac:dyDescent="0.2">
      <c r="F310" s="1192"/>
      <c r="G310" s="1203"/>
      <c r="H310" s="1204"/>
      <c r="I310" s="1243"/>
      <c r="J310" s="1192"/>
      <c r="K310" s="1192"/>
      <c r="L310" s="1216"/>
      <c r="M310" s="1192"/>
      <c r="N310" s="1209"/>
      <c r="O310" s="1387"/>
      <c r="P310" s="1211"/>
      <c r="Q310" s="1211"/>
      <c r="R310" s="1211"/>
      <c r="S310" s="1211"/>
      <c r="T310" s="1209"/>
    </row>
    <row r="311" spans="6:20" s="1191" customFormat="1" x14ac:dyDescent="0.2">
      <c r="F311" s="1192"/>
      <c r="G311" s="1203"/>
      <c r="H311" s="1204"/>
      <c r="I311" s="1243"/>
      <c r="J311" s="1192"/>
      <c r="K311" s="1192"/>
      <c r="L311" s="1216"/>
      <c r="M311" s="1192"/>
      <c r="N311" s="1209"/>
      <c r="O311" s="1387"/>
      <c r="P311" s="1211"/>
      <c r="Q311" s="1211"/>
      <c r="R311" s="1211"/>
      <c r="S311" s="1211"/>
      <c r="T311" s="1209"/>
    </row>
    <row r="312" spans="6:20" s="1191" customFormat="1" x14ac:dyDescent="0.2">
      <c r="F312" s="1192"/>
      <c r="G312" s="1203"/>
      <c r="H312" s="1204"/>
      <c r="I312" s="1243"/>
      <c r="J312" s="1192"/>
      <c r="K312" s="1192"/>
      <c r="L312" s="1216"/>
      <c r="M312" s="1192"/>
      <c r="N312" s="1209"/>
      <c r="O312" s="1387"/>
      <c r="P312" s="1211"/>
      <c r="Q312" s="1211"/>
      <c r="R312" s="1211"/>
      <c r="S312" s="1211"/>
      <c r="T312" s="1209"/>
    </row>
    <row r="313" spans="6:20" s="1191" customFormat="1" x14ac:dyDescent="0.2">
      <c r="F313" s="1192"/>
      <c r="G313" s="1203"/>
      <c r="H313" s="1204"/>
      <c r="I313" s="1243"/>
      <c r="J313" s="1192"/>
      <c r="K313" s="1192"/>
      <c r="L313" s="1216"/>
      <c r="M313" s="1192"/>
      <c r="N313" s="1209"/>
      <c r="O313" s="1387"/>
      <c r="P313" s="1211"/>
      <c r="Q313" s="1211"/>
      <c r="R313" s="1211"/>
      <c r="S313" s="1211"/>
      <c r="T313" s="1209"/>
    </row>
    <row r="314" spans="6:20" s="1191" customFormat="1" x14ac:dyDescent="0.2">
      <c r="F314" s="1192"/>
      <c r="G314" s="1203"/>
      <c r="H314" s="1204"/>
      <c r="I314" s="1243"/>
      <c r="J314" s="1192"/>
      <c r="K314" s="1192"/>
      <c r="L314" s="1216"/>
      <c r="M314" s="1192"/>
      <c r="N314" s="1209"/>
      <c r="O314" s="1387"/>
      <c r="P314" s="1211"/>
      <c r="Q314" s="1211"/>
      <c r="R314" s="1211"/>
      <c r="S314" s="1211"/>
      <c r="T314" s="1209"/>
    </row>
    <row r="315" spans="6:20" s="1191" customFormat="1" x14ac:dyDescent="0.2">
      <c r="F315" s="1192"/>
      <c r="G315" s="1203"/>
      <c r="H315" s="1204"/>
      <c r="I315" s="1243"/>
      <c r="J315" s="1192"/>
      <c r="K315" s="1192"/>
      <c r="L315" s="1216"/>
      <c r="M315" s="1192"/>
      <c r="N315" s="1209"/>
      <c r="O315" s="1387"/>
      <c r="P315" s="1211"/>
      <c r="Q315" s="1211"/>
      <c r="R315" s="1211"/>
      <c r="S315" s="1211"/>
      <c r="T315" s="1209"/>
    </row>
    <row r="316" spans="6:20" s="1191" customFormat="1" x14ac:dyDescent="0.2">
      <c r="F316" s="1192"/>
      <c r="G316" s="1203"/>
      <c r="H316" s="1220"/>
      <c r="I316" s="1243"/>
      <c r="J316" s="1192"/>
      <c r="K316" s="1192"/>
      <c r="L316" s="1216"/>
      <c r="M316" s="1192"/>
      <c r="N316" s="1209"/>
      <c r="O316" s="1387"/>
      <c r="P316" s="1211"/>
      <c r="Q316" s="1211"/>
      <c r="R316" s="1211"/>
      <c r="S316" s="1211"/>
      <c r="T316" s="1209"/>
    </row>
    <row r="317" spans="6:20" s="1191" customFormat="1" x14ac:dyDescent="0.2">
      <c r="F317" s="1192"/>
      <c r="G317" s="1224"/>
      <c r="H317" s="1225"/>
      <c r="I317" s="1226"/>
      <c r="J317" s="1225"/>
      <c r="K317" s="1225"/>
      <c r="L317" s="1227"/>
      <c r="M317" s="1225"/>
      <c r="N317" s="1228"/>
      <c r="O317" s="1388"/>
      <c r="P317" s="1229"/>
      <c r="Q317" s="1229"/>
      <c r="R317" s="1229"/>
      <c r="S317" s="1229"/>
      <c r="T317" s="1228"/>
    </row>
    <row r="318" spans="6:20" s="1191" customFormat="1" x14ac:dyDescent="0.2">
      <c r="F318" s="1192"/>
      <c r="G318" s="1192"/>
      <c r="H318" s="1107"/>
      <c r="I318" s="1189"/>
      <c r="J318" s="1107"/>
      <c r="K318" s="1192"/>
      <c r="L318" s="1216"/>
      <c r="M318" s="1192"/>
      <c r="N318" s="1211"/>
      <c r="O318" s="1211"/>
      <c r="P318" s="1211"/>
      <c r="Q318" s="1211"/>
      <c r="R318" s="1211"/>
      <c r="S318" s="1211"/>
      <c r="T318" s="1211"/>
    </row>
    <row r="320" spans="6:20" s="1191" customFormat="1" ht="23.25" x14ac:dyDescent="0.35">
      <c r="F320" s="1107"/>
      <c r="G320" s="1107"/>
      <c r="H320" s="1194"/>
      <c r="I320" s="1189"/>
      <c r="J320" s="1107"/>
      <c r="K320" s="1107"/>
      <c r="L320" s="1190"/>
      <c r="M320" s="1107"/>
    </row>
    <row r="322" spans="6:21" s="1191" customFormat="1" ht="18" x14ac:dyDescent="0.25">
      <c r="F322" s="1107"/>
      <c r="G322" s="1389"/>
      <c r="H322" s="1390"/>
      <c r="I322" s="1391"/>
      <c r="J322" s="1392"/>
      <c r="K322" s="1392"/>
      <c r="L322" s="1393"/>
      <c r="M322" s="1195"/>
      <c r="N322" s="1187"/>
      <c r="O322" s="1187"/>
      <c r="P322" s="1187"/>
      <c r="Q322" s="1187"/>
      <c r="R322" s="1187"/>
      <c r="S322" s="1187"/>
      <c r="T322" s="1202"/>
    </row>
    <row r="323" spans="6:21" s="1191" customFormat="1" x14ac:dyDescent="0.2">
      <c r="F323" s="1107"/>
      <c r="G323" s="1203"/>
      <c r="H323" s="1394"/>
      <c r="I323" s="1232"/>
      <c r="J323" s="1232"/>
      <c r="K323" s="1394"/>
      <c r="L323" s="1233"/>
      <c r="M323" s="1395"/>
      <c r="N323" s="1211"/>
      <c r="O323" s="1211"/>
      <c r="P323" s="1211"/>
      <c r="Q323" s="1211"/>
      <c r="R323" s="1211"/>
      <c r="S323" s="1211"/>
      <c r="T323" s="1209"/>
    </row>
    <row r="324" spans="6:21" s="1191" customFormat="1" x14ac:dyDescent="0.2">
      <c r="F324" s="1107"/>
      <c r="G324" s="1203"/>
      <c r="H324" s="1204"/>
      <c r="I324" s="1243"/>
      <c r="J324" s="1243"/>
      <c r="K324" s="1192"/>
      <c r="L324" s="1216"/>
      <c r="M324" s="1203"/>
      <c r="N324" s="1211"/>
      <c r="O324" s="1211"/>
      <c r="P324" s="1211"/>
      <c r="Q324" s="1211"/>
      <c r="R324" s="1211"/>
      <c r="S324" s="1211"/>
      <c r="T324" s="1209"/>
    </row>
    <row r="325" spans="6:21" s="1191" customFormat="1" x14ac:dyDescent="0.2">
      <c r="G325" s="1203"/>
      <c r="H325" s="1204"/>
      <c r="I325" s="1243"/>
      <c r="J325" s="1243"/>
      <c r="K325" s="1204"/>
      <c r="L325" s="1216"/>
      <c r="M325" s="1339"/>
      <c r="N325" s="1211"/>
      <c r="O325" s="1211"/>
      <c r="P325" s="1211"/>
      <c r="Q325" s="1211"/>
      <c r="R325" s="1211"/>
      <c r="S325" s="1211"/>
      <c r="T325" s="1209"/>
    </row>
    <row r="326" spans="6:21" s="1191" customFormat="1" x14ac:dyDescent="0.2">
      <c r="G326" s="1203"/>
      <c r="H326" s="1204"/>
      <c r="I326" s="1243"/>
      <c r="J326" s="1243"/>
      <c r="K326" s="1338"/>
      <c r="L326" s="1216"/>
      <c r="M326" s="1339"/>
      <c r="N326" s="1236"/>
      <c r="O326" s="1210"/>
      <c r="P326" s="1210"/>
      <c r="Q326" s="1236"/>
      <c r="R326" s="1210"/>
      <c r="S326" s="1211"/>
      <c r="T326" s="1209"/>
    </row>
    <row r="327" spans="6:21" s="1191" customFormat="1" x14ac:dyDescent="0.2">
      <c r="G327" s="1203"/>
      <c r="H327" s="1204"/>
      <c r="I327" s="1243"/>
      <c r="J327" s="1243"/>
      <c r="K327" s="1192"/>
      <c r="L327" s="1216"/>
      <c r="M327" s="1203"/>
      <c r="N327" s="1211"/>
      <c r="O327" s="1211"/>
      <c r="P327" s="1211"/>
      <c r="Q327" s="1211"/>
      <c r="R327" s="1211"/>
      <c r="S327" s="1211"/>
      <c r="T327" s="1209"/>
    </row>
    <row r="328" spans="6:21" s="1191" customFormat="1" x14ac:dyDescent="0.2">
      <c r="G328" s="1203"/>
      <c r="H328" s="1204"/>
      <c r="I328" s="1243"/>
      <c r="J328" s="1243"/>
      <c r="K328" s="1204"/>
      <c r="L328" s="1216"/>
      <c r="M328" s="1339"/>
      <c r="N328" s="1211"/>
      <c r="O328" s="1211"/>
      <c r="P328" s="1211"/>
      <c r="Q328" s="1211"/>
      <c r="R328" s="1211"/>
      <c r="S328" s="1211"/>
      <c r="T328" s="1209"/>
    </row>
    <row r="329" spans="6:21" s="1191" customFormat="1" x14ac:dyDescent="0.2">
      <c r="G329" s="1203"/>
      <c r="H329" s="1204"/>
      <c r="I329" s="1243"/>
      <c r="J329" s="1243"/>
      <c r="K329" s="1204"/>
      <c r="L329" s="1216"/>
      <c r="M329" s="1339"/>
      <c r="N329" s="1211"/>
      <c r="O329" s="1211"/>
      <c r="P329" s="1211"/>
      <c r="Q329" s="1211"/>
      <c r="R329" s="1211"/>
      <c r="S329" s="1211"/>
      <c r="T329" s="1209"/>
    </row>
    <row r="330" spans="6:21" s="1191" customFormat="1" ht="18" x14ac:dyDescent="0.25">
      <c r="G330" s="1389"/>
      <c r="H330" s="1390"/>
      <c r="I330" s="1391"/>
      <c r="J330" s="1392"/>
      <c r="K330" s="1392"/>
      <c r="L330" s="1393"/>
      <c r="M330" s="1195"/>
      <c r="N330" s="1187"/>
      <c r="O330" s="1187"/>
      <c r="P330" s="1187"/>
      <c r="Q330" s="1187"/>
      <c r="R330" s="1187"/>
      <c r="S330" s="1187"/>
      <c r="T330" s="1202"/>
    </row>
    <row r="331" spans="6:21" s="1191" customFormat="1" x14ac:dyDescent="0.2">
      <c r="G331" s="1203"/>
      <c r="H331" s="1394"/>
      <c r="I331" s="1232"/>
      <c r="J331" s="1232"/>
      <c r="K331" s="1394"/>
      <c r="L331" s="1233"/>
      <c r="M331" s="1395"/>
      <c r="N331" s="1211"/>
      <c r="O331" s="1211"/>
      <c r="P331" s="1211"/>
      <c r="Q331" s="1211"/>
      <c r="R331" s="1211"/>
      <c r="S331" s="1211"/>
      <c r="T331" s="1209"/>
    </row>
    <row r="332" spans="6:21" s="1191" customFormat="1" x14ac:dyDescent="0.2">
      <c r="G332" s="1203"/>
      <c r="H332" s="1204"/>
      <c r="I332" s="1243"/>
      <c r="J332" s="1243"/>
      <c r="K332" s="1338"/>
      <c r="L332" s="1216"/>
      <c r="M332" s="1339"/>
      <c r="N332" s="1211"/>
      <c r="O332" s="1210"/>
      <c r="P332" s="1211"/>
      <c r="Q332" s="1210"/>
      <c r="R332" s="1211"/>
      <c r="S332" s="1396"/>
      <c r="T332" s="1210"/>
      <c r="U332" s="1208"/>
    </row>
    <row r="333" spans="6:21" s="1191" customFormat="1" x14ac:dyDescent="0.2">
      <c r="G333" s="1389"/>
      <c r="H333" s="1204"/>
      <c r="I333" s="1243"/>
      <c r="J333" s="1243"/>
      <c r="K333" s="1338"/>
      <c r="L333" s="1216"/>
      <c r="M333" s="1339"/>
      <c r="N333" s="1211"/>
      <c r="O333" s="1210"/>
      <c r="P333" s="1211"/>
      <c r="Q333" s="1210"/>
      <c r="R333" s="1211"/>
      <c r="S333" s="1396"/>
      <c r="T333" s="1210"/>
      <c r="U333" s="1208"/>
    </row>
    <row r="334" spans="6:21" s="1191" customFormat="1" x14ac:dyDescent="0.2">
      <c r="G334" s="1203"/>
      <c r="H334" s="1192"/>
      <c r="I334" s="1243"/>
      <c r="J334" s="1243"/>
      <c r="K334" s="1192"/>
      <c r="L334" s="1216"/>
      <c r="M334" s="1203"/>
      <c r="N334" s="1211"/>
      <c r="O334" s="1211"/>
      <c r="P334" s="1211"/>
      <c r="Q334" s="1211"/>
      <c r="R334" s="1211"/>
      <c r="S334" s="1211"/>
      <c r="T334" s="1209"/>
    </row>
    <row r="335" spans="6:21" s="1191" customFormat="1" ht="18" x14ac:dyDescent="0.25">
      <c r="G335" s="1389"/>
      <c r="H335" s="1390"/>
      <c r="I335" s="1391"/>
      <c r="J335" s="1391"/>
      <c r="K335" s="1392"/>
      <c r="L335" s="1393"/>
      <c r="M335" s="1195"/>
      <c r="N335" s="1187"/>
      <c r="O335" s="1187"/>
      <c r="P335" s="1187"/>
      <c r="Q335" s="1187"/>
      <c r="R335" s="1187"/>
      <c r="S335" s="1187"/>
      <c r="T335" s="1202"/>
    </row>
    <row r="336" spans="6:21" s="1191" customFormat="1" x14ac:dyDescent="0.2">
      <c r="G336" s="1203"/>
      <c r="H336" s="1394"/>
      <c r="I336" s="1232"/>
      <c r="J336" s="1232"/>
      <c r="K336" s="1394"/>
      <c r="L336" s="1233"/>
      <c r="M336" s="1395"/>
      <c r="N336" s="1211"/>
      <c r="O336" s="1211"/>
      <c r="P336" s="1211"/>
      <c r="Q336" s="1211"/>
      <c r="R336" s="1211"/>
      <c r="S336" s="1211"/>
      <c r="T336" s="1209"/>
    </row>
    <row r="337" spans="7:20" s="1191" customFormat="1" x14ac:dyDescent="0.2">
      <c r="G337" s="1203"/>
      <c r="H337" s="1394"/>
      <c r="I337" s="1232"/>
      <c r="J337" s="1232"/>
      <c r="K337" s="1394"/>
      <c r="L337" s="1233"/>
      <c r="M337" s="1395"/>
      <c r="N337" s="1211"/>
      <c r="O337" s="1211"/>
      <c r="P337" s="1211"/>
      <c r="Q337" s="1211"/>
      <c r="R337" s="1211"/>
      <c r="S337" s="1211"/>
      <c r="T337" s="1209"/>
    </row>
    <row r="338" spans="7:20" s="1191" customFormat="1" x14ac:dyDescent="0.2">
      <c r="G338" s="1203"/>
      <c r="H338" s="1204"/>
      <c r="I338" s="1243"/>
      <c r="J338" s="1243"/>
      <c r="K338" s="1204"/>
      <c r="L338" s="1216"/>
      <c r="M338" s="1339"/>
      <c r="N338" s="1211"/>
      <c r="O338" s="1211"/>
      <c r="P338" s="1211"/>
      <c r="Q338" s="1211"/>
      <c r="R338" s="1211"/>
      <c r="S338" s="1211"/>
      <c r="T338" s="1209"/>
    </row>
    <row r="339" spans="7:20" s="1191" customFormat="1" x14ac:dyDescent="0.2">
      <c r="G339" s="1203"/>
      <c r="H339" s="1204"/>
      <c r="I339" s="1243"/>
      <c r="J339" s="1243"/>
      <c r="K339" s="1204"/>
      <c r="L339" s="1216"/>
      <c r="M339" s="1339"/>
      <c r="N339" s="1211"/>
      <c r="O339" s="1211"/>
      <c r="P339" s="1211"/>
      <c r="Q339" s="1211"/>
      <c r="R339" s="1211"/>
      <c r="S339" s="1211"/>
      <c r="T339" s="1209"/>
    </row>
    <row r="340" spans="7:20" s="1191" customFormat="1" x14ac:dyDescent="0.2">
      <c r="G340" s="1203"/>
      <c r="H340" s="1204"/>
      <c r="I340" s="1243"/>
      <c r="J340" s="1243"/>
      <c r="K340" s="1204"/>
      <c r="L340" s="1216"/>
      <c r="M340" s="1339"/>
      <c r="N340" s="1211"/>
      <c r="O340" s="1211"/>
      <c r="P340" s="1211"/>
      <c r="Q340" s="1211"/>
      <c r="R340" s="1211"/>
      <c r="S340" s="1211"/>
      <c r="T340" s="1209"/>
    </row>
    <row r="341" spans="7:20" s="1191" customFormat="1" x14ac:dyDescent="0.2">
      <c r="G341" s="1203"/>
      <c r="H341" s="1204"/>
      <c r="I341" s="1243"/>
      <c r="J341" s="1243"/>
      <c r="K341" s="1204"/>
      <c r="L341" s="1216"/>
      <c r="M341" s="1339"/>
      <c r="N341" s="1211"/>
      <c r="O341" s="1211"/>
      <c r="P341" s="1211"/>
      <c r="Q341" s="1211"/>
      <c r="R341" s="1211"/>
      <c r="S341" s="1211"/>
      <c r="T341" s="1209"/>
    </row>
    <row r="342" spans="7:20" s="1191" customFormat="1" x14ac:dyDescent="0.2">
      <c r="G342" s="1203"/>
      <c r="H342" s="1204"/>
      <c r="I342" s="1243"/>
      <c r="J342" s="1243"/>
      <c r="K342" s="1204"/>
      <c r="L342" s="1216"/>
      <c r="M342" s="1339"/>
      <c r="N342" s="1211"/>
      <c r="O342" s="1211"/>
      <c r="P342" s="1211"/>
      <c r="Q342" s="1211"/>
      <c r="R342" s="1211"/>
      <c r="S342" s="1211"/>
      <c r="T342" s="1209"/>
    </row>
    <row r="343" spans="7:20" s="1191" customFormat="1" x14ac:dyDescent="0.2">
      <c r="G343" s="1203"/>
      <c r="H343" s="1204"/>
      <c r="I343" s="1243"/>
      <c r="J343" s="1243"/>
      <c r="K343" s="1204"/>
      <c r="L343" s="1216"/>
      <c r="M343" s="1339"/>
      <c r="N343" s="1211"/>
      <c r="O343" s="1211"/>
      <c r="P343" s="1211"/>
      <c r="Q343" s="1211"/>
      <c r="R343" s="1211"/>
      <c r="S343" s="1211"/>
      <c r="T343" s="1209"/>
    </row>
    <row r="344" spans="7:20" s="1191" customFormat="1" x14ac:dyDescent="0.2">
      <c r="G344" s="1203"/>
      <c r="H344" s="1204"/>
      <c r="I344" s="1243"/>
      <c r="J344" s="1243"/>
      <c r="K344" s="1204"/>
      <c r="L344" s="1216"/>
      <c r="M344" s="1339"/>
      <c r="N344" s="1211"/>
      <c r="O344" s="1211"/>
      <c r="P344" s="1211"/>
      <c r="Q344" s="1211"/>
      <c r="R344" s="1211"/>
      <c r="S344" s="1211"/>
      <c r="T344" s="1209"/>
    </row>
    <row r="345" spans="7:20" s="1191" customFormat="1" x14ac:dyDescent="0.2">
      <c r="G345" s="1203"/>
      <c r="H345" s="1204"/>
      <c r="I345" s="1243"/>
      <c r="J345" s="1243"/>
      <c r="K345" s="1204"/>
      <c r="L345" s="1216"/>
      <c r="M345" s="1339"/>
      <c r="N345" s="1211"/>
      <c r="O345" s="1211"/>
      <c r="P345" s="1211"/>
      <c r="Q345" s="1211"/>
      <c r="R345" s="1211"/>
      <c r="S345" s="1211"/>
      <c r="T345" s="1209"/>
    </row>
    <row r="346" spans="7:20" s="1191" customFormat="1" x14ac:dyDescent="0.2">
      <c r="G346" s="1203"/>
      <c r="H346" s="1204"/>
      <c r="I346" s="1243"/>
      <c r="J346" s="1243"/>
      <c r="K346" s="1204"/>
      <c r="L346" s="1216"/>
      <c r="M346" s="1339"/>
      <c r="N346" s="1211"/>
      <c r="O346" s="1211"/>
      <c r="P346" s="1211"/>
      <c r="Q346" s="1211"/>
      <c r="R346" s="1211"/>
      <c r="S346" s="1211"/>
      <c r="T346" s="1209"/>
    </row>
    <row r="347" spans="7:20" s="1191" customFormat="1" x14ac:dyDescent="0.2">
      <c r="G347" s="1203"/>
      <c r="H347" s="1204"/>
      <c r="I347" s="1243"/>
      <c r="J347" s="1243"/>
      <c r="K347" s="1204"/>
      <c r="L347" s="1216"/>
      <c r="M347" s="1339"/>
      <c r="N347" s="1211"/>
      <c r="O347" s="1211"/>
      <c r="P347" s="1211"/>
      <c r="Q347" s="1211"/>
      <c r="R347" s="1211"/>
      <c r="S347" s="1211"/>
      <c r="T347" s="1209"/>
    </row>
    <row r="348" spans="7:20" s="1191" customFormat="1" x14ac:dyDescent="0.2">
      <c r="G348" s="1203"/>
      <c r="H348" s="1204"/>
      <c r="I348" s="1243"/>
      <c r="J348" s="1243"/>
      <c r="K348" s="1204"/>
      <c r="L348" s="1216"/>
      <c r="M348" s="1339"/>
      <c r="N348" s="1211"/>
      <c r="O348" s="1211"/>
      <c r="P348" s="1211"/>
      <c r="Q348" s="1211"/>
      <c r="R348" s="1211"/>
      <c r="S348" s="1211"/>
      <c r="T348" s="1209"/>
    </row>
    <row r="349" spans="7:20" s="1191" customFormat="1" x14ac:dyDescent="0.2">
      <c r="G349" s="1203"/>
      <c r="H349" s="1204"/>
      <c r="I349" s="1243"/>
      <c r="J349" s="1243"/>
      <c r="K349" s="1204"/>
      <c r="L349" s="1216"/>
      <c r="M349" s="1339"/>
      <c r="N349" s="1211"/>
      <c r="O349" s="1211"/>
      <c r="P349" s="1211"/>
      <c r="Q349" s="1211"/>
      <c r="R349" s="1211"/>
      <c r="S349" s="1211"/>
      <c r="T349" s="1209"/>
    </row>
    <row r="350" spans="7:20" s="1191" customFormat="1" x14ac:dyDescent="0.2">
      <c r="G350" s="1203"/>
      <c r="H350" s="1204"/>
      <c r="I350" s="1243"/>
      <c r="J350" s="1243"/>
      <c r="K350" s="1204"/>
      <c r="L350" s="1216"/>
      <c r="M350" s="1203"/>
      <c r="N350" s="1211"/>
      <c r="O350" s="1211"/>
      <c r="P350" s="1211"/>
      <c r="Q350" s="1211"/>
      <c r="R350" s="1211"/>
      <c r="S350" s="1211"/>
      <c r="T350" s="1209"/>
    </row>
    <row r="351" spans="7:20" s="1191" customFormat="1" x14ac:dyDescent="0.2">
      <c r="G351" s="1203"/>
      <c r="H351" s="1192"/>
      <c r="I351" s="1243"/>
      <c r="J351" s="1243"/>
      <c r="K351" s="1192"/>
      <c r="L351" s="1216"/>
      <c r="M351" s="1203"/>
      <c r="N351" s="1211"/>
      <c r="O351" s="1211"/>
      <c r="P351" s="1211"/>
      <c r="Q351" s="1211"/>
      <c r="R351" s="1211"/>
      <c r="S351" s="1211"/>
      <c r="T351" s="1209"/>
    </row>
    <row r="352" spans="7:20" s="1191" customFormat="1" x14ac:dyDescent="0.2">
      <c r="G352" s="1203"/>
      <c r="H352" s="1192"/>
      <c r="I352" s="1243"/>
      <c r="J352" s="1243"/>
      <c r="K352" s="1192"/>
      <c r="L352" s="1216"/>
      <c r="M352" s="1203"/>
      <c r="N352" s="1211"/>
      <c r="O352" s="1211"/>
      <c r="P352" s="1211"/>
      <c r="Q352" s="1211"/>
      <c r="R352" s="1211"/>
      <c r="S352" s="1211"/>
      <c r="T352" s="1209"/>
    </row>
    <row r="353" spans="7:20" s="1191" customFormat="1" x14ac:dyDescent="0.2">
      <c r="G353" s="1203"/>
      <c r="H353" s="1192"/>
      <c r="I353" s="1243"/>
      <c r="J353" s="1243"/>
      <c r="K353" s="1192"/>
      <c r="L353" s="1216"/>
      <c r="M353" s="1203"/>
      <c r="N353" s="1211"/>
      <c r="O353" s="1211"/>
      <c r="P353" s="1211"/>
      <c r="Q353" s="1211"/>
      <c r="R353" s="1211"/>
      <c r="S353" s="1211"/>
      <c r="T353" s="1209"/>
    </row>
    <row r="354" spans="7:20" s="1191" customFormat="1" x14ac:dyDescent="0.2">
      <c r="G354" s="1203"/>
      <c r="H354" s="1192"/>
      <c r="I354" s="1243"/>
      <c r="J354" s="1243"/>
      <c r="K354" s="1192"/>
      <c r="L354" s="1216"/>
      <c r="M354" s="1203"/>
      <c r="N354" s="1211"/>
      <c r="O354" s="1211"/>
      <c r="P354" s="1211"/>
      <c r="Q354" s="1211"/>
      <c r="R354" s="1211"/>
      <c r="S354" s="1211"/>
      <c r="T354" s="1209"/>
    </row>
    <row r="355" spans="7:20" s="1191" customFormat="1" x14ac:dyDescent="0.2">
      <c r="G355" s="1203"/>
      <c r="H355" s="1192"/>
      <c r="I355" s="1243"/>
      <c r="J355" s="1243"/>
      <c r="K355" s="1192"/>
      <c r="L355" s="1216"/>
      <c r="M355" s="1203"/>
      <c r="N355" s="1211"/>
      <c r="O355" s="1211"/>
      <c r="P355" s="1211"/>
      <c r="Q355" s="1211"/>
      <c r="R355" s="1211"/>
      <c r="S355" s="1211"/>
      <c r="T355" s="1209"/>
    </row>
    <row r="356" spans="7:20" s="1191" customFormat="1" x14ac:dyDescent="0.2">
      <c r="G356" s="1203"/>
      <c r="H356" s="1192"/>
      <c r="I356" s="1243"/>
      <c r="J356" s="1243"/>
      <c r="K356" s="1192"/>
      <c r="L356" s="1216"/>
      <c r="M356" s="1203"/>
      <c r="N356" s="1211"/>
      <c r="O356" s="1211"/>
      <c r="P356" s="1211"/>
      <c r="Q356" s="1211"/>
      <c r="R356" s="1211"/>
      <c r="S356" s="1211"/>
      <c r="T356" s="1209"/>
    </row>
    <row r="357" spans="7:20" s="1191" customFormat="1" x14ac:dyDescent="0.2">
      <c r="G357" s="1203"/>
      <c r="H357" s="1192"/>
      <c r="I357" s="1243"/>
      <c r="J357" s="1243"/>
      <c r="K357" s="1192"/>
      <c r="L357" s="1216"/>
      <c r="M357" s="1203"/>
      <c r="N357" s="1211"/>
      <c r="O357" s="1211"/>
      <c r="P357" s="1211"/>
      <c r="Q357" s="1211"/>
      <c r="R357" s="1211"/>
      <c r="S357" s="1211"/>
      <c r="T357" s="1209"/>
    </row>
    <row r="358" spans="7:20" s="1191" customFormat="1" ht="18" x14ac:dyDescent="0.25">
      <c r="G358" s="1389"/>
      <c r="H358" s="1390"/>
      <c r="I358" s="1391"/>
      <c r="J358" s="1391"/>
      <c r="K358" s="1392"/>
      <c r="L358" s="1393"/>
      <c r="M358" s="1195"/>
      <c r="N358" s="1187"/>
      <c r="O358" s="1187"/>
      <c r="P358" s="1187"/>
      <c r="Q358" s="1187"/>
      <c r="R358" s="1187"/>
      <c r="S358" s="1187"/>
      <c r="T358" s="1202"/>
    </row>
    <row r="359" spans="7:20" s="1191" customFormat="1" x14ac:dyDescent="0.2">
      <c r="G359" s="1203"/>
      <c r="H359" s="1394"/>
      <c r="I359" s="1232"/>
      <c r="J359" s="1232"/>
      <c r="K359" s="1394"/>
      <c r="L359" s="1233"/>
      <c r="M359" s="1395"/>
      <c r="N359" s="1211"/>
      <c r="O359" s="1211"/>
      <c r="P359" s="1211"/>
      <c r="Q359" s="1211"/>
      <c r="R359" s="1211"/>
      <c r="S359" s="1211"/>
      <c r="T359" s="1209"/>
    </row>
    <row r="360" spans="7:20" s="1191" customFormat="1" x14ac:dyDescent="0.2">
      <c r="G360" s="1203"/>
      <c r="H360" s="1394"/>
      <c r="I360" s="1232"/>
      <c r="J360" s="1232"/>
      <c r="K360" s="1394"/>
      <c r="L360" s="1233"/>
      <c r="M360" s="1395"/>
      <c r="N360" s="1211"/>
      <c r="O360" s="1211"/>
      <c r="P360" s="1211"/>
      <c r="Q360" s="1211"/>
      <c r="R360" s="1211"/>
      <c r="S360" s="1211"/>
      <c r="T360" s="1209"/>
    </row>
    <row r="361" spans="7:20" s="1191" customFormat="1" x14ac:dyDescent="0.2">
      <c r="G361" s="1203"/>
      <c r="H361" s="1204"/>
      <c r="I361" s="1243"/>
      <c r="J361" s="1243"/>
      <c r="K361" s="1204"/>
      <c r="L361" s="1216"/>
      <c r="M361" s="1339"/>
      <c r="N361" s="1211"/>
      <c r="O361" s="1211"/>
      <c r="P361" s="1211"/>
      <c r="Q361" s="1211"/>
      <c r="R361" s="1211"/>
      <c r="S361" s="1211"/>
      <c r="T361" s="1209"/>
    </row>
    <row r="362" spans="7:20" s="1191" customFormat="1" x14ac:dyDescent="0.2">
      <c r="G362" s="1203"/>
      <c r="H362" s="1204"/>
      <c r="I362" s="1243"/>
      <c r="J362" s="1243"/>
      <c r="K362" s="1204"/>
      <c r="L362" s="1216"/>
      <c r="M362" s="1339"/>
      <c r="N362" s="1211"/>
      <c r="O362" s="1211"/>
      <c r="P362" s="1211"/>
      <c r="Q362" s="1211"/>
      <c r="R362" s="1211"/>
      <c r="S362" s="1211"/>
      <c r="T362" s="1209"/>
    </row>
    <row r="363" spans="7:20" s="1191" customFormat="1" x14ac:dyDescent="0.2">
      <c r="G363" s="1203"/>
      <c r="H363" s="1204"/>
      <c r="I363" s="1243"/>
      <c r="J363" s="1243"/>
      <c r="K363" s="1204"/>
      <c r="L363" s="1216"/>
      <c r="M363" s="1339"/>
      <c r="N363" s="1211"/>
      <c r="O363" s="1211"/>
      <c r="P363" s="1211"/>
      <c r="Q363" s="1211"/>
      <c r="R363" s="1211"/>
      <c r="S363" s="1211"/>
      <c r="T363" s="1209"/>
    </row>
    <row r="364" spans="7:20" s="1191" customFormat="1" x14ac:dyDescent="0.2">
      <c r="G364" s="1203"/>
      <c r="H364" s="1204"/>
      <c r="I364" s="1243"/>
      <c r="J364" s="1243"/>
      <c r="K364" s="1204"/>
      <c r="L364" s="1216"/>
      <c r="M364" s="1339"/>
      <c r="N364" s="1211"/>
      <c r="O364" s="1211"/>
      <c r="P364" s="1211"/>
      <c r="Q364" s="1211"/>
      <c r="R364" s="1211"/>
      <c r="S364" s="1211"/>
      <c r="T364" s="1209"/>
    </row>
    <row r="365" spans="7:20" s="1191" customFormat="1" x14ac:dyDescent="0.2">
      <c r="G365" s="1203"/>
      <c r="H365" s="1204"/>
      <c r="I365" s="1243"/>
      <c r="J365" s="1243"/>
      <c r="K365" s="1204"/>
      <c r="L365" s="1216"/>
      <c r="M365" s="1203"/>
      <c r="N365" s="1211"/>
      <c r="O365" s="1211"/>
      <c r="P365" s="1211"/>
      <c r="Q365" s="1211"/>
      <c r="R365" s="1211"/>
      <c r="S365" s="1211"/>
      <c r="T365" s="1209"/>
    </row>
    <row r="366" spans="7:20" s="1191" customFormat="1" x14ac:dyDescent="0.2">
      <c r="G366" s="1203"/>
      <c r="H366" s="1204"/>
      <c r="I366" s="1243"/>
      <c r="J366" s="1243"/>
      <c r="K366" s="1204"/>
      <c r="L366" s="1216"/>
      <c r="M366" s="1339"/>
      <c r="N366" s="1211"/>
      <c r="O366" s="1211"/>
      <c r="P366" s="1211"/>
      <c r="Q366" s="1211"/>
      <c r="R366" s="1211"/>
      <c r="S366" s="1211"/>
      <c r="T366" s="1209"/>
    </row>
    <row r="367" spans="7:20" s="1191" customFormat="1" x14ac:dyDescent="0.2">
      <c r="G367" s="1203"/>
      <c r="H367" s="1204"/>
      <c r="I367" s="1243"/>
      <c r="J367" s="1243"/>
      <c r="K367" s="1204"/>
      <c r="L367" s="1216"/>
      <c r="M367" s="1339"/>
      <c r="N367" s="1211"/>
      <c r="O367" s="1211"/>
      <c r="P367" s="1211"/>
      <c r="Q367" s="1211"/>
      <c r="R367" s="1211"/>
      <c r="S367" s="1211"/>
      <c r="T367" s="1209"/>
    </row>
    <row r="368" spans="7:20" s="1191" customFormat="1" x14ac:dyDescent="0.2">
      <c r="G368" s="1203"/>
      <c r="H368" s="1204"/>
      <c r="I368" s="1243"/>
      <c r="J368" s="1243"/>
      <c r="K368" s="1204"/>
      <c r="L368" s="1216"/>
      <c r="M368" s="1339"/>
      <c r="N368" s="1211"/>
      <c r="O368" s="1211"/>
      <c r="P368" s="1211"/>
      <c r="Q368" s="1211"/>
      <c r="R368" s="1211"/>
      <c r="S368" s="1211"/>
      <c r="T368" s="1209"/>
    </row>
    <row r="369" spans="7:20" s="1191" customFormat="1" x14ac:dyDescent="0.2">
      <c r="G369" s="1203"/>
      <c r="H369" s="1204"/>
      <c r="I369" s="1243"/>
      <c r="J369" s="1243"/>
      <c r="K369" s="1204"/>
      <c r="L369" s="1216"/>
      <c r="M369" s="1203"/>
      <c r="N369" s="1211"/>
      <c r="O369" s="1211"/>
      <c r="P369" s="1211"/>
      <c r="Q369" s="1211"/>
      <c r="R369" s="1211"/>
      <c r="S369" s="1211"/>
      <c r="T369" s="1209"/>
    </row>
    <row r="370" spans="7:20" s="1191" customFormat="1" x14ac:dyDescent="0.2">
      <c r="G370" s="1203"/>
      <c r="H370" s="1204"/>
      <c r="I370" s="1243"/>
      <c r="J370" s="1243"/>
      <c r="K370" s="1204"/>
      <c r="L370" s="1216"/>
      <c r="M370" s="1203"/>
      <c r="N370" s="1211"/>
      <c r="O370" s="1211"/>
      <c r="P370" s="1211"/>
      <c r="Q370" s="1211"/>
      <c r="R370" s="1211"/>
      <c r="S370" s="1211"/>
      <c r="T370" s="1209"/>
    </row>
    <row r="371" spans="7:20" s="1191" customFormat="1" x14ac:dyDescent="0.2">
      <c r="G371" s="1203"/>
      <c r="H371" s="1204"/>
      <c r="I371" s="1243"/>
      <c r="J371" s="1243"/>
      <c r="K371" s="1204"/>
      <c r="L371" s="1216"/>
      <c r="M371" s="1203"/>
      <c r="N371" s="1211"/>
      <c r="O371" s="1211"/>
      <c r="P371" s="1211"/>
      <c r="Q371" s="1211"/>
      <c r="R371" s="1211"/>
      <c r="S371" s="1211"/>
      <c r="T371" s="1209"/>
    </row>
    <row r="372" spans="7:20" s="1191" customFormat="1" x14ac:dyDescent="0.2">
      <c r="G372" s="1203"/>
      <c r="H372" s="1204"/>
      <c r="I372" s="1243"/>
      <c r="J372" s="1243"/>
      <c r="K372" s="1204"/>
      <c r="L372" s="1216"/>
      <c r="M372" s="1203"/>
      <c r="N372" s="1211"/>
      <c r="O372" s="1211"/>
      <c r="P372" s="1211"/>
      <c r="Q372" s="1211"/>
      <c r="R372" s="1211"/>
      <c r="S372" s="1211"/>
      <c r="T372" s="1209"/>
    </row>
    <row r="373" spans="7:20" s="1191" customFormat="1" x14ac:dyDescent="0.2">
      <c r="G373" s="1203"/>
      <c r="H373" s="1204"/>
      <c r="I373" s="1243"/>
      <c r="J373" s="1243"/>
      <c r="K373" s="1204"/>
      <c r="L373" s="1216"/>
      <c r="M373" s="1203"/>
      <c r="N373" s="1211"/>
      <c r="O373" s="1211"/>
      <c r="P373" s="1211"/>
      <c r="Q373" s="1211"/>
      <c r="R373" s="1211"/>
      <c r="S373" s="1211"/>
      <c r="T373" s="1209"/>
    </row>
    <row r="374" spans="7:20" s="1191" customFormat="1" x14ac:dyDescent="0.2">
      <c r="G374" s="1203"/>
      <c r="H374" s="1204"/>
      <c r="I374" s="1243"/>
      <c r="J374" s="1243"/>
      <c r="K374" s="1204"/>
      <c r="L374" s="1216"/>
      <c r="M374" s="1203"/>
      <c r="N374" s="1211"/>
      <c r="O374" s="1211"/>
      <c r="P374" s="1211"/>
      <c r="Q374" s="1211"/>
      <c r="R374" s="1211"/>
      <c r="S374" s="1211"/>
      <c r="T374" s="1209"/>
    </row>
    <row r="375" spans="7:20" s="1191" customFormat="1" x14ac:dyDescent="0.2">
      <c r="G375" s="1203"/>
      <c r="H375" s="1204"/>
      <c r="I375" s="1243"/>
      <c r="J375" s="1243"/>
      <c r="K375" s="1204"/>
      <c r="L375" s="1216"/>
      <c r="M375" s="1203"/>
      <c r="N375" s="1211"/>
      <c r="O375" s="1211"/>
      <c r="P375" s="1211"/>
      <c r="Q375" s="1211"/>
      <c r="R375" s="1211"/>
      <c r="S375" s="1211"/>
      <c r="T375" s="1209"/>
    </row>
    <row r="376" spans="7:20" s="1191" customFormat="1" x14ac:dyDescent="0.2">
      <c r="G376" s="1203"/>
      <c r="H376" s="1204"/>
      <c r="I376" s="1243"/>
      <c r="J376" s="1243"/>
      <c r="K376" s="1204"/>
      <c r="L376" s="1216"/>
      <c r="M376" s="1203"/>
      <c r="N376" s="1211"/>
      <c r="O376" s="1211"/>
      <c r="P376" s="1211"/>
      <c r="Q376" s="1211"/>
      <c r="R376" s="1211"/>
      <c r="S376" s="1211"/>
      <c r="T376" s="1209"/>
    </row>
    <row r="377" spans="7:20" s="1191" customFormat="1" x14ac:dyDescent="0.2">
      <c r="G377" s="1203"/>
      <c r="H377" s="1204"/>
      <c r="I377" s="1243"/>
      <c r="J377" s="1243"/>
      <c r="K377" s="1204"/>
      <c r="L377" s="1216"/>
      <c r="M377" s="1203"/>
      <c r="N377" s="1211"/>
      <c r="O377" s="1211"/>
      <c r="P377" s="1211"/>
      <c r="Q377" s="1211"/>
      <c r="R377" s="1211"/>
      <c r="S377" s="1211"/>
      <c r="T377" s="1209"/>
    </row>
    <row r="378" spans="7:20" s="1191" customFormat="1" x14ac:dyDescent="0.2">
      <c r="G378" s="1203"/>
      <c r="H378" s="1204"/>
      <c r="I378" s="1243"/>
      <c r="J378" s="1243"/>
      <c r="K378" s="1204"/>
      <c r="L378" s="1216"/>
      <c r="M378" s="1203"/>
      <c r="N378" s="1211"/>
      <c r="O378" s="1211"/>
      <c r="P378" s="1211"/>
      <c r="Q378" s="1211"/>
      <c r="R378" s="1211"/>
      <c r="S378" s="1211"/>
      <c r="T378" s="1209"/>
    </row>
    <row r="379" spans="7:20" s="1191" customFormat="1" x14ac:dyDescent="0.2">
      <c r="G379" s="1203"/>
      <c r="H379" s="1204"/>
      <c r="I379" s="1243"/>
      <c r="J379" s="1243"/>
      <c r="K379" s="1204"/>
      <c r="L379" s="1216"/>
      <c r="M379" s="1203"/>
      <c r="N379" s="1211"/>
      <c r="O379" s="1211"/>
      <c r="P379" s="1211"/>
      <c r="Q379" s="1211"/>
      <c r="R379" s="1211"/>
      <c r="S379" s="1211"/>
      <c r="T379" s="1209"/>
    </row>
    <row r="380" spans="7:20" s="1191" customFormat="1" x14ac:dyDescent="0.2">
      <c r="G380" s="1203"/>
      <c r="H380" s="1204"/>
      <c r="I380" s="1243"/>
      <c r="J380" s="1243"/>
      <c r="K380" s="1204"/>
      <c r="L380" s="1216"/>
      <c r="M380" s="1203"/>
      <c r="N380" s="1211"/>
      <c r="O380" s="1211"/>
      <c r="P380" s="1211"/>
      <c r="Q380" s="1211"/>
      <c r="R380" s="1211"/>
      <c r="S380" s="1211"/>
      <c r="T380" s="1209"/>
    </row>
    <row r="381" spans="7:20" s="1191" customFormat="1" x14ac:dyDescent="0.2">
      <c r="G381" s="1203"/>
      <c r="H381" s="1220"/>
      <c r="I381" s="1243"/>
      <c r="J381" s="1243"/>
      <c r="K381" s="1192"/>
      <c r="L381" s="1216"/>
      <c r="M381" s="1203"/>
      <c r="N381" s="1211"/>
      <c r="O381" s="1211"/>
      <c r="P381" s="1211"/>
      <c r="Q381" s="1211"/>
      <c r="R381" s="1211"/>
      <c r="S381" s="1211"/>
      <c r="T381" s="1209"/>
    </row>
    <row r="382" spans="7:20" s="1191" customFormat="1" x14ac:dyDescent="0.2">
      <c r="G382" s="1203"/>
      <c r="H382" s="1204"/>
      <c r="I382" s="1243"/>
      <c r="J382" s="1243"/>
      <c r="K382" s="1204"/>
      <c r="L382" s="1107"/>
      <c r="M382" s="1397"/>
      <c r="N382" s="1211"/>
      <c r="O382" s="1211"/>
      <c r="P382" s="1211"/>
      <c r="Q382" s="1211"/>
      <c r="R382" s="1211"/>
      <c r="S382" s="1211"/>
      <c r="T382" s="1209"/>
    </row>
    <row r="383" spans="7:20" s="1191" customFormat="1" x14ac:dyDescent="0.2">
      <c r="G383" s="1203"/>
      <c r="H383" s="1204"/>
      <c r="I383" s="1243"/>
      <c r="J383" s="1243"/>
      <c r="K383" s="1204"/>
      <c r="L383" s="1107"/>
      <c r="M383" s="1397"/>
      <c r="N383" s="1211"/>
      <c r="O383" s="1211"/>
      <c r="P383" s="1211"/>
      <c r="Q383" s="1211"/>
      <c r="R383" s="1211"/>
      <c r="S383" s="1211"/>
      <c r="T383" s="1209"/>
    </row>
    <row r="384" spans="7:20" s="1191" customFormat="1" x14ac:dyDescent="0.2">
      <c r="G384" s="1203"/>
      <c r="H384" s="1204"/>
      <c r="I384" s="1243"/>
      <c r="J384" s="1243"/>
      <c r="K384" s="1204"/>
      <c r="L384" s="1107"/>
      <c r="M384" s="1397"/>
      <c r="N384" s="1211"/>
      <c r="O384" s="1211"/>
      <c r="P384" s="1211"/>
      <c r="Q384" s="1211"/>
      <c r="R384" s="1211"/>
      <c r="S384" s="1211"/>
      <c r="T384" s="1209"/>
    </row>
    <row r="385" spans="7:20" s="1191" customFormat="1" x14ac:dyDescent="0.2">
      <c r="G385" s="1203"/>
      <c r="H385" s="1204"/>
      <c r="I385" s="1243"/>
      <c r="J385" s="1243"/>
      <c r="K385" s="1204"/>
      <c r="L385" s="1107"/>
      <c r="M385" s="1397"/>
      <c r="N385" s="1211"/>
      <c r="O385" s="1211"/>
      <c r="P385" s="1211"/>
      <c r="Q385" s="1211"/>
      <c r="R385" s="1211"/>
      <c r="S385" s="1211"/>
      <c r="T385" s="1209"/>
    </row>
    <row r="386" spans="7:20" s="1191" customFormat="1" x14ac:dyDescent="0.2">
      <c r="G386" s="1203"/>
      <c r="H386" s="1204"/>
      <c r="I386" s="1243"/>
      <c r="J386" s="1243"/>
      <c r="K386" s="1204"/>
      <c r="L386" s="1107"/>
      <c r="M386" s="1398"/>
      <c r="N386" s="1211"/>
      <c r="O386" s="1211"/>
      <c r="P386" s="1211"/>
      <c r="Q386" s="1211"/>
      <c r="R386" s="1211"/>
      <c r="S386" s="1211"/>
      <c r="T386" s="1209"/>
    </row>
    <row r="387" spans="7:20" s="1191" customFormat="1" x14ac:dyDescent="0.2">
      <c r="G387" s="1203"/>
      <c r="H387" s="1204"/>
      <c r="I387" s="1243"/>
      <c r="J387" s="1243"/>
      <c r="K387" s="1204"/>
      <c r="L387" s="1107"/>
      <c r="M387" s="1397"/>
      <c r="N387" s="1211"/>
      <c r="O387" s="1211"/>
      <c r="P387" s="1211"/>
      <c r="Q387" s="1211"/>
      <c r="R387" s="1211"/>
      <c r="S387" s="1211"/>
      <c r="T387" s="1209"/>
    </row>
    <row r="388" spans="7:20" s="1191" customFormat="1" x14ac:dyDescent="0.2">
      <c r="G388" s="1203"/>
      <c r="H388" s="1204"/>
      <c r="I388" s="1243"/>
      <c r="J388" s="1243"/>
      <c r="K388" s="1204"/>
      <c r="L388" s="1107"/>
      <c r="M388" s="1398"/>
      <c r="N388" s="1211"/>
      <c r="O388" s="1211"/>
      <c r="P388" s="1211"/>
      <c r="Q388" s="1211"/>
      <c r="R388" s="1211"/>
      <c r="S388" s="1211"/>
      <c r="T388" s="1209"/>
    </row>
    <row r="389" spans="7:20" s="1191" customFormat="1" x14ac:dyDescent="0.2">
      <c r="G389" s="1203"/>
      <c r="H389" s="1204"/>
      <c r="I389" s="1243"/>
      <c r="J389" s="1243"/>
      <c r="K389" s="1204"/>
      <c r="L389" s="1107"/>
      <c r="M389" s="1398"/>
      <c r="N389" s="1211"/>
      <c r="O389" s="1211"/>
      <c r="P389" s="1211"/>
      <c r="Q389" s="1211"/>
      <c r="R389" s="1211"/>
      <c r="S389" s="1211"/>
      <c r="T389" s="1209"/>
    </row>
    <row r="390" spans="7:20" s="1191" customFormat="1" x14ac:dyDescent="0.2">
      <c r="G390" s="1203"/>
      <c r="H390" s="1204"/>
      <c r="I390" s="1243"/>
      <c r="J390" s="1243"/>
      <c r="K390" s="1192"/>
      <c r="L390" s="1107"/>
      <c r="M390" s="1398"/>
      <c r="N390" s="1211"/>
      <c r="O390" s="1211"/>
      <c r="P390" s="1211"/>
      <c r="Q390" s="1211"/>
      <c r="R390" s="1211"/>
      <c r="S390" s="1211"/>
      <c r="T390" s="1209"/>
    </row>
    <row r="391" spans="7:20" s="1191" customFormat="1" x14ac:dyDescent="0.2">
      <c r="G391" s="1203"/>
      <c r="H391" s="1204"/>
      <c r="I391" s="1243"/>
      <c r="J391" s="1243"/>
      <c r="K391" s="1204"/>
      <c r="L391" s="1107"/>
      <c r="M391" s="1398"/>
      <c r="N391" s="1211"/>
      <c r="O391" s="1211"/>
      <c r="P391" s="1211"/>
      <c r="Q391" s="1211"/>
      <c r="R391" s="1211"/>
      <c r="S391" s="1211"/>
      <c r="T391" s="1209"/>
    </row>
    <row r="392" spans="7:20" s="1191" customFormat="1" x14ac:dyDescent="0.2">
      <c r="G392" s="1203"/>
      <c r="H392" s="1204"/>
      <c r="I392" s="1243"/>
      <c r="J392" s="1243"/>
      <c r="K392" s="1204"/>
      <c r="L392" s="1107"/>
      <c r="M392" s="1398"/>
      <c r="N392" s="1211"/>
      <c r="O392" s="1211"/>
      <c r="P392" s="1211"/>
      <c r="Q392" s="1211"/>
      <c r="R392" s="1211"/>
      <c r="S392" s="1211"/>
      <c r="T392" s="1209"/>
    </row>
    <row r="393" spans="7:20" s="1191" customFormat="1" x14ac:dyDescent="0.2">
      <c r="G393" s="1203"/>
      <c r="H393" s="1204"/>
      <c r="I393" s="1243"/>
      <c r="J393" s="1243"/>
      <c r="K393" s="1204"/>
      <c r="L393" s="1107"/>
      <c r="M393" s="1398"/>
      <c r="N393" s="1211"/>
      <c r="O393" s="1211"/>
      <c r="P393" s="1211"/>
      <c r="Q393" s="1211"/>
      <c r="R393" s="1211"/>
      <c r="S393" s="1211"/>
      <c r="T393" s="1209"/>
    </row>
    <row r="394" spans="7:20" s="1191" customFormat="1" x14ac:dyDescent="0.2">
      <c r="G394" s="1203"/>
      <c r="H394" s="1204"/>
      <c r="I394" s="1243"/>
      <c r="J394" s="1243"/>
      <c r="K394" s="1204"/>
      <c r="L394" s="1107"/>
      <c r="M394" s="1398"/>
      <c r="N394" s="1211"/>
      <c r="O394" s="1211"/>
      <c r="P394" s="1211"/>
      <c r="Q394" s="1211"/>
      <c r="R394" s="1211"/>
      <c r="S394" s="1211"/>
      <c r="T394" s="1209"/>
    </row>
    <row r="395" spans="7:20" s="1191" customFormat="1" x14ac:dyDescent="0.2">
      <c r="G395" s="1203"/>
      <c r="H395" s="1204"/>
      <c r="I395" s="1243"/>
      <c r="J395" s="1243"/>
      <c r="K395" s="1204"/>
      <c r="L395" s="1107"/>
      <c r="M395" s="1398"/>
      <c r="N395" s="1211"/>
      <c r="O395" s="1211"/>
      <c r="P395" s="1211"/>
      <c r="Q395" s="1211"/>
      <c r="R395" s="1211"/>
      <c r="S395" s="1211"/>
      <c r="T395" s="1209"/>
    </row>
    <row r="396" spans="7:20" s="1191" customFormat="1" x14ac:dyDescent="0.2">
      <c r="G396" s="1203"/>
      <c r="H396" s="1204"/>
      <c r="I396" s="1243"/>
      <c r="J396" s="1243"/>
      <c r="K396" s="1204"/>
      <c r="L396" s="1107"/>
      <c r="M396" s="1398"/>
      <c r="N396" s="1211"/>
      <c r="O396" s="1211"/>
      <c r="P396" s="1211"/>
      <c r="Q396" s="1211"/>
      <c r="R396" s="1211"/>
      <c r="S396" s="1211"/>
      <c r="T396" s="1209"/>
    </row>
    <row r="397" spans="7:20" s="1191" customFormat="1" x14ac:dyDescent="0.2">
      <c r="G397" s="1203"/>
      <c r="H397" s="1204"/>
      <c r="I397" s="1243"/>
      <c r="J397" s="1243"/>
      <c r="K397" s="1192"/>
      <c r="L397" s="1107"/>
      <c r="M397" s="1398"/>
      <c r="N397" s="1211"/>
      <c r="O397" s="1211"/>
      <c r="P397" s="1211"/>
      <c r="Q397" s="1211"/>
      <c r="R397" s="1211"/>
      <c r="S397" s="1211"/>
      <c r="T397" s="1209"/>
    </row>
    <row r="398" spans="7:20" s="1191" customFormat="1" x14ac:dyDescent="0.2">
      <c r="G398" s="1203"/>
      <c r="H398" s="1192"/>
      <c r="I398" s="1243"/>
      <c r="J398" s="1243"/>
      <c r="K398" s="1204"/>
      <c r="L398" s="1107"/>
      <c r="M398" s="1397"/>
      <c r="N398" s="1211"/>
      <c r="O398" s="1211"/>
      <c r="P398" s="1211"/>
      <c r="Q398" s="1211"/>
      <c r="R398" s="1211"/>
      <c r="S398" s="1211"/>
      <c r="T398" s="1209"/>
    </row>
    <row r="399" spans="7:20" s="1191" customFormat="1" ht="18" x14ac:dyDescent="0.25">
      <c r="G399" s="1389"/>
      <c r="H399" s="1390"/>
      <c r="I399" s="1391"/>
      <c r="J399" s="1391"/>
      <c r="K399" s="1392"/>
      <c r="L399" s="1393"/>
      <c r="M399" s="1195"/>
      <c r="N399" s="1187"/>
      <c r="O399" s="1187"/>
      <c r="P399" s="1187"/>
      <c r="Q399" s="1187"/>
      <c r="R399" s="1187"/>
      <c r="S399" s="1187"/>
      <c r="T399" s="1202"/>
    </row>
    <row r="400" spans="7:20" s="1191" customFormat="1" x14ac:dyDescent="0.2">
      <c r="G400" s="1203"/>
      <c r="H400" s="1394"/>
      <c r="I400" s="1232"/>
      <c r="J400" s="1232"/>
      <c r="K400" s="1394"/>
      <c r="L400" s="1233"/>
      <c r="M400" s="1395"/>
      <c r="N400" s="1211"/>
      <c r="O400" s="1211"/>
      <c r="P400" s="1211"/>
      <c r="Q400" s="1211"/>
      <c r="R400" s="1211"/>
      <c r="S400" s="1211"/>
      <c r="T400" s="1209"/>
    </row>
    <row r="401" spans="7:20" s="1191" customFormat="1" x14ac:dyDescent="0.2">
      <c r="G401" s="1203"/>
      <c r="H401" s="1220"/>
      <c r="I401" s="1243"/>
      <c r="J401" s="1243"/>
      <c r="K401" s="1192"/>
      <c r="L401" s="1216"/>
      <c r="M401" s="1203"/>
      <c r="N401" s="1211"/>
      <c r="O401" s="1211"/>
      <c r="P401" s="1211"/>
      <c r="Q401" s="1211"/>
      <c r="R401" s="1211"/>
      <c r="S401" s="1211"/>
      <c r="T401" s="1209"/>
    </row>
    <row r="402" spans="7:20" s="1191" customFormat="1" x14ac:dyDescent="0.2">
      <c r="G402" s="1203"/>
      <c r="H402" s="1204"/>
      <c r="I402" s="1243"/>
      <c r="J402" s="1243"/>
      <c r="K402" s="1204"/>
      <c r="L402" s="1192"/>
      <c r="M402" s="1397"/>
      <c r="N402" s="1210"/>
      <c r="O402" s="1211"/>
      <c r="P402" s="1211"/>
      <c r="Q402" s="1211"/>
      <c r="R402" s="1211"/>
      <c r="S402" s="1211"/>
      <c r="T402" s="1209"/>
    </row>
    <row r="403" spans="7:20" s="1191" customFormat="1" x14ac:dyDescent="0.2">
      <c r="G403" s="1203"/>
      <c r="H403" s="1204"/>
      <c r="I403" s="1243"/>
      <c r="J403" s="1243"/>
      <c r="K403" s="1204"/>
      <c r="L403" s="1192"/>
      <c r="M403" s="1397"/>
      <c r="N403" s="1210"/>
      <c r="O403" s="1211"/>
      <c r="P403" s="1211"/>
      <c r="Q403" s="1211"/>
      <c r="R403" s="1211"/>
      <c r="S403" s="1211"/>
      <c r="T403" s="1209"/>
    </row>
    <row r="404" spans="7:20" s="1191" customFormat="1" x14ac:dyDescent="0.2">
      <c r="G404" s="1203"/>
      <c r="H404" s="1204"/>
      <c r="I404" s="1243"/>
      <c r="J404" s="1243"/>
      <c r="K404" s="1204"/>
      <c r="L404" s="1192"/>
      <c r="M404" s="1397"/>
      <c r="N404" s="1210"/>
      <c r="O404" s="1211"/>
      <c r="P404" s="1211"/>
      <c r="Q404" s="1211"/>
      <c r="R404" s="1211"/>
      <c r="S404" s="1211"/>
      <c r="T404" s="1209"/>
    </row>
    <row r="405" spans="7:20" s="1191" customFormat="1" x14ac:dyDescent="0.2">
      <c r="G405" s="1203"/>
      <c r="H405" s="1204"/>
      <c r="I405" s="1243"/>
      <c r="J405" s="1243"/>
      <c r="K405" s="1204"/>
      <c r="L405" s="1192"/>
      <c r="M405" s="1397"/>
      <c r="N405" s="1210"/>
      <c r="O405" s="1211"/>
      <c r="P405" s="1211"/>
      <c r="Q405" s="1211"/>
      <c r="R405" s="1211"/>
      <c r="S405" s="1211"/>
      <c r="T405" s="1209"/>
    </row>
    <row r="406" spans="7:20" s="1191" customFormat="1" x14ac:dyDescent="0.2">
      <c r="G406" s="1203"/>
      <c r="H406" s="1204"/>
      <c r="I406" s="1243"/>
      <c r="J406" s="1243"/>
      <c r="K406" s="1204"/>
      <c r="L406" s="1192"/>
      <c r="M406" s="1397"/>
      <c r="N406" s="1210"/>
      <c r="O406" s="1211"/>
      <c r="P406" s="1211"/>
      <c r="Q406" s="1211"/>
      <c r="R406" s="1211"/>
      <c r="S406" s="1211"/>
      <c r="T406" s="1209"/>
    </row>
    <row r="407" spans="7:20" s="1191" customFormat="1" x14ac:dyDescent="0.2">
      <c r="G407" s="1203"/>
      <c r="H407" s="1204"/>
      <c r="I407" s="1243"/>
      <c r="J407" s="1243"/>
      <c r="K407" s="1204"/>
      <c r="L407" s="1192"/>
      <c r="M407" s="1397"/>
      <c r="N407" s="1210"/>
      <c r="O407" s="1211"/>
      <c r="P407" s="1211"/>
      <c r="Q407" s="1211"/>
      <c r="R407" s="1211"/>
      <c r="S407" s="1211"/>
      <c r="T407" s="1209"/>
    </row>
    <row r="408" spans="7:20" s="1191" customFormat="1" x14ac:dyDescent="0.2">
      <c r="G408" s="1203"/>
      <c r="H408" s="1204"/>
      <c r="I408" s="1243"/>
      <c r="J408" s="1243"/>
      <c r="K408" s="1204"/>
      <c r="L408" s="1192"/>
      <c r="M408" s="1397"/>
      <c r="N408" s="1210"/>
      <c r="O408" s="1211"/>
      <c r="P408" s="1211"/>
      <c r="Q408" s="1211"/>
      <c r="R408" s="1211"/>
      <c r="S408" s="1211"/>
      <c r="T408" s="1209"/>
    </row>
    <row r="409" spans="7:20" s="1191" customFormat="1" x14ac:dyDescent="0.2">
      <c r="G409" s="1203"/>
      <c r="H409" s="1204"/>
      <c r="I409" s="1243"/>
      <c r="J409" s="1243"/>
      <c r="K409" s="1204"/>
      <c r="L409" s="1192"/>
      <c r="M409" s="1397"/>
      <c r="N409" s="1210"/>
      <c r="O409" s="1211"/>
      <c r="P409" s="1211"/>
      <c r="Q409" s="1211"/>
      <c r="R409" s="1211"/>
      <c r="S409" s="1211"/>
      <c r="T409" s="1209"/>
    </row>
    <row r="410" spans="7:20" s="1191" customFormat="1" x14ac:dyDescent="0.2">
      <c r="G410" s="1203"/>
      <c r="H410" s="1204"/>
      <c r="I410" s="1243"/>
      <c r="J410" s="1243"/>
      <c r="K410" s="1204"/>
      <c r="L410" s="1192"/>
      <c r="M410" s="1397"/>
      <c r="N410" s="1210"/>
      <c r="O410" s="1211"/>
      <c r="P410" s="1211"/>
      <c r="Q410" s="1211"/>
      <c r="R410" s="1211"/>
      <c r="S410" s="1211"/>
      <c r="T410" s="1209"/>
    </row>
    <row r="411" spans="7:20" s="1191" customFormat="1" x14ac:dyDescent="0.2">
      <c r="G411" s="1203"/>
      <c r="H411" s="1204"/>
      <c r="I411" s="1243"/>
      <c r="J411" s="1243"/>
      <c r="K411" s="1204"/>
      <c r="L411" s="1192"/>
      <c r="M411" s="1397"/>
      <c r="N411" s="1210"/>
      <c r="O411" s="1211"/>
      <c r="P411" s="1211"/>
      <c r="Q411" s="1211"/>
      <c r="R411" s="1211"/>
      <c r="S411" s="1211"/>
      <c r="T411" s="1209"/>
    </row>
    <row r="412" spans="7:20" s="1191" customFormat="1" x14ac:dyDescent="0.2">
      <c r="G412" s="1203"/>
      <c r="H412" s="1204"/>
      <c r="I412" s="1243"/>
      <c r="J412" s="1243"/>
      <c r="K412" s="1204"/>
      <c r="L412" s="1192"/>
      <c r="M412" s="1397"/>
      <c r="N412" s="1210"/>
      <c r="O412" s="1211"/>
      <c r="P412" s="1211"/>
      <c r="Q412" s="1211"/>
      <c r="R412" s="1211"/>
      <c r="S412" s="1211"/>
      <c r="T412" s="1209"/>
    </row>
    <row r="413" spans="7:20" s="1191" customFormat="1" x14ac:dyDescent="0.2">
      <c r="G413" s="1203"/>
      <c r="H413" s="1192"/>
      <c r="I413" s="1243"/>
      <c r="J413" s="1243"/>
      <c r="K413" s="1192"/>
      <c r="L413" s="1192"/>
      <c r="M413" s="1398"/>
      <c r="N413" s="1211"/>
      <c r="O413" s="1211"/>
      <c r="P413" s="1211"/>
      <c r="Q413" s="1211"/>
      <c r="R413" s="1211"/>
      <c r="S413" s="1211"/>
      <c r="T413" s="1209"/>
    </row>
    <row r="414" spans="7:20" s="1191" customFormat="1" x14ac:dyDescent="0.2">
      <c r="G414" s="1203"/>
      <c r="H414" s="1220"/>
      <c r="I414" s="1243"/>
      <c r="J414" s="1243"/>
      <c r="K414" s="1192"/>
      <c r="L414" s="1192"/>
      <c r="M414" s="1398"/>
      <c r="N414" s="1211"/>
      <c r="O414" s="1309"/>
      <c r="P414" s="1309"/>
      <c r="Q414" s="1309"/>
      <c r="R414" s="1210"/>
      <c r="S414" s="1211"/>
      <c r="T414" s="1209"/>
    </row>
    <row r="415" spans="7:20" s="1191" customFormat="1" x14ac:dyDescent="0.2">
      <c r="G415" s="1203"/>
      <c r="H415" s="1204"/>
      <c r="I415" s="1243"/>
      <c r="J415" s="1243"/>
      <c r="K415" s="1204"/>
      <c r="L415" s="1192"/>
      <c r="M415" s="1397"/>
      <c r="N415" s="1211"/>
      <c r="O415" s="1211"/>
      <c r="P415" s="1211"/>
      <c r="Q415" s="1211"/>
      <c r="R415" s="1211"/>
      <c r="S415" s="1211"/>
      <c r="T415" s="1209"/>
    </row>
    <row r="416" spans="7:20" s="1191" customFormat="1" x14ac:dyDescent="0.2">
      <c r="G416" s="1203"/>
      <c r="H416" s="1204"/>
      <c r="I416" s="1243"/>
      <c r="J416" s="1243"/>
      <c r="K416" s="1204"/>
      <c r="L416" s="1192"/>
      <c r="M416" s="1397"/>
      <c r="N416" s="1211"/>
      <c r="O416" s="1211"/>
      <c r="P416" s="1211"/>
      <c r="Q416" s="1211"/>
      <c r="R416" s="1211"/>
      <c r="S416" s="1211"/>
      <c r="T416" s="1209"/>
    </row>
    <row r="417" spans="7:20" s="1191" customFormat="1" x14ac:dyDescent="0.2">
      <c r="G417" s="1203"/>
      <c r="H417" s="1204"/>
      <c r="I417" s="1243"/>
      <c r="J417" s="1243"/>
      <c r="K417" s="1204"/>
      <c r="L417" s="1192"/>
      <c r="M417" s="1397"/>
      <c r="N417" s="1211"/>
      <c r="O417" s="1211"/>
      <c r="P417" s="1211"/>
      <c r="Q417" s="1211"/>
      <c r="R417" s="1211"/>
      <c r="S417" s="1211"/>
      <c r="T417" s="1209"/>
    </row>
    <row r="418" spans="7:20" s="1191" customFormat="1" x14ac:dyDescent="0.2">
      <c r="G418" s="1203"/>
      <c r="H418" s="1204"/>
      <c r="I418" s="1243"/>
      <c r="J418" s="1243"/>
      <c r="K418" s="1204"/>
      <c r="L418" s="1192"/>
      <c r="M418" s="1397"/>
      <c r="N418" s="1211"/>
      <c r="O418" s="1211"/>
      <c r="P418" s="1211"/>
      <c r="Q418" s="1211"/>
      <c r="R418" s="1211"/>
      <c r="S418" s="1211"/>
      <c r="T418" s="1209"/>
    </row>
    <row r="419" spans="7:20" s="1191" customFormat="1" x14ac:dyDescent="0.2">
      <c r="G419" s="1203"/>
      <c r="H419" s="1204"/>
      <c r="I419" s="1243"/>
      <c r="J419" s="1243"/>
      <c r="K419" s="1204"/>
      <c r="L419" s="1192"/>
      <c r="M419" s="1397"/>
      <c r="N419" s="1211"/>
      <c r="O419" s="1211"/>
      <c r="P419" s="1211"/>
      <c r="Q419" s="1211"/>
      <c r="R419" s="1211"/>
      <c r="S419" s="1211"/>
      <c r="T419" s="1209"/>
    </row>
    <row r="420" spans="7:20" s="1191" customFormat="1" x14ac:dyDescent="0.2">
      <c r="G420" s="1203"/>
      <c r="H420" s="1204"/>
      <c r="I420" s="1243"/>
      <c r="J420" s="1243"/>
      <c r="K420" s="1204"/>
      <c r="L420" s="1192"/>
      <c r="M420" s="1397"/>
      <c r="N420" s="1211"/>
      <c r="O420" s="1211"/>
      <c r="P420" s="1211"/>
      <c r="Q420" s="1211"/>
      <c r="R420" s="1211"/>
      <c r="S420" s="1211"/>
      <c r="T420" s="1209"/>
    </row>
    <row r="421" spans="7:20" s="1191" customFormat="1" x14ac:dyDescent="0.2">
      <c r="G421" s="1203"/>
      <c r="H421" s="1204"/>
      <c r="I421" s="1243"/>
      <c r="J421" s="1243"/>
      <c r="K421" s="1204"/>
      <c r="L421" s="1192"/>
      <c r="M421" s="1397"/>
      <c r="N421" s="1211"/>
      <c r="O421" s="1211"/>
      <c r="P421" s="1211"/>
      <c r="Q421" s="1211"/>
      <c r="R421" s="1211"/>
      <c r="S421" s="1211"/>
      <c r="T421" s="1209"/>
    </row>
    <row r="422" spans="7:20" s="1191" customFormat="1" x14ac:dyDescent="0.2">
      <c r="G422" s="1203"/>
      <c r="H422" s="1204"/>
      <c r="I422" s="1243"/>
      <c r="J422" s="1243"/>
      <c r="K422" s="1204"/>
      <c r="L422" s="1192"/>
      <c r="M422" s="1397"/>
      <c r="N422" s="1211"/>
      <c r="O422" s="1211"/>
      <c r="P422" s="1211"/>
      <c r="Q422" s="1211"/>
      <c r="R422" s="1211"/>
      <c r="S422" s="1211"/>
      <c r="T422" s="1209"/>
    </row>
    <row r="423" spans="7:20" s="1191" customFormat="1" x14ac:dyDescent="0.2">
      <c r="G423" s="1203"/>
      <c r="H423" s="1204"/>
      <c r="I423" s="1243"/>
      <c r="J423" s="1243"/>
      <c r="K423" s="1204"/>
      <c r="L423" s="1192"/>
      <c r="M423" s="1397"/>
      <c r="N423" s="1211"/>
      <c r="O423" s="1211"/>
      <c r="P423" s="1211"/>
      <c r="Q423" s="1211"/>
      <c r="R423" s="1211"/>
      <c r="S423" s="1211"/>
      <c r="T423" s="1209"/>
    </row>
    <row r="424" spans="7:20" s="1191" customFormat="1" x14ac:dyDescent="0.2">
      <c r="G424" s="1203"/>
      <c r="H424" s="1204"/>
      <c r="I424" s="1243"/>
      <c r="J424" s="1243"/>
      <c r="K424" s="1204"/>
      <c r="L424" s="1192"/>
      <c r="M424" s="1397"/>
      <c r="N424" s="1211"/>
      <c r="O424" s="1211"/>
      <c r="P424" s="1211"/>
      <c r="Q424" s="1211"/>
      <c r="R424" s="1211"/>
      <c r="S424" s="1211"/>
      <c r="T424" s="1209"/>
    </row>
    <row r="425" spans="7:20" s="1191" customFormat="1" x14ac:dyDescent="0.2">
      <c r="G425" s="1203"/>
      <c r="H425" s="1192"/>
      <c r="I425" s="1243"/>
      <c r="J425" s="1243"/>
      <c r="K425" s="1192"/>
      <c r="L425" s="1216"/>
      <c r="M425" s="1203"/>
      <c r="N425" s="1211"/>
      <c r="O425" s="1211"/>
      <c r="P425" s="1309"/>
      <c r="Q425" s="1309"/>
      <c r="R425" s="1309"/>
      <c r="S425" s="1211"/>
      <c r="T425" s="1209"/>
    </row>
    <row r="426" spans="7:20" s="1191" customFormat="1" x14ac:dyDescent="0.2">
      <c r="G426" s="1203"/>
      <c r="H426" s="1220"/>
      <c r="I426" s="1243"/>
      <c r="J426" s="1243"/>
      <c r="K426" s="1192"/>
      <c r="L426" s="1216"/>
      <c r="M426" s="1203"/>
      <c r="N426" s="1211"/>
      <c r="O426" s="1211"/>
      <c r="P426" s="1211"/>
      <c r="Q426" s="1211"/>
      <c r="R426" s="1211"/>
      <c r="S426" s="1211"/>
      <c r="T426" s="1209"/>
    </row>
    <row r="427" spans="7:20" s="1191" customFormat="1" x14ac:dyDescent="0.2">
      <c r="G427" s="1203"/>
      <c r="H427" s="1204"/>
      <c r="I427" s="1243"/>
      <c r="J427" s="1243"/>
      <c r="K427" s="1192"/>
      <c r="L427" s="1216"/>
      <c r="M427" s="1203"/>
      <c r="N427" s="1211"/>
      <c r="O427" s="1211"/>
      <c r="P427" s="1211"/>
      <c r="Q427" s="1211"/>
      <c r="R427" s="1211"/>
      <c r="S427" s="1211"/>
      <c r="T427" s="1209"/>
    </row>
    <row r="428" spans="7:20" s="1191" customFormat="1" x14ac:dyDescent="0.2">
      <c r="G428" s="1203"/>
      <c r="H428" s="1204"/>
      <c r="I428" s="1243"/>
      <c r="J428" s="1243"/>
      <c r="K428" s="1192"/>
      <c r="L428" s="1216"/>
      <c r="M428" s="1203"/>
      <c r="N428" s="1211"/>
      <c r="O428" s="1211"/>
      <c r="P428" s="1211"/>
      <c r="Q428" s="1211"/>
      <c r="R428" s="1211"/>
      <c r="S428" s="1211"/>
      <c r="T428" s="1209"/>
    </row>
    <row r="429" spans="7:20" s="1191" customFormat="1" x14ac:dyDescent="0.2">
      <c r="G429" s="1203"/>
      <c r="H429" s="1204"/>
      <c r="I429" s="1243"/>
      <c r="J429" s="1243"/>
      <c r="K429" s="1192"/>
      <c r="L429" s="1216"/>
      <c r="M429" s="1203"/>
      <c r="N429" s="1211"/>
      <c r="O429" s="1211"/>
      <c r="P429" s="1211"/>
      <c r="Q429" s="1211"/>
      <c r="R429" s="1211"/>
      <c r="S429" s="1211"/>
      <c r="T429" s="1209"/>
    </row>
    <row r="430" spans="7:20" s="1191" customFormat="1" x14ac:dyDescent="0.2">
      <c r="G430" s="1203"/>
      <c r="H430" s="1204"/>
      <c r="I430" s="1243"/>
      <c r="J430" s="1243"/>
      <c r="K430" s="1192"/>
      <c r="L430" s="1216"/>
      <c r="M430" s="1203"/>
      <c r="N430" s="1211"/>
      <c r="O430" s="1211"/>
      <c r="P430" s="1211"/>
      <c r="Q430" s="1211"/>
      <c r="R430" s="1211"/>
      <c r="S430" s="1211"/>
      <c r="T430" s="1209"/>
    </row>
    <row r="431" spans="7:20" s="1191" customFormat="1" x14ac:dyDescent="0.2">
      <c r="G431" s="1203"/>
      <c r="H431" s="1204"/>
      <c r="I431" s="1243"/>
      <c r="J431" s="1243"/>
      <c r="K431" s="1192"/>
      <c r="L431" s="1216"/>
      <c r="M431" s="1203"/>
      <c r="N431" s="1211"/>
      <c r="O431" s="1211"/>
      <c r="P431" s="1211"/>
      <c r="Q431" s="1211"/>
      <c r="R431" s="1211"/>
      <c r="S431" s="1211"/>
      <c r="T431" s="1209"/>
    </row>
    <row r="432" spans="7:20" s="1191" customFormat="1" x14ac:dyDescent="0.2">
      <c r="G432" s="1203"/>
      <c r="H432" s="1204"/>
      <c r="I432" s="1243"/>
      <c r="J432" s="1243"/>
      <c r="K432" s="1192"/>
      <c r="L432" s="1216"/>
      <c r="M432" s="1203"/>
      <c r="N432" s="1211"/>
      <c r="O432" s="1211"/>
      <c r="P432" s="1211"/>
      <c r="Q432" s="1211"/>
      <c r="R432" s="1211"/>
      <c r="S432" s="1211"/>
      <c r="T432" s="1209"/>
    </row>
    <row r="433" spans="7:20" s="1191" customFormat="1" x14ac:dyDescent="0.2">
      <c r="G433" s="1203"/>
      <c r="H433" s="1204"/>
      <c r="I433" s="1243"/>
      <c r="J433" s="1243"/>
      <c r="K433" s="1192"/>
      <c r="L433" s="1216"/>
      <c r="M433" s="1203"/>
      <c r="N433" s="1211"/>
      <c r="O433" s="1211"/>
      <c r="P433" s="1211"/>
      <c r="Q433" s="1211"/>
      <c r="R433" s="1211"/>
      <c r="S433" s="1211"/>
      <c r="T433" s="1209"/>
    </row>
    <row r="434" spans="7:20" s="1191" customFormat="1" x14ac:dyDescent="0.2">
      <c r="G434" s="1203"/>
      <c r="H434" s="1204"/>
      <c r="I434" s="1243"/>
      <c r="J434" s="1243"/>
      <c r="K434" s="1192"/>
      <c r="L434" s="1216"/>
      <c r="M434" s="1203"/>
      <c r="N434" s="1211"/>
      <c r="O434" s="1211"/>
      <c r="P434" s="1211"/>
      <c r="Q434" s="1211"/>
      <c r="R434" s="1211"/>
      <c r="S434" s="1211"/>
      <c r="T434" s="1209"/>
    </row>
    <row r="435" spans="7:20" s="1191" customFormat="1" x14ac:dyDescent="0.2">
      <c r="G435" s="1203"/>
      <c r="H435" s="1204"/>
      <c r="I435" s="1243"/>
      <c r="J435" s="1243"/>
      <c r="K435" s="1192"/>
      <c r="L435" s="1216"/>
      <c r="M435" s="1203"/>
      <c r="N435" s="1211"/>
      <c r="O435" s="1211"/>
      <c r="P435" s="1211"/>
      <c r="Q435" s="1211"/>
      <c r="R435" s="1211"/>
      <c r="S435" s="1211"/>
      <c r="T435" s="1209"/>
    </row>
    <row r="436" spans="7:20" s="1191" customFormat="1" x14ac:dyDescent="0.2">
      <c r="G436" s="1203"/>
      <c r="H436" s="1204"/>
      <c r="I436" s="1243"/>
      <c r="J436" s="1243"/>
      <c r="K436" s="1192"/>
      <c r="L436" s="1216"/>
      <c r="M436" s="1203"/>
      <c r="N436" s="1211"/>
      <c r="O436" s="1211"/>
      <c r="P436" s="1211"/>
      <c r="Q436" s="1211"/>
      <c r="R436" s="1211"/>
      <c r="S436" s="1211"/>
      <c r="T436" s="1209"/>
    </row>
    <row r="437" spans="7:20" s="1191" customFormat="1" x14ac:dyDescent="0.2">
      <c r="G437" s="1203"/>
      <c r="H437" s="1192"/>
      <c r="I437" s="1243"/>
      <c r="J437" s="1243"/>
      <c r="K437" s="1192"/>
      <c r="L437" s="1192"/>
      <c r="M437" s="1203"/>
      <c r="N437" s="1211"/>
      <c r="O437" s="1211"/>
      <c r="P437" s="1211"/>
      <c r="Q437" s="1211"/>
      <c r="R437" s="1211"/>
      <c r="S437" s="1211"/>
      <c r="T437" s="1209"/>
    </row>
    <row r="438" spans="7:20" s="1191" customFormat="1" x14ac:dyDescent="0.2">
      <c r="G438" s="1203"/>
      <c r="H438" s="1220"/>
      <c r="I438" s="1243"/>
      <c r="J438" s="1243"/>
      <c r="K438" s="1192"/>
      <c r="L438" s="1216"/>
      <c r="M438" s="1203"/>
      <c r="N438" s="1211"/>
      <c r="O438" s="1210"/>
      <c r="P438" s="1210"/>
      <c r="Q438" s="1210"/>
      <c r="R438" s="1210"/>
      <c r="S438" s="1211"/>
      <c r="T438" s="1209"/>
    </row>
    <row r="439" spans="7:20" s="1191" customFormat="1" x14ac:dyDescent="0.2">
      <c r="G439" s="1203"/>
      <c r="H439" s="1204"/>
      <c r="I439" s="1243"/>
      <c r="J439" s="1243"/>
      <c r="K439" s="1192"/>
      <c r="L439" s="1221"/>
      <c r="M439" s="1397"/>
      <c r="N439" s="1210"/>
      <c r="O439" s="1211"/>
      <c r="P439" s="1211"/>
      <c r="Q439" s="1211"/>
      <c r="R439" s="1211"/>
      <c r="S439" s="1211"/>
      <c r="T439" s="1209"/>
    </row>
    <row r="440" spans="7:20" s="1191" customFormat="1" x14ac:dyDescent="0.2">
      <c r="G440" s="1203"/>
      <c r="H440" s="1204"/>
      <c r="I440" s="1243"/>
      <c r="J440" s="1243"/>
      <c r="K440" s="1192"/>
      <c r="L440" s="1221"/>
      <c r="M440" s="1397"/>
      <c r="N440" s="1210"/>
      <c r="O440" s="1211"/>
      <c r="P440" s="1211"/>
      <c r="Q440" s="1211"/>
      <c r="R440" s="1211"/>
      <c r="S440" s="1211"/>
      <c r="T440" s="1209"/>
    </row>
    <row r="441" spans="7:20" s="1191" customFormat="1" x14ac:dyDescent="0.2">
      <c r="G441" s="1203"/>
      <c r="H441" s="1204"/>
      <c r="I441" s="1243"/>
      <c r="J441" s="1243"/>
      <c r="K441" s="1192"/>
      <c r="L441" s="1221"/>
      <c r="M441" s="1397"/>
      <c r="N441" s="1210"/>
      <c r="O441" s="1211"/>
      <c r="P441" s="1211"/>
      <c r="Q441" s="1211"/>
      <c r="R441" s="1211"/>
      <c r="S441" s="1211"/>
      <c r="T441" s="1209"/>
    </row>
    <row r="442" spans="7:20" s="1191" customFormat="1" x14ac:dyDescent="0.2">
      <c r="G442" s="1203"/>
      <c r="H442" s="1204"/>
      <c r="I442" s="1243"/>
      <c r="J442" s="1243"/>
      <c r="K442" s="1192"/>
      <c r="L442" s="1221"/>
      <c r="M442" s="1397"/>
      <c r="N442" s="1210"/>
      <c r="O442" s="1211"/>
      <c r="P442" s="1211"/>
      <c r="Q442" s="1211"/>
      <c r="R442" s="1211"/>
      <c r="S442" s="1211"/>
      <c r="T442" s="1209"/>
    </row>
    <row r="443" spans="7:20" s="1191" customFormat="1" x14ac:dyDescent="0.2">
      <c r="G443" s="1203"/>
      <c r="H443" s="1204"/>
      <c r="I443" s="1243"/>
      <c r="J443" s="1243"/>
      <c r="K443" s="1204"/>
      <c r="L443" s="1221"/>
      <c r="M443" s="1397"/>
      <c r="N443" s="1210"/>
      <c r="O443" s="1211"/>
      <c r="P443" s="1211"/>
      <c r="Q443" s="1211"/>
      <c r="R443" s="1211"/>
      <c r="S443" s="1211"/>
      <c r="T443" s="1209"/>
    </row>
    <row r="444" spans="7:20" s="1191" customFormat="1" x14ac:dyDescent="0.2">
      <c r="G444" s="1203"/>
      <c r="H444" s="1192"/>
      <c r="I444" s="1243"/>
      <c r="J444" s="1243"/>
      <c r="K444" s="1192"/>
      <c r="L444" s="1216"/>
      <c r="M444" s="1203"/>
      <c r="N444" s="1211"/>
      <c r="O444" s="1211"/>
      <c r="P444" s="1211"/>
      <c r="Q444" s="1211"/>
      <c r="R444" s="1211"/>
      <c r="S444" s="1211"/>
      <c r="T444" s="1209"/>
    </row>
    <row r="445" spans="7:20" s="1191" customFormat="1" x14ac:dyDescent="0.2">
      <c r="G445" s="1203"/>
      <c r="H445" s="1220"/>
      <c r="I445" s="1243"/>
      <c r="J445" s="1243"/>
      <c r="K445" s="1192"/>
      <c r="L445" s="1216"/>
      <c r="M445" s="1203"/>
      <c r="N445" s="1211"/>
      <c r="O445" s="1211"/>
      <c r="P445" s="1211"/>
      <c r="Q445" s="1211"/>
      <c r="R445" s="1211"/>
      <c r="S445" s="1211"/>
      <c r="T445" s="1209"/>
    </row>
    <row r="446" spans="7:20" s="1191" customFormat="1" x14ac:dyDescent="0.2">
      <c r="G446" s="1203"/>
      <c r="H446" s="1204"/>
      <c r="I446" s="1243"/>
      <c r="J446" s="1243"/>
      <c r="K446" s="1204"/>
      <c r="L446" s="1216"/>
      <c r="M446" s="1203"/>
      <c r="N446" s="1211"/>
      <c r="O446" s="1211"/>
      <c r="P446" s="1211"/>
      <c r="Q446" s="1211"/>
      <c r="R446" s="1211"/>
      <c r="S446" s="1211"/>
      <c r="T446" s="1209"/>
    </row>
    <row r="447" spans="7:20" s="1191" customFormat="1" x14ac:dyDescent="0.2">
      <c r="G447" s="1203"/>
      <c r="H447" s="1204"/>
      <c r="I447" s="1243"/>
      <c r="J447" s="1243"/>
      <c r="K447" s="1204"/>
      <c r="L447" s="1216"/>
      <c r="M447" s="1203"/>
      <c r="N447" s="1211"/>
      <c r="O447" s="1211"/>
      <c r="P447" s="1211"/>
      <c r="Q447" s="1211"/>
      <c r="R447" s="1211"/>
      <c r="S447" s="1211"/>
      <c r="T447" s="1209"/>
    </row>
    <row r="448" spans="7:20" s="1191" customFormat="1" x14ac:dyDescent="0.2">
      <c r="G448" s="1203"/>
      <c r="H448" s="1204"/>
      <c r="I448" s="1243"/>
      <c r="J448" s="1243"/>
      <c r="K448" s="1204"/>
      <c r="L448" s="1216"/>
      <c r="M448" s="1203"/>
      <c r="N448" s="1211"/>
      <c r="O448" s="1211"/>
      <c r="P448" s="1211"/>
      <c r="Q448" s="1211"/>
      <c r="R448" s="1211"/>
      <c r="S448" s="1211"/>
      <c r="T448" s="1209"/>
    </row>
    <row r="449" spans="7:20" s="1191" customFormat="1" x14ac:dyDescent="0.2">
      <c r="G449" s="1203"/>
      <c r="H449" s="1204"/>
      <c r="I449" s="1243"/>
      <c r="J449" s="1243"/>
      <c r="K449" s="1204"/>
      <c r="L449" s="1216"/>
      <c r="M449" s="1203"/>
      <c r="N449" s="1211"/>
      <c r="O449" s="1211"/>
      <c r="P449" s="1211"/>
      <c r="Q449" s="1211"/>
      <c r="R449" s="1211"/>
      <c r="S449" s="1211"/>
      <c r="T449" s="1209"/>
    </row>
    <row r="450" spans="7:20" s="1191" customFormat="1" x14ac:dyDescent="0.2">
      <c r="G450" s="1203"/>
      <c r="H450" s="1204"/>
      <c r="I450" s="1243"/>
      <c r="J450" s="1243"/>
      <c r="K450" s="1204"/>
      <c r="L450" s="1216"/>
      <c r="M450" s="1203"/>
      <c r="N450" s="1211"/>
      <c r="O450" s="1211"/>
      <c r="P450" s="1211"/>
      <c r="Q450" s="1211"/>
      <c r="R450" s="1211"/>
      <c r="S450" s="1211"/>
      <c r="T450" s="1209"/>
    </row>
    <row r="451" spans="7:20" s="1191" customFormat="1" x14ac:dyDescent="0.2">
      <c r="G451" s="1203"/>
      <c r="H451" s="1204"/>
      <c r="I451" s="1243"/>
      <c r="J451" s="1243"/>
      <c r="K451" s="1204"/>
      <c r="L451" s="1216"/>
      <c r="M451" s="1203"/>
      <c r="N451" s="1211"/>
      <c r="O451" s="1211"/>
      <c r="P451" s="1211"/>
      <c r="Q451" s="1211"/>
      <c r="R451" s="1211"/>
      <c r="S451" s="1211"/>
      <c r="T451" s="1209"/>
    </row>
    <row r="452" spans="7:20" s="1191" customFormat="1" x14ac:dyDescent="0.2">
      <c r="G452" s="1203"/>
      <c r="H452" s="1204"/>
      <c r="I452" s="1243"/>
      <c r="J452" s="1243"/>
      <c r="K452" s="1204"/>
      <c r="L452" s="1216"/>
      <c r="M452" s="1203"/>
      <c r="N452" s="1211"/>
      <c r="O452" s="1211"/>
      <c r="P452" s="1211"/>
      <c r="Q452" s="1211"/>
      <c r="R452" s="1211"/>
      <c r="S452" s="1211"/>
      <c r="T452" s="1209"/>
    </row>
    <row r="453" spans="7:20" s="1191" customFormat="1" x14ac:dyDescent="0.2">
      <c r="G453" s="1203"/>
      <c r="H453" s="1204"/>
      <c r="I453" s="1243"/>
      <c r="J453" s="1243"/>
      <c r="K453" s="1204"/>
      <c r="L453" s="1216"/>
      <c r="M453" s="1203"/>
      <c r="N453" s="1211"/>
      <c r="O453" s="1211"/>
      <c r="P453" s="1211"/>
      <c r="Q453" s="1211"/>
      <c r="R453" s="1211"/>
      <c r="S453" s="1211"/>
      <c r="T453" s="1209"/>
    </row>
    <row r="454" spans="7:20" s="1191" customFormat="1" x14ac:dyDescent="0.2">
      <c r="G454" s="1203"/>
      <c r="H454" s="1204"/>
      <c r="I454" s="1243"/>
      <c r="J454" s="1243"/>
      <c r="K454" s="1204"/>
      <c r="L454" s="1216"/>
      <c r="M454" s="1203"/>
      <c r="N454" s="1211"/>
      <c r="O454" s="1211"/>
      <c r="P454" s="1211"/>
      <c r="Q454" s="1211"/>
      <c r="R454" s="1211"/>
      <c r="S454" s="1211"/>
      <c r="T454" s="1209"/>
    </row>
    <row r="455" spans="7:20" s="1191" customFormat="1" x14ac:dyDescent="0.2">
      <c r="G455" s="1203"/>
      <c r="H455" s="1204"/>
      <c r="I455" s="1243"/>
      <c r="J455" s="1243"/>
      <c r="K455" s="1204"/>
      <c r="L455" s="1216"/>
      <c r="M455" s="1203"/>
      <c r="N455" s="1211"/>
      <c r="O455" s="1211"/>
      <c r="P455" s="1211"/>
      <c r="Q455" s="1211"/>
      <c r="R455" s="1211"/>
      <c r="S455" s="1211"/>
      <c r="T455" s="1209"/>
    </row>
    <row r="456" spans="7:20" s="1191" customFormat="1" x14ac:dyDescent="0.2">
      <c r="G456" s="1203"/>
      <c r="H456" s="1204"/>
      <c r="I456" s="1243"/>
      <c r="J456" s="1243"/>
      <c r="K456" s="1204"/>
      <c r="L456" s="1216"/>
      <c r="M456" s="1203"/>
      <c r="N456" s="1211"/>
      <c r="O456" s="1211"/>
      <c r="P456" s="1211"/>
      <c r="Q456" s="1211"/>
      <c r="R456" s="1211"/>
      <c r="S456" s="1211"/>
      <c r="T456" s="1209"/>
    </row>
    <row r="457" spans="7:20" s="1191" customFormat="1" x14ac:dyDescent="0.2">
      <c r="G457" s="1203"/>
      <c r="H457" s="1204"/>
      <c r="I457" s="1243"/>
      <c r="J457" s="1243"/>
      <c r="K457" s="1204"/>
      <c r="L457" s="1216"/>
      <c r="M457" s="1203"/>
      <c r="N457" s="1211"/>
      <c r="O457" s="1211"/>
      <c r="P457" s="1211"/>
      <c r="Q457" s="1211"/>
      <c r="R457" s="1211"/>
      <c r="S457" s="1211"/>
      <c r="T457" s="1209"/>
    </row>
    <row r="458" spans="7:20" s="1191" customFormat="1" x14ac:dyDescent="0.2">
      <c r="G458" s="1203"/>
      <c r="H458" s="1204"/>
      <c r="I458" s="1243"/>
      <c r="J458" s="1243"/>
      <c r="K458" s="1204"/>
      <c r="L458" s="1216"/>
      <c r="M458" s="1203"/>
      <c r="N458" s="1211"/>
      <c r="O458" s="1211"/>
      <c r="P458" s="1211"/>
      <c r="Q458" s="1211"/>
      <c r="R458" s="1211"/>
      <c r="S458" s="1211"/>
      <c r="T458" s="1209"/>
    </row>
    <row r="459" spans="7:20" s="1191" customFormat="1" x14ac:dyDescent="0.2">
      <c r="G459" s="1203"/>
      <c r="H459" s="1204"/>
      <c r="I459" s="1243"/>
      <c r="J459" s="1243"/>
      <c r="K459" s="1192"/>
      <c r="L459" s="1216"/>
      <c r="M459" s="1203"/>
      <c r="N459" s="1211"/>
      <c r="O459" s="1211"/>
      <c r="P459" s="1211"/>
      <c r="Q459" s="1211"/>
      <c r="R459" s="1211"/>
      <c r="S459" s="1211"/>
      <c r="T459" s="1209"/>
    </row>
    <row r="460" spans="7:20" s="1191" customFormat="1" x14ac:dyDescent="0.2">
      <c r="G460" s="1203"/>
      <c r="H460" s="1204"/>
      <c r="I460" s="1243"/>
      <c r="J460" s="1243"/>
      <c r="K460" s="1204"/>
      <c r="L460" s="1192"/>
      <c r="M460" s="1397"/>
      <c r="N460" s="1211"/>
      <c r="O460" s="1211"/>
      <c r="P460" s="1211"/>
      <c r="Q460" s="1211"/>
      <c r="R460" s="1211"/>
      <c r="S460" s="1211"/>
      <c r="T460" s="1209"/>
    </row>
    <row r="461" spans="7:20" s="1191" customFormat="1" x14ac:dyDescent="0.2">
      <c r="G461" s="1203"/>
      <c r="H461" s="1204"/>
      <c r="I461" s="1243"/>
      <c r="J461" s="1243"/>
      <c r="K461" s="1192"/>
      <c r="L461" s="1216"/>
      <c r="M461" s="1203"/>
      <c r="N461" s="1211"/>
      <c r="O461" s="1211"/>
      <c r="P461" s="1211"/>
      <c r="Q461" s="1211"/>
      <c r="R461" s="1211"/>
      <c r="S461" s="1211"/>
      <c r="T461" s="1209"/>
    </row>
    <row r="462" spans="7:20" s="1191" customFormat="1" ht="18" x14ac:dyDescent="0.25">
      <c r="G462" s="1389"/>
      <c r="H462" s="1390"/>
      <c r="I462" s="1391"/>
      <c r="J462" s="1391"/>
      <c r="K462" s="1392"/>
      <c r="L462" s="1399"/>
      <c r="M462" s="1392"/>
      <c r="N462" s="1187"/>
      <c r="O462" s="1187"/>
      <c r="P462" s="1187"/>
      <c r="Q462" s="1187"/>
      <c r="R462" s="1187"/>
      <c r="S462" s="1187"/>
      <c r="T462" s="1202"/>
    </row>
    <row r="463" spans="7:20" s="1191" customFormat="1" x14ac:dyDescent="0.2">
      <c r="G463" s="1203"/>
      <c r="H463" s="1394"/>
      <c r="I463" s="1232"/>
      <c r="J463" s="1232"/>
      <c r="K463" s="1394"/>
      <c r="L463" s="1400"/>
      <c r="M463" s="1394"/>
      <c r="N463" s="1211"/>
      <c r="O463" s="1211"/>
      <c r="P463" s="1211"/>
      <c r="Q463" s="1211"/>
      <c r="R463" s="1211"/>
      <c r="S463" s="1211"/>
      <c r="T463" s="1209"/>
    </row>
    <row r="464" spans="7:20" s="1191" customFormat="1" x14ac:dyDescent="0.2">
      <c r="G464" s="1203"/>
      <c r="H464" s="1220"/>
      <c r="I464" s="1243"/>
      <c r="J464" s="1243"/>
      <c r="K464" s="1192"/>
      <c r="L464" s="1401"/>
      <c r="M464" s="1192"/>
      <c r="N464" s="1211"/>
      <c r="O464" s="1211"/>
      <c r="P464" s="1211"/>
      <c r="Q464" s="1211"/>
      <c r="R464" s="1211"/>
      <c r="S464" s="1211"/>
      <c r="T464" s="1209"/>
    </row>
    <row r="465" spans="7:20" s="1191" customFormat="1" x14ac:dyDescent="0.2">
      <c r="G465" s="1203"/>
      <c r="H465" s="1204"/>
      <c r="I465" s="1243"/>
      <c r="J465" s="1243"/>
      <c r="K465" s="1402"/>
      <c r="L465" s="1401"/>
      <c r="M465" s="1192"/>
      <c r="N465" s="1211"/>
      <c r="O465" s="1211"/>
      <c r="P465" s="1211"/>
      <c r="Q465" s="1211"/>
      <c r="R465" s="1211"/>
      <c r="S465" s="1211"/>
      <c r="T465" s="1209"/>
    </row>
    <row r="466" spans="7:20" s="1191" customFormat="1" x14ac:dyDescent="0.2">
      <c r="G466" s="1203"/>
      <c r="H466" s="1204"/>
      <c r="I466" s="1243"/>
      <c r="J466" s="1243"/>
      <c r="K466" s="1204"/>
      <c r="L466" s="1401"/>
      <c r="M466" s="1192"/>
      <c r="N466" s="1211"/>
      <c r="O466" s="1211"/>
      <c r="P466" s="1211"/>
      <c r="Q466" s="1211"/>
      <c r="R466" s="1211"/>
      <c r="S466" s="1211"/>
      <c r="T466" s="1209"/>
    </row>
    <row r="467" spans="7:20" s="1191" customFormat="1" x14ac:dyDescent="0.2">
      <c r="G467" s="1203"/>
      <c r="H467" s="1204"/>
      <c r="I467" s="1243"/>
      <c r="J467" s="1243"/>
      <c r="K467" s="1204"/>
      <c r="L467" s="1401"/>
      <c r="M467" s="1192"/>
      <c r="N467" s="1211"/>
      <c r="O467" s="1211"/>
      <c r="P467" s="1211"/>
      <c r="Q467" s="1211"/>
      <c r="R467" s="1211"/>
      <c r="S467" s="1211"/>
      <c r="T467" s="1209"/>
    </row>
    <row r="468" spans="7:20" s="1191" customFormat="1" x14ac:dyDescent="0.2">
      <c r="G468" s="1203"/>
      <c r="H468" s="1204"/>
      <c r="I468" s="1243"/>
      <c r="J468" s="1243"/>
      <c r="K468" s="1204"/>
      <c r="L468" s="1401"/>
      <c r="M468" s="1192"/>
      <c r="N468" s="1211"/>
      <c r="O468" s="1211"/>
      <c r="P468" s="1211"/>
      <c r="Q468" s="1211"/>
      <c r="R468" s="1211"/>
      <c r="S468" s="1211"/>
      <c r="T468" s="1209"/>
    </row>
    <row r="469" spans="7:20" s="1191" customFormat="1" x14ac:dyDescent="0.2">
      <c r="G469" s="1203"/>
      <c r="H469" s="1204"/>
      <c r="I469" s="1243"/>
      <c r="J469" s="1243"/>
      <c r="K469" s="1204"/>
      <c r="L469" s="1401"/>
      <c r="M469" s="1192"/>
      <c r="N469" s="1211"/>
      <c r="O469" s="1211"/>
      <c r="P469" s="1211"/>
      <c r="Q469" s="1211"/>
      <c r="R469" s="1211"/>
      <c r="S469" s="1211"/>
      <c r="T469" s="1209"/>
    </row>
    <row r="470" spans="7:20" s="1191" customFormat="1" x14ac:dyDescent="0.2">
      <c r="G470" s="1203"/>
      <c r="H470" s="1204"/>
      <c r="I470" s="1243"/>
      <c r="J470" s="1243"/>
      <c r="K470" s="1204"/>
      <c r="L470" s="1401"/>
      <c r="M470" s="1192"/>
      <c r="N470" s="1211"/>
      <c r="O470" s="1211"/>
      <c r="P470" s="1211"/>
      <c r="Q470" s="1211"/>
      <c r="R470" s="1211"/>
      <c r="S470" s="1211"/>
      <c r="T470" s="1209"/>
    </row>
    <row r="471" spans="7:20" s="1191" customFormat="1" x14ac:dyDescent="0.2">
      <c r="G471" s="1203"/>
      <c r="H471" s="1204"/>
      <c r="I471" s="1243"/>
      <c r="J471" s="1243"/>
      <c r="K471" s="1192"/>
      <c r="L471" s="1401"/>
      <c r="M471" s="1192"/>
      <c r="N471" s="1211"/>
      <c r="O471" s="1211"/>
      <c r="P471" s="1211"/>
      <c r="Q471" s="1211"/>
      <c r="R471" s="1211"/>
      <c r="S471" s="1211"/>
      <c r="T471" s="1209"/>
    </row>
    <row r="472" spans="7:20" s="1191" customFormat="1" x14ac:dyDescent="0.2">
      <c r="G472" s="1203"/>
      <c r="H472" s="1220"/>
      <c r="I472" s="1243"/>
      <c r="J472" s="1243"/>
      <c r="K472" s="1192"/>
      <c r="L472" s="1401"/>
      <c r="M472" s="1192"/>
      <c r="N472" s="1211"/>
      <c r="O472" s="1211"/>
      <c r="P472" s="1211"/>
      <c r="Q472" s="1211"/>
      <c r="R472" s="1211"/>
      <c r="S472" s="1211"/>
      <c r="T472" s="1209"/>
    </row>
    <row r="473" spans="7:20" s="1191" customFormat="1" x14ac:dyDescent="0.2">
      <c r="G473" s="1203"/>
      <c r="H473" s="1204"/>
      <c r="I473" s="1243"/>
      <c r="J473" s="1243"/>
      <c r="K473" s="1204"/>
      <c r="L473" s="1401"/>
      <c r="M473" s="1192"/>
      <c r="N473" s="1211"/>
      <c r="O473" s="1211"/>
      <c r="P473" s="1211"/>
      <c r="Q473" s="1211"/>
      <c r="R473" s="1211"/>
      <c r="S473" s="1211"/>
      <c r="T473" s="1209"/>
    </row>
    <row r="474" spans="7:20" s="1191" customFormat="1" x14ac:dyDescent="0.2">
      <c r="G474" s="1203"/>
      <c r="H474" s="1204"/>
      <c r="I474" s="1243"/>
      <c r="J474" s="1243"/>
      <c r="K474" s="1204"/>
      <c r="L474" s="1401"/>
      <c r="M474" s="1192"/>
      <c r="N474" s="1211"/>
      <c r="O474" s="1211"/>
      <c r="P474" s="1211"/>
      <c r="Q474" s="1211"/>
      <c r="R474" s="1211"/>
      <c r="S474" s="1211"/>
      <c r="T474" s="1209"/>
    </row>
    <row r="475" spans="7:20" s="1191" customFormat="1" x14ac:dyDescent="0.2">
      <c r="G475" s="1203"/>
      <c r="H475" s="1204"/>
      <c r="I475" s="1243"/>
      <c r="J475" s="1235"/>
      <c r="K475" s="1204"/>
      <c r="L475" s="1401"/>
      <c r="M475" s="1192"/>
      <c r="N475" s="1211"/>
      <c r="O475" s="1211"/>
      <c r="P475" s="1211"/>
      <c r="Q475" s="1211"/>
      <c r="R475" s="1211"/>
      <c r="S475" s="1211"/>
      <c r="T475" s="1209"/>
    </row>
    <row r="476" spans="7:20" s="1191" customFormat="1" x14ac:dyDescent="0.2">
      <c r="G476" s="1203"/>
      <c r="H476" s="1204"/>
      <c r="I476" s="1243"/>
      <c r="J476" s="1235"/>
      <c r="K476" s="1204"/>
      <c r="L476" s="1401"/>
      <c r="M476" s="1192"/>
      <c r="N476" s="1211"/>
      <c r="O476" s="1211"/>
      <c r="P476" s="1211"/>
      <c r="Q476" s="1211"/>
      <c r="R476" s="1211"/>
      <c r="S476" s="1211"/>
      <c r="T476" s="1209"/>
    </row>
    <row r="477" spans="7:20" s="1191" customFormat="1" x14ac:dyDescent="0.2">
      <c r="G477" s="1203"/>
      <c r="H477" s="1204"/>
      <c r="I477" s="1243"/>
      <c r="J477" s="1243"/>
      <c r="K477" s="1192"/>
      <c r="L477" s="1401"/>
      <c r="M477" s="1192"/>
      <c r="N477" s="1211"/>
      <c r="O477" s="1211"/>
      <c r="P477" s="1211"/>
      <c r="Q477" s="1211"/>
      <c r="R477" s="1211"/>
      <c r="S477" s="1211"/>
      <c r="T477" s="1209"/>
    </row>
    <row r="478" spans="7:20" s="1191" customFormat="1" x14ac:dyDescent="0.2">
      <c r="G478" s="1203"/>
      <c r="H478" s="1204"/>
      <c r="I478" s="1243"/>
      <c r="J478" s="1243"/>
      <c r="K478" s="1192"/>
      <c r="L478" s="1401"/>
      <c r="M478" s="1192"/>
      <c r="N478" s="1211"/>
      <c r="O478" s="1211"/>
      <c r="P478" s="1211"/>
      <c r="Q478" s="1211"/>
      <c r="R478" s="1211"/>
      <c r="S478" s="1211"/>
      <c r="T478" s="1209"/>
    </row>
    <row r="479" spans="7:20" s="1191" customFormat="1" x14ac:dyDescent="0.2">
      <c r="G479" s="1203"/>
      <c r="H479" s="1204"/>
      <c r="I479" s="1243"/>
      <c r="J479" s="1243"/>
      <c r="K479" s="1192"/>
      <c r="L479" s="1401"/>
      <c r="M479" s="1192"/>
      <c r="N479" s="1211"/>
      <c r="O479" s="1211"/>
      <c r="P479" s="1211"/>
      <c r="Q479" s="1211"/>
      <c r="R479" s="1211"/>
      <c r="S479" s="1211"/>
      <c r="T479" s="1209"/>
    </row>
    <row r="480" spans="7:20" s="1191" customFormat="1" ht="18" x14ac:dyDescent="0.25">
      <c r="G480" s="1389"/>
      <c r="H480" s="1390"/>
      <c r="I480" s="1391"/>
      <c r="J480" s="1391"/>
      <c r="K480" s="1392"/>
      <c r="L480" s="1399"/>
      <c r="M480" s="1392"/>
      <c r="N480" s="1187"/>
      <c r="O480" s="1187"/>
      <c r="P480" s="1187"/>
      <c r="Q480" s="1187"/>
      <c r="R480" s="1187"/>
      <c r="S480" s="1187"/>
      <c r="T480" s="1202"/>
    </row>
    <row r="481" spans="7:20" s="1191" customFormat="1" x14ac:dyDescent="0.2">
      <c r="G481" s="1203"/>
      <c r="H481" s="1394"/>
      <c r="I481" s="1232"/>
      <c r="J481" s="1232"/>
      <c r="K481" s="1394"/>
      <c r="L481" s="1400"/>
      <c r="M481" s="1394"/>
      <c r="N481" s="1211"/>
      <c r="O481" s="1211"/>
      <c r="P481" s="1211"/>
      <c r="Q481" s="1211"/>
      <c r="R481" s="1211"/>
      <c r="S481" s="1211"/>
      <c r="T481" s="1209"/>
    </row>
    <row r="482" spans="7:20" s="1191" customFormat="1" x14ac:dyDescent="0.2">
      <c r="G482" s="1203"/>
      <c r="H482" s="1204"/>
      <c r="I482" s="1243"/>
      <c r="J482" s="1243"/>
      <c r="K482" s="1204"/>
      <c r="L482" s="1401"/>
      <c r="M482" s="1192"/>
      <c r="N482" s="1211"/>
      <c r="O482" s="1211"/>
      <c r="P482" s="1211"/>
      <c r="Q482" s="1211"/>
      <c r="R482" s="1211"/>
      <c r="S482" s="1211"/>
      <c r="T482" s="1209"/>
    </row>
    <row r="483" spans="7:20" s="1191" customFormat="1" x14ac:dyDescent="0.2">
      <c r="G483" s="1203"/>
      <c r="H483" s="1204"/>
      <c r="I483" s="1243"/>
      <c r="J483" s="1243"/>
      <c r="K483" s="1204"/>
      <c r="L483" s="1401"/>
      <c r="M483" s="1192"/>
      <c r="N483" s="1211"/>
      <c r="O483" s="1211"/>
      <c r="P483" s="1211"/>
      <c r="Q483" s="1211"/>
      <c r="R483" s="1211"/>
      <c r="S483" s="1211"/>
      <c r="T483" s="1209"/>
    </row>
    <row r="484" spans="7:20" s="1191" customFormat="1" x14ac:dyDescent="0.2">
      <c r="G484" s="1203"/>
      <c r="H484" s="1204"/>
      <c r="I484" s="1243"/>
      <c r="J484" s="1243"/>
      <c r="K484" s="1403"/>
      <c r="L484" s="1401"/>
      <c r="M484" s="1204"/>
      <c r="N484" s="1211"/>
      <c r="O484" s="1211"/>
      <c r="P484" s="1211"/>
      <c r="Q484" s="1211"/>
      <c r="R484" s="1211"/>
      <c r="S484" s="1211"/>
      <c r="T484" s="1209"/>
    </row>
    <row r="485" spans="7:20" s="1191" customFormat="1" x14ac:dyDescent="0.2">
      <c r="G485" s="1203"/>
      <c r="H485" s="1204"/>
      <c r="I485" s="1243"/>
      <c r="J485" s="1243"/>
      <c r="K485" s="1204"/>
      <c r="L485" s="1401"/>
      <c r="M485" s="1192"/>
      <c r="N485" s="1211"/>
      <c r="O485" s="1211"/>
      <c r="P485" s="1211"/>
      <c r="Q485" s="1211"/>
      <c r="R485" s="1211"/>
      <c r="S485" s="1211"/>
      <c r="T485" s="1209"/>
    </row>
    <row r="486" spans="7:20" s="1191" customFormat="1" x14ac:dyDescent="0.2">
      <c r="G486" s="1203"/>
      <c r="H486" s="1220"/>
      <c r="I486" s="1243"/>
      <c r="J486" s="1243"/>
      <c r="K486" s="1204"/>
      <c r="L486" s="1401"/>
      <c r="M486" s="1192"/>
      <c r="N486" s="1211"/>
      <c r="O486" s="1211"/>
      <c r="P486" s="1211"/>
      <c r="Q486" s="1211"/>
      <c r="R486" s="1211"/>
      <c r="S486" s="1211"/>
      <c r="T486" s="1209"/>
    </row>
    <row r="487" spans="7:20" s="1191" customFormat="1" x14ac:dyDescent="0.2">
      <c r="G487" s="1203"/>
      <c r="H487" s="1204"/>
      <c r="I487" s="1243"/>
      <c r="J487" s="1243"/>
      <c r="K487" s="1204"/>
      <c r="L487" s="1401"/>
      <c r="M487" s="1192"/>
      <c r="N487" s="1211"/>
      <c r="O487" s="1211"/>
      <c r="P487" s="1211"/>
      <c r="Q487" s="1211"/>
      <c r="R487" s="1211"/>
      <c r="S487" s="1211"/>
      <c r="T487" s="1209"/>
    </row>
    <row r="488" spans="7:20" s="1191" customFormat="1" x14ac:dyDescent="0.2">
      <c r="G488" s="1203"/>
      <c r="H488" s="1204"/>
      <c r="I488" s="1243"/>
      <c r="J488" s="1243"/>
      <c r="K488" s="1204"/>
      <c r="L488" s="1401"/>
      <c r="M488" s="1192"/>
      <c r="N488" s="1211"/>
      <c r="O488" s="1211"/>
      <c r="P488" s="1211"/>
      <c r="Q488" s="1211"/>
      <c r="R488" s="1211"/>
      <c r="S488" s="1211"/>
      <c r="T488" s="1209"/>
    </row>
    <row r="489" spans="7:20" s="1191" customFormat="1" x14ac:dyDescent="0.2">
      <c r="G489" s="1203"/>
      <c r="H489" s="1204"/>
      <c r="I489" s="1243"/>
      <c r="J489" s="1243"/>
      <c r="K489" s="1204"/>
      <c r="L489" s="1401"/>
      <c r="M489" s="1192"/>
      <c r="N489" s="1211"/>
      <c r="O489" s="1211"/>
      <c r="P489" s="1211"/>
      <c r="Q489" s="1211"/>
      <c r="R489" s="1211"/>
      <c r="S489" s="1211"/>
      <c r="T489" s="1209"/>
    </row>
    <row r="490" spans="7:20" s="1191" customFormat="1" x14ac:dyDescent="0.2">
      <c r="G490" s="1203"/>
      <c r="H490" s="1204"/>
      <c r="I490" s="1243"/>
      <c r="J490" s="1243"/>
      <c r="K490" s="1204"/>
      <c r="L490" s="1401"/>
      <c r="M490" s="1192"/>
      <c r="N490" s="1211"/>
      <c r="O490" s="1211"/>
      <c r="P490" s="1211"/>
      <c r="Q490" s="1211"/>
      <c r="R490" s="1211"/>
      <c r="S490" s="1211"/>
      <c r="T490" s="1209"/>
    </row>
    <row r="491" spans="7:20" s="1191" customFormat="1" x14ac:dyDescent="0.2">
      <c r="G491" s="1203"/>
      <c r="H491" s="1204"/>
      <c r="I491" s="1243"/>
      <c r="J491" s="1243"/>
      <c r="K491" s="1204"/>
      <c r="L491" s="1401"/>
      <c r="M491" s="1192"/>
      <c r="N491" s="1211"/>
      <c r="O491" s="1211"/>
      <c r="P491" s="1211"/>
      <c r="Q491" s="1211"/>
      <c r="R491" s="1211"/>
      <c r="S491" s="1211"/>
      <c r="T491" s="1209"/>
    </row>
    <row r="492" spans="7:20" s="1191" customFormat="1" x14ac:dyDescent="0.2">
      <c r="G492" s="1203"/>
      <c r="H492" s="1204"/>
      <c r="I492" s="1243"/>
      <c r="J492" s="1243"/>
      <c r="K492" s="1204"/>
      <c r="L492" s="1404"/>
      <c r="M492" s="1192"/>
      <c r="N492" s="1211"/>
      <c r="O492" s="1211"/>
      <c r="P492" s="1211"/>
      <c r="Q492" s="1211"/>
      <c r="R492" s="1211"/>
      <c r="S492" s="1211"/>
      <c r="T492" s="1209"/>
    </row>
    <row r="493" spans="7:20" s="1191" customFormat="1" x14ac:dyDescent="0.2">
      <c r="G493" s="1203"/>
      <c r="H493" s="1368"/>
      <c r="I493" s="1243"/>
      <c r="J493" s="1243"/>
      <c r="K493" s="1204"/>
      <c r="L493" s="1401"/>
      <c r="M493" s="1204"/>
      <c r="N493" s="1211"/>
      <c r="O493" s="1211"/>
      <c r="P493" s="1211"/>
      <c r="Q493" s="1211"/>
      <c r="R493" s="1211"/>
      <c r="S493" s="1211"/>
      <c r="T493" s="1209"/>
    </row>
    <row r="494" spans="7:20" s="1191" customFormat="1" x14ac:dyDescent="0.2">
      <c r="G494" s="1203"/>
      <c r="H494" s="1204"/>
      <c r="I494" s="1243"/>
      <c r="J494" s="1243"/>
      <c r="K494" s="1204"/>
      <c r="L494" s="1401"/>
      <c r="M494" s="1192"/>
      <c r="N494" s="1211"/>
      <c r="O494" s="1211"/>
      <c r="P494" s="1211"/>
      <c r="Q494" s="1211"/>
      <c r="R494" s="1211"/>
      <c r="S494" s="1211"/>
      <c r="T494" s="1209"/>
    </row>
    <row r="495" spans="7:20" s="1191" customFormat="1" x14ac:dyDescent="0.2">
      <c r="G495" s="1203"/>
      <c r="H495" s="1204"/>
      <c r="I495" s="1243"/>
      <c r="J495" s="1243"/>
      <c r="K495" s="1368"/>
      <c r="L495" s="1401"/>
      <c r="M495" s="1192"/>
      <c r="N495" s="1211"/>
      <c r="O495" s="1211"/>
      <c r="P495" s="1211"/>
      <c r="Q495" s="1211"/>
      <c r="R495" s="1211"/>
      <c r="S495" s="1211"/>
      <c r="T495" s="1209"/>
    </row>
    <row r="496" spans="7:20" s="1191" customFormat="1" x14ac:dyDescent="0.2">
      <c r="G496" s="1203"/>
      <c r="H496" s="1368"/>
      <c r="I496" s="1189"/>
      <c r="J496" s="1243"/>
      <c r="K496" s="1204"/>
      <c r="L496" s="1401"/>
      <c r="M496" s="1192"/>
      <c r="N496" s="1211"/>
      <c r="O496" s="1211"/>
      <c r="P496" s="1211"/>
      <c r="Q496" s="1211"/>
      <c r="R496" s="1211"/>
      <c r="S496" s="1211"/>
      <c r="T496" s="1209"/>
    </row>
    <row r="497" spans="7:20" s="1191" customFormat="1" x14ac:dyDescent="0.2">
      <c r="G497" s="1203"/>
      <c r="H497" s="1368"/>
      <c r="I497" s="1189"/>
      <c r="J497" s="1107"/>
      <c r="K497" s="1107"/>
      <c r="L497" s="1401"/>
      <c r="M497" s="1192"/>
      <c r="N497" s="1211"/>
      <c r="O497" s="1211"/>
      <c r="P497" s="1211"/>
      <c r="Q497" s="1211"/>
      <c r="R497" s="1211"/>
      <c r="S497" s="1211"/>
      <c r="T497" s="1209"/>
    </row>
    <row r="498" spans="7:20" s="1191" customFormat="1" x14ac:dyDescent="0.2">
      <c r="G498" s="1203"/>
      <c r="H498" s="1192"/>
      <c r="I498" s="1243"/>
      <c r="J498" s="1243"/>
      <c r="K498" s="1192"/>
      <c r="L498" s="1401"/>
      <c r="M498" s="1192"/>
      <c r="N498" s="1211"/>
      <c r="O498" s="1211"/>
      <c r="P498" s="1211"/>
      <c r="Q498" s="1211"/>
      <c r="R498" s="1211"/>
      <c r="S498" s="1211"/>
      <c r="T498" s="1209"/>
    </row>
    <row r="499" spans="7:20" s="1191" customFormat="1" ht="18" x14ac:dyDescent="0.25">
      <c r="G499" s="1389"/>
      <c r="H499" s="1390"/>
      <c r="I499" s="1391"/>
      <c r="J499" s="1391"/>
      <c r="K499" s="1392"/>
      <c r="L499" s="1399"/>
      <c r="M499" s="1392"/>
      <c r="N499" s="1187"/>
      <c r="O499" s="1187"/>
      <c r="P499" s="1187"/>
      <c r="Q499" s="1187"/>
      <c r="R499" s="1187"/>
      <c r="S499" s="1187"/>
      <c r="T499" s="1202"/>
    </row>
    <row r="500" spans="7:20" s="1191" customFormat="1" x14ac:dyDescent="0.2">
      <c r="G500" s="1203"/>
      <c r="H500" s="1394"/>
      <c r="I500" s="1232"/>
      <c r="J500" s="1232"/>
      <c r="K500" s="1394"/>
      <c r="L500" s="1400"/>
      <c r="M500" s="1394"/>
      <c r="N500" s="1211"/>
      <c r="O500" s="1211"/>
      <c r="P500" s="1211"/>
      <c r="Q500" s="1211"/>
      <c r="R500" s="1211"/>
      <c r="S500" s="1211"/>
      <c r="T500" s="1209"/>
    </row>
    <row r="501" spans="7:20" s="1191" customFormat="1" x14ac:dyDescent="0.2">
      <c r="G501" s="1203"/>
      <c r="H501" s="1204"/>
      <c r="I501" s="1243"/>
      <c r="J501" s="1243"/>
      <c r="K501" s="1192"/>
      <c r="L501" s="1401"/>
      <c r="M501" s="1204"/>
      <c r="N501" s="1211"/>
      <c r="O501" s="1211"/>
      <c r="P501" s="1211"/>
      <c r="Q501" s="1211"/>
      <c r="R501" s="1211"/>
      <c r="S501" s="1211"/>
      <c r="T501" s="1209"/>
    </row>
    <row r="502" spans="7:20" s="1191" customFormat="1" x14ac:dyDescent="0.2">
      <c r="G502" s="1203"/>
      <c r="H502" s="1204"/>
      <c r="I502" s="1243"/>
      <c r="J502" s="1243"/>
      <c r="K502" s="1204"/>
      <c r="L502" s="1401"/>
      <c r="M502" s="1192"/>
      <c r="N502" s="1211"/>
      <c r="O502" s="1211"/>
      <c r="P502" s="1211"/>
      <c r="Q502" s="1211"/>
      <c r="R502" s="1211"/>
      <c r="S502" s="1211"/>
      <c r="T502" s="1209"/>
    </row>
    <row r="503" spans="7:20" s="1191" customFormat="1" x14ac:dyDescent="0.2">
      <c r="G503" s="1203"/>
      <c r="H503" s="1204"/>
      <c r="I503" s="1243"/>
      <c r="J503" s="1243"/>
      <c r="K503" s="1192"/>
      <c r="L503" s="1401"/>
      <c r="M503" s="1192"/>
      <c r="N503" s="1211"/>
      <c r="O503" s="1211"/>
      <c r="P503" s="1211"/>
      <c r="Q503" s="1211"/>
      <c r="R503" s="1211"/>
      <c r="S503" s="1211"/>
      <c r="T503" s="1209"/>
    </row>
    <row r="504" spans="7:20" s="1191" customFormat="1" x14ac:dyDescent="0.2">
      <c r="G504" s="1203"/>
      <c r="H504" s="1204"/>
      <c r="I504" s="1189"/>
      <c r="J504" s="1243"/>
      <c r="K504" s="1192"/>
      <c r="L504" s="1401"/>
      <c r="M504" s="1192"/>
      <c r="N504" s="1211"/>
      <c r="O504" s="1211"/>
      <c r="P504" s="1211"/>
      <c r="Q504" s="1211"/>
      <c r="R504" s="1211"/>
      <c r="S504" s="1211"/>
      <c r="T504" s="1209"/>
    </row>
    <row r="505" spans="7:20" s="1191" customFormat="1" x14ac:dyDescent="0.2">
      <c r="G505" s="1203"/>
      <c r="H505" s="1204"/>
      <c r="I505" s="1243"/>
      <c r="J505" s="1243"/>
      <c r="K505" s="1192"/>
      <c r="L505" s="1401"/>
      <c r="M505" s="1192"/>
      <c r="N505" s="1211"/>
      <c r="O505" s="1211"/>
      <c r="P505" s="1211"/>
      <c r="Q505" s="1211"/>
      <c r="R505" s="1211"/>
      <c r="S505" s="1211"/>
      <c r="T505" s="1209"/>
    </row>
    <row r="506" spans="7:20" s="1191" customFormat="1" x14ac:dyDescent="0.2">
      <c r="G506" s="1203"/>
      <c r="H506" s="1204"/>
      <c r="I506" s="1243"/>
      <c r="J506" s="1243"/>
      <c r="K506" s="1192"/>
      <c r="L506" s="1401"/>
      <c r="M506" s="1192"/>
      <c r="N506" s="1211"/>
      <c r="O506" s="1211"/>
      <c r="P506" s="1211"/>
      <c r="Q506" s="1211"/>
      <c r="R506" s="1211"/>
      <c r="S506" s="1211"/>
      <c r="T506" s="1209"/>
    </row>
    <row r="507" spans="7:20" s="1191" customFormat="1" x14ac:dyDescent="0.2">
      <c r="G507" s="1203"/>
      <c r="H507" s="1204"/>
      <c r="I507" s="1243"/>
      <c r="J507" s="1243"/>
      <c r="K507" s="1192"/>
      <c r="L507" s="1401"/>
      <c r="M507" s="1192"/>
      <c r="N507" s="1211"/>
      <c r="O507" s="1211"/>
      <c r="P507" s="1211"/>
      <c r="Q507" s="1211"/>
      <c r="R507" s="1211"/>
      <c r="S507" s="1211"/>
      <c r="T507" s="1209"/>
    </row>
    <row r="508" spans="7:20" s="1191" customFormat="1" x14ac:dyDescent="0.2">
      <c r="G508" s="1203"/>
      <c r="H508" s="1204"/>
      <c r="I508" s="1243"/>
      <c r="J508" s="1243"/>
      <c r="K508" s="1192"/>
      <c r="L508" s="1401"/>
      <c r="M508" s="1192"/>
      <c r="N508" s="1211"/>
      <c r="O508" s="1211"/>
      <c r="P508" s="1211"/>
      <c r="Q508" s="1211"/>
      <c r="R508" s="1211"/>
      <c r="S508" s="1211"/>
      <c r="T508" s="1209"/>
    </row>
    <row r="509" spans="7:20" s="1191" customFormat="1" x14ac:dyDescent="0.2">
      <c r="G509" s="1203"/>
      <c r="H509" s="1204"/>
      <c r="I509" s="1243"/>
      <c r="J509" s="1243"/>
      <c r="K509" s="1192"/>
      <c r="L509" s="1401"/>
      <c r="M509" s="1192"/>
      <c r="N509" s="1211"/>
      <c r="O509" s="1211"/>
      <c r="P509" s="1211"/>
      <c r="Q509" s="1211"/>
      <c r="R509" s="1211"/>
      <c r="S509" s="1211"/>
      <c r="T509" s="1209"/>
    </row>
    <row r="510" spans="7:20" s="1191" customFormat="1" x14ac:dyDescent="0.2">
      <c r="G510" s="1203"/>
      <c r="H510" s="1204"/>
      <c r="I510" s="1243"/>
      <c r="J510" s="1243"/>
      <c r="K510" s="1192"/>
      <c r="L510" s="1401"/>
      <c r="M510" s="1192"/>
      <c r="N510" s="1211"/>
      <c r="O510" s="1211"/>
      <c r="P510" s="1211"/>
      <c r="Q510" s="1211"/>
      <c r="R510" s="1211"/>
      <c r="S510" s="1211"/>
      <c r="T510" s="1209"/>
    </row>
    <row r="511" spans="7:20" s="1191" customFormat="1" x14ac:dyDescent="0.2">
      <c r="G511" s="1203"/>
      <c r="H511" s="1204"/>
      <c r="I511" s="1243"/>
      <c r="J511" s="1243"/>
      <c r="K511" s="1192"/>
      <c r="L511" s="1401"/>
      <c r="M511" s="1192"/>
      <c r="N511" s="1211"/>
      <c r="O511" s="1211"/>
      <c r="P511" s="1211"/>
      <c r="Q511" s="1211"/>
      <c r="R511" s="1211"/>
      <c r="S511" s="1211"/>
      <c r="T511" s="1209"/>
    </row>
    <row r="512" spans="7:20" s="1191" customFormat="1" x14ac:dyDescent="0.2">
      <c r="G512" s="1203"/>
      <c r="H512" s="1204"/>
      <c r="I512" s="1243"/>
      <c r="J512" s="1243"/>
      <c r="K512" s="1192"/>
      <c r="L512" s="1401"/>
      <c r="M512" s="1192"/>
      <c r="N512" s="1211"/>
      <c r="O512" s="1211"/>
      <c r="P512" s="1211"/>
      <c r="Q512" s="1211"/>
      <c r="R512" s="1211"/>
      <c r="S512" s="1211"/>
      <c r="T512" s="1209"/>
    </row>
    <row r="513" spans="7:20" s="1191" customFormat="1" x14ac:dyDescent="0.2">
      <c r="G513" s="1203"/>
      <c r="H513" s="1204"/>
      <c r="I513" s="1243"/>
      <c r="J513" s="1243"/>
      <c r="K513" s="1192"/>
      <c r="L513" s="1401"/>
      <c r="M513" s="1192"/>
      <c r="N513" s="1211"/>
      <c r="O513" s="1211"/>
      <c r="P513" s="1211"/>
      <c r="Q513" s="1211"/>
      <c r="R513" s="1211"/>
      <c r="S513" s="1211"/>
      <c r="T513" s="1209"/>
    </row>
    <row r="514" spans="7:20" s="1191" customFormat="1" x14ac:dyDescent="0.2">
      <c r="G514" s="1203"/>
      <c r="H514" s="1204"/>
      <c r="I514" s="1243"/>
      <c r="J514" s="1243"/>
      <c r="K514" s="1192"/>
      <c r="L514" s="1401"/>
      <c r="M514" s="1192"/>
      <c r="N514" s="1211"/>
      <c r="O514" s="1211"/>
      <c r="P514" s="1211"/>
      <c r="Q514" s="1211"/>
      <c r="R514" s="1211"/>
      <c r="S514" s="1211"/>
      <c r="T514" s="1209"/>
    </row>
    <row r="515" spans="7:20" s="1191" customFormat="1" x14ac:dyDescent="0.2">
      <c r="G515" s="1203"/>
      <c r="H515" s="1204"/>
      <c r="I515" s="1243"/>
      <c r="J515" s="1243"/>
      <c r="K515" s="1204"/>
      <c r="L515" s="1401"/>
      <c r="M515" s="1192"/>
      <c r="N515" s="1211"/>
      <c r="O515" s="1211"/>
      <c r="P515" s="1211"/>
      <c r="Q515" s="1211"/>
      <c r="R515" s="1211"/>
      <c r="S515" s="1211"/>
      <c r="T515" s="1209"/>
    </row>
    <row r="516" spans="7:20" s="1191" customFormat="1" x14ac:dyDescent="0.2">
      <c r="G516" s="1203"/>
      <c r="H516" s="1204"/>
      <c r="I516" s="1243"/>
      <c r="J516" s="1243"/>
      <c r="K516" s="1204"/>
      <c r="L516" s="1401"/>
      <c r="M516" s="1204"/>
      <c r="N516" s="1211"/>
      <c r="O516" s="1211"/>
      <c r="P516" s="1211"/>
      <c r="Q516" s="1211"/>
      <c r="R516" s="1211"/>
      <c r="S516" s="1211"/>
      <c r="T516" s="1209"/>
    </row>
    <row r="517" spans="7:20" s="1191" customFormat="1" x14ac:dyDescent="0.2">
      <c r="G517" s="1203"/>
      <c r="H517" s="1204"/>
      <c r="I517" s="1243"/>
      <c r="J517" s="1243"/>
      <c r="K517" s="1204"/>
      <c r="L517" s="1401"/>
      <c r="M517" s="1204"/>
      <c r="N517" s="1211"/>
      <c r="O517" s="1211"/>
      <c r="P517" s="1211"/>
      <c r="Q517" s="1211"/>
      <c r="R517" s="1211"/>
      <c r="S517" s="1211"/>
      <c r="T517" s="1209"/>
    </row>
    <row r="518" spans="7:20" s="1191" customFormat="1" x14ac:dyDescent="0.2">
      <c r="G518" s="1203"/>
      <c r="H518" s="1204"/>
      <c r="I518" s="1243"/>
      <c r="J518" s="1243"/>
      <c r="K518" s="1204"/>
      <c r="L518" s="1401"/>
      <c r="M518" s="1204"/>
      <c r="N518" s="1211"/>
      <c r="O518" s="1211"/>
      <c r="P518" s="1211"/>
      <c r="Q518" s="1211"/>
      <c r="R518" s="1211"/>
      <c r="S518" s="1211"/>
      <c r="T518" s="1209"/>
    </row>
    <row r="519" spans="7:20" s="1191" customFormat="1" x14ac:dyDescent="0.2">
      <c r="G519" s="1203"/>
      <c r="H519" s="1204"/>
      <c r="I519" s="1243"/>
      <c r="J519" s="1243"/>
      <c r="K519" s="1204"/>
      <c r="L519" s="1401"/>
      <c r="M519" s="1192"/>
      <c r="N519" s="1211"/>
      <c r="O519" s="1211"/>
      <c r="P519" s="1211"/>
      <c r="Q519" s="1211"/>
      <c r="R519" s="1211"/>
      <c r="S519" s="1211"/>
      <c r="T519" s="1209"/>
    </row>
    <row r="520" spans="7:20" s="1191" customFormat="1" x14ac:dyDescent="0.2">
      <c r="G520" s="1203"/>
      <c r="H520" s="1204"/>
      <c r="I520" s="1243"/>
      <c r="J520" s="1243"/>
      <c r="K520" s="1192"/>
      <c r="L520" s="1401"/>
      <c r="M520" s="1192"/>
      <c r="N520" s="1211"/>
      <c r="O520" s="1211"/>
      <c r="P520" s="1211"/>
      <c r="Q520" s="1211"/>
      <c r="R520" s="1211"/>
      <c r="S520" s="1211"/>
      <c r="T520" s="1209"/>
    </row>
    <row r="521" spans="7:20" s="1191" customFormat="1" x14ac:dyDescent="0.2">
      <c r="G521" s="1203"/>
      <c r="H521" s="1204"/>
      <c r="I521" s="1243"/>
      <c r="J521" s="1243"/>
      <c r="K521" s="1192"/>
      <c r="L521" s="1401"/>
      <c r="M521" s="1192"/>
      <c r="N521" s="1211"/>
      <c r="O521" s="1211"/>
      <c r="P521" s="1211"/>
      <c r="Q521" s="1211"/>
      <c r="R521" s="1211"/>
      <c r="S521" s="1211"/>
      <c r="T521" s="1209"/>
    </row>
    <row r="522" spans="7:20" s="1191" customFormat="1" x14ac:dyDescent="0.2">
      <c r="G522" s="1203"/>
      <c r="H522" s="1204"/>
      <c r="I522" s="1243"/>
      <c r="J522" s="1243"/>
      <c r="K522" s="1192"/>
      <c r="L522" s="1401"/>
      <c r="M522" s="1192"/>
      <c r="N522" s="1211"/>
      <c r="O522" s="1211"/>
      <c r="P522" s="1211"/>
      <c r="Q522" s="1211"/>
      <c r="R522" s="1211"/>
      <c r="S522" s="1211"/>
      <c r="T522" s="1209"/>
    </row>
    <row r="523" spans="7:20" s="1191" customFormat="1" x14ac:dyDescent="0.2">
      <c r="G523" s="1203"/>
      <c r="H523" s="1204"/>
      <c r="I523" s="1243"/>
      <c r="J523" s="1243"/>
      <c r="K523" s="1192"/>
      <c r="L523" s="1401"/>
      <c r="M523" s="1192"/>
      <c r="N523" s="1211"/>
      <c r="O523" s="1211"/>
      <c r="P523" s="1211"/>
      <c r="Q523" s="1211"/>
      <c r="R523" s="1211"/>
      <c r="S523" s="1211"/>
      <c r="T523" s="1209"/>
    </row>
    <row r="524" spans="7:20" s="1191" customFormat="1" x14ac:dyDescent="0.2">
      <c r="G524" s="1203"/>
      <c r="H524" s="1204"/>
      <c r="I524" s="1243"/>
      <c r="J524" s="1243"/>
      <c r="K524" s="1192"/>
      <c r="L524" s="1401"/>
      <c r="M524" s="1192"/>
      <c r="N524" s="1211"/>
      <c r="O524" s="1211"/>
      <c r="P524" s="1211"/>
      <c r="Q524" s="1211"/>
      <c r="R524" s="1211"/>
      <c r="S524" s="1211"/>
      <c r="T524" s="1209"/>
    </row>
    <row r="525" spans="7:20" s="1191" customFormat="1" x14ac:dyDescent="0.2">
      <c r="G525" s="1203"/>
      <c r="H525" s="1204"/>
      <c r="I525" s="1243"/>
      <c r="J525" s="1243"/>
      <c r="K525" s="1192"/>
      <c r="L525" s="1401"/>
      <c r="M525" s="1192"/>
      <c r="N525" s="1211"/>
      <c r="O525" s="1211"/>
      <c r="P525" s="1211"/>
      <c r="Q525" s="1211"/>
      <c r="R525" s="1211"/>
      <c r="S525" s="1211"/>
      <c r="T525" s="1209"/>
    </row>
    <row r="526" spans="7:20" s="1191" customFormat="1" x14ac:dyDescent="0.2">
      <c r="G526" s="1203"/>
      <c r="H526" s="1204"/>
      <c r="I526" s="1243"/>
      <c r="J526" s="1243"/>
      <c r="K526" s="1192"/>
      <c r="L526" s="1401"/>
      <c r="M526" s="1192"/>
      <c r="N526" s="1211"/>
      <c r="O526" s="1211"/>
      <c r="P526" s="1211"/>
      <c r="Q526" s="1211"/>
      <c r="R526" s="1211"/>
      <c r="S526" s="1211"/>
      <c r="T526" s="1209"/>
    </row>
    <row r="527" spans="7:20" s="1191" customFormat="1" x14ac:dyDescent="0.2">
      <c r="G527" s="1203"/>
      <c r="H527" s="1204"/>
      <c r="I527" s="1243"/>
      <c r="J527" s="1243"/>
      <c r="K527" s="1192"/>
      <c r="L527" s="1401"/>
      <c r="M527" s="1192"/>
      <c r="N527" s="1211"/>
      <c r="O527" s="1211"/>
      <c r="P527" s="1211"/>
      <c r="Q527" s="1211"/>
      <c r="R527" s="1211"/>
      <c r="S527" s="1211"/>
      <c r="T527" s="1209"/>
    </row>
    <row r="528" spans="7:20" s="1191" customFormat="1" x14ac:dyDescent="0.2">
      <c r="G528" s="1203"/>
      <c r="H528" s="1192"/>
      <c r="I528" s="1243"/>
      <c r="J528" s="1243"/>
      <c r="K528" s="1192"/>
      <c r="L528" s="1401"/>
      <c r="M528" s="1192"/>
      <c r="N528" s="1211"/>
      <c r="O528" s="1211"/>
      <c r="P528" s="1211"/>
      <c r="Q528" s="1211"/>
      <c r="R528" s="1211"/>
      <c r="S528" s="1211"/>
      <c r="T528" s="1209"/>
    </row>
    <row r="529" spans="7:20" s="1191" customFormat="1" ht="18" x14ac:dyDescent="0.25">
      <c r="G529" s="1389"/>
      <c r="H529" s="1390"/>
      <c r="I529" s="1391"/>
      <c r="J529" s="1391"/>
      <c r="K529" s="1392"/>
      <c r="L529" s="1399"/>
      <c r="M529" s="1392"/>
      <c r="N529" s="1187"/>
      <c r="O529" s="1187"/>
      <c r="P529" s="1187"/>
      <c r="Q529" s="1187"/>
      <c r="R529" s="1187"/>
      <c r="S529" s="1187"/>
      <c r="T529" s="1202"/>
    </row>
    <row r="530" spans="7:20" s="1191" customFormat="1" x14ac:dyDescent="0.2">
      <c r="G530" s="1203"/>
      <c r="H530" s="1394"/>
      <c r="I530" s="1232"/>
      <c r="J530" s="1232"/>
      <c r="K530" s="1394"/>
      <c r="L530" s="1400"/>
      <c r="M530" s="1394"/>
      <c r="N530" s="1211"/>
      <c r="O530" s="1211"/>
      <c r="P530" s="1211"/>
      <c r="Q530" s="1211"/>
      <c r="R530" s="1211"/>
      <c r="S530" s="1211"/>
      <c r="T530" s="1209"/>
    </row>
    <row r="531" spans="7:20" s="1191" customFormat="1" x14ac:dyDescent="0.2">
      <c r="G531" s="1203"/>
      <c r="H531" s="1204"/>
      <c r="I531" s="1243"/>
      <c r="J531" s="1243"/>
      <c r="K531" s="1204"/>
      <c r="L531" s="1401"/>
      <c r="M531" s="1192"/>
      <c r="N531" s="1211"/>
      <c r="O531" s="1211"/>
      <c r="P531" s="1211"/>
      <c r="Q531" s="1211"/>
      <c r="R531" s="1211"/>
      <c r="S531" s="1211"/>
      <c r="T531" s="1209"/>
    </row>
    <row r="532" spans="7:20" s="1191" customFormat="1" x14ac:dyDescent="0.2">
      <c r="G532" s="1203"/>
      <c r="H532" s="1204"/>
      <c r="I532" s="1243"/>
      <c r="J532" s="1243"/>
      <c r="K532" s="1204"/>
      <c r="L532" s="1401"/>
      <c r="M532" s="1204"/>
      <c r="N532" s="1211"/>
      <c r="O532" s="1211"/>
      <c r="P532" s="1211"/>
      <c r="Q532" s="1211"/>
      <c r="R532" s="1211"/>
      <c r="S532" s="1211"/>
      <c r="T532" s="1209"/>
    </row>
    <row r="533" spans="7:20" s="1191" customFormat="1" x14ac:dyDescent="0.2">
      <c r="G533" s="1203"/>
      <c r="H533" s="1204"/>
      <c r="I533" s="1243"/>
      <c r="J533" s="1243"/>
      <c r="K533" s="1204"/>
      <c r="L533" s="1401"/>
      <c r="M533" s="1192"/>
      <c r="N533" s="1211"/>
      <c r="O533" s="1211"/>
      <c r="P533" s="1211"/>
      <c r="Q533" s="1211"/>
      <c r="R533" s="1211"/>
      <c r="S533" s="1211"/>
      <c r="T533" s="1209"/>
    </row>
    <row r="534" spans="7:20" s="1191" customFormat="1" x14ac:dyDescent="0.2">
      <c r="G534" s="1203"/>
      <c r="H534" s="1204"/>
      <c r="I534" s="1243"/>
      <c r="J534" s="1243"/>
      <c r="K534" s="1204"/>
      <c r="L534" s="1401"/>
      <c r="M534" s="1192"/>
      <c r="N534" s="1211"/>
      <c r="O534" s="1211"/>
      <c r="P534" s="1211"/>
      <c r="Q534" s="1211"/>
      <c r="R534" s="1211"/>
      <c r="S534" s="1211"/>
      <c r="T534" s="1209"/>
    </row>
    <row r="535" spans="7:20" s="1191" customFormat="1" x14ac:dyDescent="0.2">
      <c r="G535" s="1203"/>
      <c r="H535" s="1204"/>
      <c r="I535" s="1243"/>
      <c r="J535" s="1243"/>
      <c r="K535" s="1244"/>
      <c r="L535" s="1401"/>
      <c r="M535" s="1192"/>
      <c r="N535" s="1211"/>
      <c r="O535" s="1211"/>
      <c r="P535" s="1211"/>
      <c r="Q535" s="1211"/>
      <c r="R535" s="1211"/>
      <c r="S535" s="1211"/>
      <c r="T535" s="1209"/>
    </row>
    <row r="536" spans="7:20" s="1191" customFormat="1" x14ac:dyDescent="0.2">
      <c r="G536" s="1203"/>
      <c r="H536" s="1204"/>
      <c r="I536" s="1243"/>
      <c r="J536" s="1243"/>
      <c r="K536" s="1405"/>
      <c r="L536" s="1401"/>
      <c r="M536" s="1204"/>
      <c r="N536" s="1211"/>
      <c r="O536" s="1211"/>
      <c r="P536" s="1211"/>
      <c r="Q536" s="1211"/>
      <c r="R536" s="1211"/>
      <c r="S536" s="1211"/>
      <c r="T536" s="1209"/>
    </row>
    <row r="537" spans="7:20" s="1191" customFormat="1" x14ac:dyDescent="0.2">
      <c r="G537" s="1203"/>
      <c r="H537" s="1204"/>
      <c r="I537" s="1243"/>
      <c r="J537" s="1243"/>
      <c r="K537" s="1405"/>
      <c r="L537" s="1401"/>
      <c r="M537" s="1204"/>
      <c r="N537" s="1211"/>
      <c r="O537" s="1211"/>
      <c r="P537" s="1211"/>
      <c r="Q537" s="1211"/>
      <c r="R537" s="1211"/>
      <c r="S537" s="1211"/>
      <c r="T537" s="1209"/>
    </row>
    <row r="538" spans="7:20" s="1191" customFormat="1" x14ac:dyDescent="0.2">
      <c r="G538" s="1203"/>
      <c r="H538" s="1220"/>
      <c r="I538" s="1243"/>
      <c r="J538" s="1243"/>
      <c r="K538" s="1405"/>
      <c r="L538" s="1401"/>
      <c r="M538" s="1204"/>
      <c r="N538" s="1211"/>
      <c r="O538" s="1211"/>
      <c r="P538" s="1211"/>
      <c r="Q538" s="1211"/>
      <c r="R538" s="1211"/>
      <c r="S538" s="1211"/>
      <c r="T538" s="1209"/>
    </row>
    <row r="539" spans="7:20" s="1191" customFormat="1" x14ac:dyDescent="0.2">
      <c r="G539" s="1203"/>
      <c r="H539" s="1204"/>
      <c r="I539" s="1243"/>
      <c r="J539" s="1243"/>
      <c r="K539" s="1405"/>
      <c r="L539" s="1401"/>
      <c r="M539" s="1204"/>
      <c r="N539" s="1211"/>
      <c r="O539" s="1211"/>
      <c r="P539" s="1211"/>
      <c r="Q539" s="1211"/>
      <c r="R539" s="1211"/>
      <c r="S539" s="1211"/>
      <c r="T539" s="1209"/>
    </row>
    <row r="540" spans="7:20" s="1191" customFormat="1" x14ac:dyDescent="0.2">
      <c r="G540" s="1203"/>
      <c r="H540" s="1204"/>
      <c r="I540" s="1243"/>
      <c r="J540" s="1243"/>
      <c r="K540" s="1204"/>
      <c r="L540" s="1401"/>
      <c r="M540" s="1192"/>
      <c r="N540" s="1211"/>
      <c r="O540" s="1211"/>
      <c r="P540" s="1211"/>
      <c r="Q540" s="1211"/>
      <c r="R540" s="1211"/>
      <c r="S540" s="1211"/>
      <c r="T540" s="1209"/>
    </row>
    <row r="541" spans="7:20" s="1191" customFormat="1" x14ac:dyDescent="0.2">
      <c r="G541" s="1203"/>
      <c r="H541" s="1368"/>
      <c r="I541" s="1243"/>
      <c r="J541" s="1243"/>
      <c r="K541" s="1204"/>
      <c r="L541" s="1401"/>
      <c r="M541" s="1192"/>
      <c r="N541" s="1211"/>
      <c r="O541" s="1211"/>
      <c r="P541" s="1211"/>
      <c r="Q541" s="1211"/>
      <c r="R541" s="1211"/>
      <c r="S541" s="1211"/>
      <c r="T541" s="1209"/>
    </row>
    <row r="542" spans="7:20" s="1191" customFormat="1" x14ac:dyDescent="0.2">
      <c r="G542" s="1203"/>
      <c r="H542" s="1204"/>
      <c r="I542" s="1243"/>
      <c r="J542" s="1243"/>
      <c r="K542" s="1204"/>
      <c r="L542" s="1401"/>
      <c r="M542" s="1192"/>
      <c r="N542" s="1211"/>
      <c r="O542" s="1211"/>
      <c r="P542" s="1211"/>
      <c r="Q542" s="1211"/>
      <c r="R542" s="1211"/>
      <c r="S542" s="1211"/>
      <c r="T542" s="1209"/>
    </row>
    <row r="543" spans="7:20" s="1191" customFormat="1" x14ac:dyDescent="0.2">
      <c r="G543" s="1203"/>
      <c r="H543" s="1204"/>
      <c r="I543" s="1243"/>
      <c r="J543" s="1243"/>
      <c r="K543" s="1204"/>
      <c r="L543" s="1401"/>
      <c r="M543" s="1192"/>
      <c r="N543" s="1211"/>
      <c r="O543" s="1211"/>
      <c r="P543" s="1211"/>
      <c r="Q543" s="1211"/>
      <c r="R543" s="1211"/>
      <c r="S543" s="1211"/>
      <c r="T543" s="1209"/>
    </row>
    <row r="544" spans="7:20" s="1191" customFormat="1" x14ac:dyDescent="0.2">
      <c r="G544" s="1203"/>
      <c r="H544" s="1192"/>
      <c r="I544" s="1243"/>
      <c r="J544" s="1243"/>
      <c r="K544" s="1192"/>
      <c r="L544" s="1401"/>
      <c r="M544" s="1192"/>
      <c r="N544" s="1211"/>
      <c r="O544" s="1211"/>
      <c r="P544" s="1211"/>
      <c r="Q544" s="1211"/>
      <c r="R544" s="1211"/>
      <c r="S544" s="1211"/>
      <c r="T544" s="1209"/>
    </row>
    <row r="545" spans="7:20" s="1191" customFormat="1" ht="18" x14ac:dyDescent="0.25">
      <c r="G545" s="1389"/>
      <c r="H545" s="1390"/>
      <c r="I545" s="1391"/>
      <c r="J545" s="1391"/>
      <c r="K545" s="1392"/>
      <c r="L545" s="1393"/>
      <c r="M545" s="1195"/>
      <c r="N545" s="1187"/>
      <c r="O545" s="1187"/>
      <c r="P545" s="1187"/>
      <c r="Q545" s="1187"/>
      <c r="R545" s="1187"/>
      <c r="S545" s="1187"/>
      <c r="T545" s="1202"/>
    </row>
    <row r="546" spans="7:20" s="1191" customFormat="1" x14ac:dyDescent="0.2">
      <c r="G546" s="1203"/>
      <c r="H546" s="1394"/>
      <c r="I546" s="1232"/>
      <c r="J546" s="1232"/>
      <c r="K546" s="1394"/>
      <c r="L546" s="1233"/>
      <c r="M546" s="1395"/>
      <c r="N546" s="1211"/>
      <c r="O546" s="1211"/>
      <c r="P546" s="1211"/>
      <c r="Q546" s="1211"/>
      <c r="R546" s="1211"/>
      <c r="S546" s="1211"/>
      <c r="T546" s="1209"/>
    </row>
    <row r="547" spans="7:20" s="1191" customFormat="1" x14ac:dyDescent="0.2">
      <c r="G547" s="1203"/>
      <c r="H547" s="1204"/>
      <c r="I547" s="1243"/>
      <c r="J547" s="1235"/>
      <c r="K547" s="1204"/>
      <c r="L547" s="1216"/>
      <c r="M547" s="1339"/>
      <c r="N547" s="1211"/>
      <c r="O547" s="1211"/>
      <c r="P547" s="1211"/>
      <c r="Q547" s="1211"/>
      <c r="R547" s="1211"/>
      <c r="S547" s="1211"/>
      <c r="T547" s="1209"/>
    </row>
    <row r="548" spans="7:20" s="1191" customFormat="1" x14ac:dyDescent="0.2">
      <c r="G548" s="1203"/>
      <c r="H548" s="1368"/>
      <c r="I548" s="1189"/>
      <c r="J548" s="1406"/>
      <c r="K548" s="1368"/>
      <c r="L548" s="1107"/>
      <c r="M548" s="1203"/>
      <c r="N548" s="1211"/>
      <c r="O548" s="1211"/>
      <c r="P548" s="1211"/>
      <c r="Q548" s="1211"/>
      <c r="R548" s="1211"/>
      <c r="S548" s="1211"/>
      <c r="T548" s="1209"/>
    </row>
    <row r="549" spans="7:20" s="1191" customFormat="1" x14ac:dyDescent="0.2">
      <c r="G549" s="1203"/>
      <c r="H549" s="1368"/>
      <c r="I549" s="1189"/>
      <c r="J549" s="1406"/>
      <c r="K549" s="1368"/>
      <c r="L549" s="1107"/>
      <c r="M549" s="1203"/>
      <c r="N549" s="1211"/>
      <c r="O549" s="1211"/>
      <c r="P549" s="1211"/>
      <c r="Q549" s="1211"/>
      <c r="R549" s="1211"/>
      <c r="S549" s="1211"/>
      <c r="T549" s="1209"/>
    </row>
    <row r="550" spans="7:20" s="1191" customFormat="1" x14ac:dyDescent="0.2">
      <c r="G550" s="1203"/>
      <c r="H550" s="1368"/>
      <c r="I550" s="1189"/>
      <c r="J550" s="1406"/>
      <c r="K550" s="1368"/>
      <c r="L550" s="1107"/>
      <c r="M550" s="1203"/>
      <c r="N550" s="1211"/>
      <c r="O550" s="1211"/>
      <c r="P550" s="1211"/>
      <c r="Q550" s="1211"/>
      <c r="R550" s="1211"/>
      <c r="S550" s="1211"/>
      <c r="T550" s="1209"/>
    </row>
    <row r="551" spans="7:20" s="1191" customFormat="1" x14ac:dyDescent="0.2">
      <c r="G551" s="1203"/>
      <c r="H551" s="1204"/>
      <c r="I551" s="1243"/>
      <c r="J551" s="1407"/>
      <c r="K551" s="1368"/>
      <c r="L551" s="1216"/>
      <c r="M551" s="1203"/>
      <c r="N551" s="1211"/>
      <c r="O551" s="1211"/>
      <c r="P551" s="1211"/>
      <c r="Q551" s="1211"/>
      <c r="R551" s="1211"/>
      <c r="S551" s="1211"/>
      <c r="T551" s="1209"/>
    </row>
    <row r="552" spans="7:20" s="1191" customFormat="1" x14ac:dyDescent="0.2">
      <c r="G552" s="1203"/>
      <c r="H552" s="1204"/>
      <c r="I552" s="1243"/>
      <c r="J552" s="1243"/>
      <c r="K552" s="1204"/>
      <c r="L552" s="1216"/>
      <c r="M552" s="1203"/>
      <c r="N552" s="1211"/>
      <c r="O552" s="1211"/>
      <c r="P552" s="1211"/>
      <c r="Q552" s="1211"/>
      <c r="R552" s="1211"/>
      <c r="S552" s="1211"/>
      <c r="T552" s="1209"/>
    </row>
    <row r="553" spans="7:20" s="1191" customFormat="1" x14ac:dyDescent="0.2">
      <c r="G553" s="1203"/>
      <c r="H553" s="1192"/>
      <c r="I553" s="1243"/>
      <c r="J553" s="1243"/>
      <c r="K553" s="1192"/>
      <c r="L553" s="1216"/>
      <c r="M553" s="1203"/>
      <c r="N553" s="1211"/>
      <c r="O553" s="1211"/>
      <c r="P553" s="1211"/>
      <c r="Q553" s="1211"/>
      <c r="R553" s="1211"/>
      <c r="S553" s="1211"/>
      <c r="T553" s="1209"/>
    </row>
    <row r="554" spans="7:20" s="1191" customFormat="1" x14ac:dyDescent="0.2">
      <c r="G554" s="1203"/>
      <c r="H554" s="1192"/>
      <c r="I554" s="1243"/>
      <c r="J554" s="1243"/>
      <c r="K554" s="1192"/>
      <c r="L554" s="1216"/>
      <c r="M554" s="1203"/>
      <c r="N554" s="1211"/>
      <c r="O554" s="1211"/>
      <c r="P554" s="1211"/>
      <c r="Q554" s="1211"/>
      <c r="R554" s="1211"/>
      <c r="S554" s="1211"/>
      <c r="T554" s="1209"/>
    </row>
    <row r="555" spans="7:20" s="1191" customFormat="1" x14ac:dyDescent="0.2">
      <c r="G555" s="1203"/>
      <c r="H555" s="1192"/>
      <c r="I555" s="1243"/>
      <c r="J555" s="1243"/>
      <c r="K555" s="1192"/>
      <c r="L555" s="1216"/>
      <c r="M555" s="1203"/>
      <c r="N555" s="1211"/>
      <c r="O555" s="1211"/>
      <c r="P555" s="1211"/>
      <c r="Q555" s="1211"/>
      <c r="R555" s="1211"/>
      <c r="S555" s="1211"/>
      <c r="T555" s="1209"/>
    </row>
    <row r="556" spans="7:20" s="1191" customFormat="1" x14ac:dyDescent="0.2">
      <c r="G556" s="1203"/>
      <c r="H556" s="1192"/>
      <c r="I556" s="1243"/>
      <c r="J556" s="1243"/>
      <c r="K556" s="1192"/>
      <c r="L556" s="1216"/>
      <c r="M556" s="1203"/>
      <c r="N556" s="1211"/>
      <c r="O556" s="1211"/>
      <c r="P556" s="1211"/>
      <c r="Q556" s="1211"/>
      <c r="R556" s="1211"/>
      <c r="S556" s="1211"/>
      <c r="T556" s="1209"/>
    </row>
    <row r="557" spans="7:20" s="1191" customFormat="1" x14ac:dyDescent="0.2">
      <c r="G557" s="1203"/>
      <c r="H557" s="1192"/>
      <c r="I557" s="1243"/>
      <c r="J557" s="1243"/>
      <c r="K557" s="1192"/>
      <c r="L557" s="1216"/>
      <c r="M557" s="1203"/>
      <c r="N557" s="1211"/>
      <c r="O557" s="1211"/>
      <c r="P557" s="1211"/>
      <c r="Q557" s="1211"/>
      <c r="R557" s="1211"/>
      <c r="S557" s="1211"/>
      <c r="T557" s="1209"/>
    </row>
    <row r="558" spans="7:20" s="1191" customFormat="1" x14ac:dyDescent="0.2">
      <c r="G558" s="1224"/>
      <c r="H558" s="1225"/>
      <c r="I558" s="1226"/>
      <c r="J558" s="1226"/>
      <c r="K558" s="1225"/>
      <c r="L558" s="1227"/>
      <c r="M558" s="1224"/>
      <c r="N558" s="1229"/>
      <c r="O558" s="1229"/>
      <c r="P558" s="1229"/>
      <c r="Q558" s="1229"/>
      <c r="R558" s="1229"/>
      <c r="S558" s="1229"/>
      <c r="T558" s="1228"/>
    </row>
    <row r="564" spans="3:28" s="1191" customFormat="1" x14ac:dyDescent="0.2">
      <c r="G564" s="1107"/>
      <c r="H564" s="1204"/>
      <c r="I564" s="1235"/>
      <c r="J564" s="1243"/>
      <c r="K564" s="1107"/>
      <c r="L564" s="1401"/>
      <c r="M564" s="1107"/>
    </row>
    <row r="565" spans="3:28" s="1191" customFormat="1" x14ac:dyDescent="0.2">
      <c r="C565" s="1107"/>
      <c r="D565" s="1107"/>
      <c r="E565" s="1107"/>
      <c r="F565" s="1107"/>
      <c r="G565" s="1107"/>
      <c r="H565" s="1204"/>
      <c r="I565" s="1235"/>
      <c r="J565" s="1243"/>
      <c r="K565" s="1107"/>
      <c r="L565" s="1401"/>
      <c r="M565" s="1107"/>
      <c r="AA565" s="1107"/>
      <c r="AB565" s="1107"/>
    </row>
    <row r="566" spans="3:28" s="1191" customFormat="1" x14ac:dyDescent="0.2">
      <c r="C566" s="1107"/>
      <c r="D566" s="1107"/>
      <c r="E566" s="1107"/>
      <c r="F566" s="1107"/>
      <c r="G566" s="1107"/>
      <c r="H566" s="1204"/>
      <c r="I566" s="1235"/>
      <c r="J566" s="1243"/>
      <c r="K566" s="1107"/>
      <c r="L566" s="1401"/>
      <c r="M566" s="1107"/>
      <c r="AA566" s="1107"/>
      <c r="AB566" s="1107"/>
    </row>
    <row r="567" spans="3:28" s="1191" customFormat="1" x14ac:dyDescent="0.2">
      <c r="C567" s="1107"/>
      <c r="D567" s="1107"/>
      <c r="E567" s="1107"/>
      <c r="F567" s="1107"/>
      <c r="G567" s="1107"/>
      <c r="H567" s="1204"/>
      <c r="I567" s="1235"/>
      <c r="J567" s="1243"/>
      <c r="K567" s="1107"/>
      <c r="L567" s="1401"/>
      <c r="M567" s="1107"/>
      <c r="AA567" s="1107"/>
      <c r="AB567" s="1107"/>
    </row>
    <row r="568" spans="3:28" s="1191" customFormat="1" x14ac:dyDescent="0.2">
      <c r="C568" s="1107"/>
      <c r="D568" s="1107"/>
      <c r="E568" s="1107"/>
      <c r="F568" s="1107"/>
      <c r="G568" s="1107"/>
      <c r="H568" s="1204"/>
      <c r="I568" s="1319"/>
      <c r="J568" s="1243"/>
      <c r="K568" s="1107"/>
      <c r="L568" s="1401"/>
      <c r="M568" s="1107"/>
      <c r="AA568" s="1107"/>
      <c r="AB568" s="1107"/>
    </row>
    <row r="569" spans="3:28" s="1191" customFormat="1" x14ac:dyDescent="0.2">
      <c r="C569" s="1107"/>
      <c r="D569" s="1107"/>
      <c r="E569" s="1107"/>
      <c r="F569" s="1107"/>
      <c r="G569" s="1107"/>
      <c r="H569" s="1204"/>
      <c r="I569" s="1319"/>
      <c r="J569" s="1243"/>
      <c r="K569" s="1107"/>
      <c r="L569" s="1401"/>
      <c r="M569" s="1107"/>
      <c r="AA569" s="1107"/>
      <c r="AB569" s="1107"/>
    </row>
  </sheetData>
  <sheetProtection password="C82C" sheet="1" objects="1" scenarios="1" selectLockedCells="1"/>
  <dataValidations count="1">
    <dataValidation type="list" allowBlank="1" showInputMessage="1" showErrorMessage="1" sqref="O157">
      <formula1>$S$156:$S$157</formula1>
    </dataValidation>
  </dataValidations>
  <pageMargins left="0.70866141732283472" right="0.70866141732283472" top="0.74803149606299213" bottom="0.74803149606299213" header="0.31496062992125984" footer="0.31496062992125984"/>
  <pageSetup paperSize="9" scale="60" fitToHeight="0" orientation="portrait" r:id="rId1"/>
  <headerFooter>
    <oddHeader>&amp;LPUBLIC&amp;CEfficient Costs of New Entrant Ethanol Producers&amp;R&amp;G</oddHeader>
    <oddFooter>&amp;L&amp;F:&amp;A&amp;C&amp;D&amp;R&amp;P of &amp;N</oddFooter>
  </headerFooter>
  <rowBreaks count="3" manualBreakCount="3">
    <brk id="76" min="6" max="13" man="1"/>
    <brk id="169" min="6" max="13" man="1"/>
    <brk id="248" min="6" max="1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69"/>
  <sheetViews>
    <sheetView topLeftCell="H3" zoomScaleNormal="100" workbookViewId="0">
      <selection activeCell="I10" sqref="I10"/>
    </sheetView>
  </sheetViews>
  <sheetFormatPr defaultRowHeight="12.75" x14ac:dyDescent="0.2"/>
  <cols>
    <col min="1" max="3" width="9.140625" style="1107" hidden="1" customWidth="1"/>
    <col min="4" max="4" width="6.140625" style="1107" hidden="1" customWidth="1"/>
    <col min="5" max="5" width="8" style="1107" hidden="1" customWidth="1"/>
    <col min="6" max="6" width="4.42578125" style="1107" hidden="1" customWidth="1"/>
    <col min="7" max="7" width="4.7109375" style="1107" hidden="1" customWidth="1"/>
    <col min="8" max="8" width="41.42578125" style="1107" customWidth="1"/>
    <col min="9" max="9" width="30.140625" style="1189" customWidth="1"/>
    <col min="10" max="10" width="13.28515625" style="1107" customWidth="1"/>
    <col min="11" max="11" width="17" style="1107" customWidth="1"/>
    <col min="12" max="12" width="16.28515625" style="1190" customWidth="1"/>
    <col min="13" max="13" width="13.28515625" style="1107" customWidth="1"/>
    <col min="14" max="14" width="13.5703125" style="1191" customWidth="1"/>
    <col min="15" max="15" width="14" style="1191" customWidth="1"/>
    <col min="16" max="26" width="13.5703125" style="1191" customWidth="1"/>
    <col min="27" max="16384" width="9.140625" style="1107"/>
  </cols>
  <sheetData>
    <row r="1" spans="6:20" s="1191" customFormat="1" ht="20.25" hidden="1" x14ac:dyDescent="0.3">
      <c r="F1" s="1188"/>
      <c r="G1" s="1107"/>
      <c r="H1" s="1107"/>
      <c r="I1" s="1189"/>
      <c r="J1" s="1107"/>
      <c r="K1" s="1107"/>
      <c r="L1" s="1190"/>
      <c r="M1" s="1107"/>
    </row>
    <row r="2" spans="6:20" s="1191" customFormat="1" hidden="1" x14ac:dyDescent="0.2">
      <c r="F2" s="1107"/>
      <c r="G2" s="1107"/>
      <c r="H2" s="1192"/>
      <c r="I2" s="1189"/>
      <c r="J2" s="1107"/>
      <c r="K2" s="1107"/>
      <c r="L2" s="1190"/>
      <c r="M2" s="1107"/>
    </row>
    <row r="3" spans="6:20" s="1191" customFormat="1" ht="23.25" x14ac:dyDescent="0.35">
      <c r="F3" s="1193"/>
      <c r="G3" s="1107"/>
      <c r="H3" s="1194" t="s">
        <v>699</v>
      </c>
      <c r="I3" s="1189"/>
      <c r="J3" s="1107"/>
      <c r="K3" s="1107"/>
      <c r="L3" s="1190"/>
      <c r="M3" s="1107"/>
    </row>
    <row r="4" spans="6:20" s="1191" customFormat="1" ht="25.5" x14ac:dyDescent="0.2">
      <c r="F4" s="1195"/>
      <c r="G4" s="1196" t="s">
        <v>0</v>
      </c>
      <c r="H4" s="1197" t="s">
        <v>373</v>
      </c>
      <c r="I4" s="1198" t="s">
        <v>2</v>
      </c>
      <c r="J4" s="1198" t="s">
        <v>374</v>
      </c>
      <c r="K4" s="1198" t="s">
        <v>4</v>
      </c>
      <c r="L4" s="1198" t="s">
        <v>70</v>
      </c>
      <c r="M4" s="1199" t="s">
        <v>5</v>
      </c>
      <c r="N4" s="1200" t="s">
        <v>6</v>
      </c>
      <c r="O4" s="1201" t="s">
        <v>7</v>
      </c>
      <c r="P4" s="1187"/>
      <c r="Q4" s="1187"/>
      <c r="R4" s="1187"/>
      <c r="S4" s="1187"/>
      <c r="T4" s="1202"/>
    </row>
    <row r="5" spans="6:20" s="1191" customFormat="1" x14ac:dyDescent="0.2">
      <c r="F5" s="1203"/>
      <c r="G5" s="1203"/>
      <c r="H5" s="1204" t="s">
        <v>375</v>
      </c>
      <c r="I5" s="1205">
        <v>0.5</v>
      </c>
      <c r="J5" s="1206">
        <v>9.5000000000000001E-2</v>
      </c>
      <c r="K5" s="1206">
        <v>0.89</v>
      </c>
      <c r="L5" s="1207">
        <f>K30*J29</f>
        <v>0.64800000000000002</v>
      </c>
      <c r="M5" s="1208">
        <f>$J$51*I5/K5/L5</f>
        <v>414.61662926523604</v>
      </c>
      <c r="N5" s="1209">
        <f>M5*J17</f>
        <v>139228.26410726627</v>
      </c>
      <c r="O5" s="1210"/>
      <c r="P5" s="1211"/>
      <c r="Q5" s="1211"/>
      <c r="R5" s="1211"/>
      <c r="S5" s="1211"/>
      <c r="T5" s="1209"/>
    </row>
    <row r="6" spans="6:20" s="1191" customFormat="1" x14ac:dyDescent="0.2">
      <c r="F6" s="1203"/>
      <c r="G6" s="1203"/>
      <c r="H6" s="1204" t="s">
        <v>376</v>
      </c>
      <c r="I6" s="1205">
        <v>0</v>
      </c>
      <c r="J6" s="1206">
        <v>0.13500000000000001</v>
      </c>
      <c r="K6" s="1206">
        <v>0.89</v>
      </c>
      <c r="L6" s="1207">
        <f>L5</f>
        <v>0.64800000000000002</v>
      </c>
      <c r="M6" s="1208">
        <f t="shared" ref="M6:M10" si="0">$J$51*I6/K6/L6</f>
        <v>0</v>
      </c>
      <c r="N6" s="1209">
        <f>M6*$J$17</f>
        <v>0</v>
      </c>
      <c r="O6" s="1210"/>
      <c r="P6" s="1211"/>
      <c r="Q6" s="1211"/>
      <c r="R6" s="1211"/>
      <c r="S6" s="1211"/>
      <c r="T6" s="1209"/>
    </row>
    <row r="7" spans="6:20" s="1191" customFormat="1" x14ac:dyDescent="0.2">
      <c r="F7" s="1203"/>
      <c r="G7" s="1203"/>
      <c r="H7" s="1204" t="s">
        <v>377</v>
      </c>
      <c r="I7" s="1205">
        <v>0.5</v>
      </c>
      <c r="J7" s="1206">
        <v>0.115</v>
      </c>
      <c r="K7" s="1206">
        <v>0.89</v>
      </c>
      <c r="L7" s="1207">
        <f>L6</f>
        <v>0.64800000000000002</v>
      </c>
      <c r="M7" s="1208">
        <f t="shared" si="0"/>
        <v>414.61662926523604</v>
      </c>
      <c r="N7" s="1209">
        <f>M7*$J$17</f>
        <v>139228.26410726627</v>
      </c>
      <c r="O7" s="1210"/>
      <c r="P7" s="1211"/>
      <c r="Q7" s="1211"/>
      <c r="R7" s="1211"/>
      <c r="S7" s="1211"/>
      <c r="T7" s="1209"/>
    </row>
    <row r="8" spans="6:20" s="1191" customFormat="1" x14ac:dyDescent="0.2">
      <c r="F8" s="1203"/>
      <c r="G8" s="1203"/>
      <c r="H8" s="1204" t="s">
        <v>378</v>
      </c>
      <c r="I8" s="1205">
        <v>0</v>
      </c>
      <c r="J8" s="1206">
        <v>0.1</v>
      </c>
      <c r="K8" s="1206">
        <v>0.89</v>
      </c>
      <c r="L8" s="1207">
        <f>L7</f>
        <v>0.64800000000000002</v>
      </c>
      <c r="M8" s="1208">
        <f t="shared" si="0"/>
        <v>0</v>
      </c>
      <c r="N8" s="1209">
        <f>M8*$J$17</f>
        <v>0</v>
      </c>
      <c r="O8" s="1211"/>
      <c r="P8" s="1211"/>
      <c r="Q8" s="1211"/>
      <c r="R8" s="1211"/>
      <c r="S8" s="1211"/>
      <c r="T8" s="1209"/>
    </row>
    <row r="9" spans="6:20" s="1191" customFormat="1" x14ac:dyDescent="0.2">
      <c r="F9" s="1203"/>
      <c r="G9" s="1203"/>
      <c r="H9" s="1204" t="s">
        <v>379</v>
      </c>
      <c r="I9" s="1205">
        <v>0</v>
      </c>
      <c r="J9" s="1206">
        <v>9.5000000000000001E-2</v>
      </c>
      <c r="K9" s="1206">
        <v>0.89</v>
      </c>
      <c r="L9" s="1207">
        <f>L8</f>
        <v>0.64800000000000002</v>
      </c>
      <c r="M9" s="1208">
        <f t="shared" si="0"/>
        <v>0</v>
      </c>
      <c r="N9" s="1209">
        <f>M9*$J$17</f>
        <v>0</v>
      </c>
      <c r="O9" s="1211"/>
      <c r="P9" s="1211"/>
      <c r="Q9" s="1211"/>
      <c r="R9" s="1211"/>
      <c r="S9" s="1211"/>
      <c r="T9" s="1209"/>
    </row>
    <row r="10" spans="6:20" s="1191" customFormat="1" x14ac:dyDescent="0.2">
      <c r="F10" s="1203"/>
      <c r="G10" s="1203"/>
      <c r="H10" s="1204" t="s">
        <v>380</v>
      </c>
      <c r="I10" s="1205">
        <v>0</v>
      </c>
      <c r="J10" s="1206">
        <v>0.09</v>
      </c>
      <c r="K10" s="1206">
        <v>0.89</v>
      </c>
      <c r="L10" s="1207">
        <f>L9</f>
        <v>0.64800000000000002</v>
      </c>
      <c r="M10" s="1208">
        <f t="shared" si="0"/>
        <v>0</v>
      </c>
      <c r="N10" s="1209">
        <f>M10*$J$17</f>
        <v>0</v>
      </c>
      <c r="O10" s="1210"/>
      <c r="P10" s="1211"/>
      <c r="Q10" s="1211"/>
      <c r="R10" s="1211"/>
      <c r="S10" s="1211"/>
      <c r="T10" s="1209"/>
    </row>
    <row r="11" spans="6:20" s="1191" customFormat="1" x14ac:dyDescent="0.2">
      <c r="F11" s="1203"/>
      <c r="G11" s="1203"/>
      <c r="H11" s="1212" t="s">
        <v>16</v>
      </c>
      <c r="I11" s="1213">
        <f>SUM(I5:I10)</f>
        <v>1</v>
      </c>
      <c r="J11" s="1214">
        <f>SUMPRODUCT(I5:I10,J5:J10)</f>
        <v>0.10500000000000001</v>
      </c>
      <c r="K11" s="1215">
        <f>SUMPRODUCT(I5:I10,K5:K10)</f>
        <v>0.89</v>
      </c>
      <c r="L11" s="1216"/>
      <c r="M11" s="1217">
        <f>SUM(M5:M10)</f>
        <v>829.23325853047209</v>
      </c>
      <c r="N11" s="1218">
        <f>SUM(N5:N10)</f>
        <v>278456.52821453253</v>
      </c>
      <c r="O11" s="1211"/>
      <c r="P11" s="1211"/>
      <c r="Q11" s="1211"/>
      <c r="R11" s="1211"/>
      <c r="S11" s="1211"/>
      <c r="T11" s="1209"/>
    </row>
    <row r="12" spans="6:20" s="1191" customFormat="1" x14ac:dyDescent="0.2">
      <c r="F12" s="1203"/>
      <c r="G12" s="1203"/>
      <c r="H12" s="1212"/>
      <c r="I12" s="1219"/>
      <c r="J12" s="1220" t="s">
        <v>381</v>
      </c>
      <c r="K12" s="1214"/>
      <c r="L12" s="1221" t="s">
        <v>382</v>
      </c>
      <c r="M12" s="1222">
        <f>M11/24</f>
        <v>34.551385772103004</v>
      </c>
      <c r="N12" s="1223"/>
      <c r="O12" s="1211"/>
      <c r="P12" s="1211"/>
      <c r="Q12" s="1211"/>
      <c r="R12" s="1211"/>
      <c r="S12" s="1211"/>
      <c r="T12" s="1209"/>
    </row>
    <row r="13" spans="6:20" s="1191" customFormat="1" x14ac:dyDescent="0.2">
      <c r="F13" s="1203"/>
      <c r="G13" s="1224"/>
      <c r="H13" s="1225"/>
      <c r="I13" s="1226"/>
      <c r="J13" s="1225"/>
      <c r="K13" s="1225"/>
      <c r="L13" s="1227"/>
      <c r="M13" s="1225"/>
      <c r="N13" s="1228"/>
      <c r="O13" s="1229"/>
      <c r="P13" s="1229"/>
      <c r="Q13" s="1229"/>
      <c r="R13" s="1229"/>
      <c r="S13" s="1229"/>
      <c r="T13" s="1228"/>
    </row>
    <row r="14" spans="6:20" s="1191" customFormat="1" x14ac:dyDescent="0.2">
      <c r="F14" s="1203"/>
      <c r="G14" s="1230" t="s">
        <v>18</v>
      </c>
      <c r="H14" s="1231" t="s">
        <v>19</v>
      </c>
      <c r="I14" s="1232" t="s">
        <v>20</v>
      </c>
      <c r="J14" s="1232" t="s">
        <v>21</v>
      </c>
      <c r="K14" s="1232"/>
      <c r="L14" s="1233" t="s">
        <v>22</v>
      </c>
      <c r="M14" s="1232" t="s">
        <v>23</v>
      </c>
      <c r="N14" s="1209"/>
      <c r="O14" s="1234" t="s">
        <v>7</v>
      </c>
      <c r="P14" s="1187"/>
      <c r="Q14" s="1187"/>
      <c r="R14" s="1187"/>
      <c r="S14" s="1187"/>
      <c r="T14" s="1202"/>
    </row>
    <row r="15" spans="6:20" s="1191" customFormat="1" x14ac:dyDescent="0.2">
      <c r="F15" s="1203"/>
      <c r="G15" s="1230"/>
      <c r="H15" s="1204" t="s">
        <v>24</v>
      </c>
      <c r="I15" s="1235" t="s">
        <v>25</v>
      </c>
      <c r="J15" s="1236">
        <f>Assumptions!$C$5</f>
        <v>100</v>
      </c>
      <c r="K15" s="1192"/>
      <c r="L15" s="1279">
        <f>Assumptions!$J$30</f>
        <v>0.9</v>
      </c>
      <c r="M15" s="1238">
        <f>J15*L15*1000000</f>
        <v>90000000</v>
      </c>
      <c r="N15" s="1209"/>
      <c r="O15" s="1210"/>
      <c r="P15" s="1211"/>
      <c r="Q15" s="1211"/>
      <c r="R15" s="1211"/>
      <c r="S15" s="1211"/>
      <c r="T15" s="1209"/>
    </row>
    <row r="16" spans="6:20" s="1191" customFormat="1" x14ac:dyDescent="0.2">
      <c r="F16" s="1203"/>
      <c r="G16" s="1203"/>
      <c r="H16" s="1204" t="s">
        <v>27</v>
      </c>
      <c r="I16" s="1235" t="s">
        <v>28</v>
      </c>
      <c r="J16" s="1239">
        <v>0.92</v>
      </c>
      <c r="K16" s="1192"/>
      <c r="L16" s="1216"/>
      <c r="M16" s="1192"/>
      <c r="N16" s="1209"/>
      <c r="O16" s="1210" t="s">
        <v>29</v>
      </c>
      <c r="P16" s="1211"/>
      <c r="Q16" s="1211"/>
      <c r="R16" s="1211"/>
      <c r="S16" s="1211"/>
      <c r="T16" s="1209"/>
    </row>
    <row r="17" spans="6:20" s="1191" customFormat="1" x14ac:dyDescent="0.2">
      <c r="F17" s="1203"/>
      <c r="G17" s="1203"/>
      <c r="H17" s="1204" t="s">
        <v>30</v>
      </c>
      <c r="I17" s="1235" t="s">
        <v>31</v>
      </c>
      <c r="J17" s="1240">
        <f>J16*Q17</f>
        <v>335.8</v>
      </c>
      <c r="K17" s="1192"/>
      <c r="L17" s="1216"/>
      <c r="M17" s="1192"/>
      <c r="N17" s="1209"/>
      <c r="O17" s="1210" t="s">
        <v>32</v>
      </c>
      <c r="P17" s="1211"/>
      <c r="Q17" s="1236">
        <v>365</v>
      </c>
      <c r="R17" s="1210"/>
      <c r="S17" s="1211"/>
      <c r="T17" s="1241"/>
    </row>
    <row r="18" spans="6:20" s="1191" customFormat="1" x14ac:dyDescent="0.2">
      <c r="F18" s="1203"/>
      <c r="G18" s="1203"/>
      <c r="H18" s="1204" t="s">
        <v>33</v>
      </c>
      <c r="I18" s="1235" t="s">
        <v>34</v>
      </c>
      <c r="J18" s="1242">
        <f>J17*24</f>
        <v>8059.2000000000007</v>
      </c>
      <c r="K18" s="1192"/>
      <c r="L18" s="1216"/>
      <c r="M18" s="1192"/>
      <c r="N18" s="1209"/>
      <c r="O18" s="1210"/>
      <c r="P18" s="1211"/>
      <c r="Q18" s="1211"/>
      <c r="R18" s="1211"/>
      <c r="S18" s="1211"/>
      <c r="T18" s="1209"/>
    </row>
    <row r="19" spans="6:20" s="1191" customFormat="1" x14ac:dyDescent="0.2">
      <c r="F19" s="1203"/>
      <c r="G19" s="1203"/>
      <c r="H19" s="1204"/>
      <c r="I19" s="1235"/>
      <c r="J19" s="1242"/>
      <c r="K19" s="1192"/>
      <c r="L19" s="1216"/>
      <c r="M19" s="1192"/>
      <c r="N19" s="1209"/>
      <c r="O19" s="1210"/>
      <c r="P19" s="1211"/>
      <c r="Q19" s="1211"/>
      <c r="R19" s="1211"/>
      <c r="S19" s="1211"/>
      <c r="T19" s="1209"/>
    </row>
    <row r="20" spans="6:20" s="1191" customFormat="1" x14ac:dyDescent="0.2">
      <c r="F20" s="1203"/>
      <c r="G20" s="1203"/>
      <c r="H20" s="1220" t="s">
        <v>35</v>
      </c>
      <c r="I20" s="1243"/>
      <c r="J20" s="1192"/>
      <c r="K20" s="1192"/>
      <c r="L20" s="1216"/>
      <c r="M20" s="1192"/>
      <c r="N20" s="1209"/>
      <c r="O20" s="1211"/>
      <c r="P20" s="1211"/>
      <c r="Q20" s="1211"/>
      <c r="R20" s="1211"/>
      <c r="S20" s="1211"/>
      <c r="T20" s="1209"/>
    </row>
    <row r="21" spans="6:20" s="1191" customFormat="1" x14ac:dyDescent="0.2">
      <c r="F21" s="1203"/>
      <c r="G21" s="1203"/>
      <c r="H21" s="1204" t="s">
        <v>36</v>
      </c>
      <c r="I21" s="1235" t="s">
        <v>37</v>
      </c>
      <c r="J21" s="1244">
        <f>J15/J17*1000000</f>
        <v>297796.30732578918</v>
      </c>
      <c r="K21" s="1192"/>
      <c r="L21" s="1216"/>
      <c r="M21" s="1192"/>
      <c r="N21" s="1209"/>
      <c r="O21" s="1211"/>
      <c r="P21" s="1211"/>
      <c r="Q21" s="1211"/>
      <c r="R21" s="1211"/>
      <c r="S21" s="1211"/>
      <c r="T21" s="1209"/>
    </row>
    <row r="22" spans="6:20" s="1191" customFormat="1" x14ac:dyDescent="0.2">
      <c r="F22" s="1203"/>
      <c r="G22" s="1203"/>
      <c r="H22" s="1204" t="s">
        <v>38</v>
      </c>
      <c r="I22" s="1235" t="s">
        <v>39</v>
      </c>
      <c r="J22" s="1211">
        <f>J15*1000000/J18</f>
        <v>12408.179471907881</v>
      </c>
      <c r="K22" s="1192"/>
      <c r="L22" s="1216"/>
      <c r="M22" s="1192"/>
      <c r="N22" s="1209"/>
      <c r="O22" s="1211"/>
      <c r="P22" s="1211"/>
      <c r="Q22" s="1211"/>
      <c r="R22" s="1211"/>
      <c r="S22" s="1211"/>
      <c r="T22" s="1209"/>
    </row>
    <row r="23" spans="6:20" s="1191" customFormat="1" x14ac:dyDescent="0.2">
      <c r="F23" s="1203"/>
      <c r="G23" s="1203"/>
      <c r="H23" s="1220"/>
      <c r="I23" s="1235"/>
      <c r="J23" s="1211"/>
      <c r="K23" s="1192"/>
      <c r="L23" s="1216"/>
      <c r="M23" s="1192"/>
      <c r="N23" s="1209"/>
      <c r="O23" s="1211"/>
      <c r="P23" s="1211"/>
      <c r="Q23" s="1211"/>
      <c r="R23" s="1211"/>
      <c r="S23" s="1211"/>
      <c r="T23" s="1209"/>
    </row>
    <row r="24" spans="6:20" s="1191" customFormat="1" ht="38.25" x14ac:dyDescent="0.2">
      <c r="F24" s="1203"/>
      <c r="G24" s="1203"/>
      <c r="H24" s="1220" t="s">
        <v>383</v>
      </c>
      <c r="I24" s="1245"/>
      <c r="J24" s="1246" t="s">
        <v>384</v>
      </c>
      <c r="K24" s="1247" t="s">
        <v>385</v>
      </c>
      <c r="L24" s="1247" t="s">
        <v>386</v>
      </c>
      <c r="M24" s="1247" t="s">
        <v>387</v>
      </c>
      <c r="N24" s="1209"/>
      <c r="O24" s="1211"/>
      <c r="P24" s="1211"/>
      <c r="Q24" s="1211"/>
      <c r="R24" s="1211"/>
      <c r="S24" s="1211"/>
      <c r="T24" s="1209"/>
    </row>
    <row r="25" spans="6:20" s="1191" customFormat="1" x14ac:dyDescent="0.2">
      <c r="F25" s="1203"/>
      <c r="G25" s="1203"/>
      <c r="H25" s="1204" t="s">
        <v>388</v>
      </c>
      <c r="I25" s="1235" t="s">
        <v>28</v>
      </c>
      <c r="J25" s="1206">
        <v>0.01</v>
      </c>
      <c r="K25" s="1248">
        <f>1-K11</f>
        <v>0.10999999999999999</v>
      </c>
      <c r="L25" s="1249">
        <f>J25*$M$11*$K$11/(1-K25)</f>
        <v>8.2923325853047203</v>
      </c>
      <c r="M25" s="1211">
        <f>L25*$J$17</f>
        <v>2784.565282145325</v>
      </c>
      <c r="N25" s="1209"/>
      <c r="O25" s="1210" t="s">
        <v>389</v>
      </c>
      <c r="P25" s="1211"/>
      <c r="Q25" s="1211"/>
      <c r="R25" s="1211"/>
      <c r="S25" s="1211"/>
      <c r="T25" s="1209"/>
    </row>
    <row r="26" spans="6:20" s="1191" customFormat="1" x14ac:dyDescent="0.2">
      <c r="F26" s="1203"/>
      <c r="G26" s="1203"/>
      <c r="H26" s="1204" t="s">
        <v>390</v>
      </c>
      <c r="I26" s="1235" t="s">
        <v>28</v>
      </c>
      <c r="J26" s="1206">
        <v>0.13</v>
      </c>
      <c r="K26" s="1250">
        <v>0.1</v>
      </c>
      <c r="L26" s="1249">
        <f>J26*$M$11*$K$11/(1-K26)</f>
        <v>106.60254223552847</v>
      </c>
      <c r="M26" s="1211">
        <f>L26*$J$17</f>
        <v>35797.133682690466</v>
      </c>
      <c r="N26" s="1209"/>
      <c r="O26" s="1211"/>
      <c r="P26" s="1211"/>
      <c r="Q26" s="1211"/>
      <c r="R26" s="1211"/>
      <c r="S26" s="1211"/>
      <c r="T26" s="1209"/>
    </row>
    <row r="27" spans="6:20" s="1191" customFormat="1" x14ac:dyDescent="0.2">
      <c r="F27" s="1203"/>
      <c r="G27" s="1203"/>
      <c r="H27" s="1204" t="s">
        <v>391</v>
      </c>
      <c r="I27" s="1235" t="s">
        <v>28</v>
      </c>
      <c r="J27" s="1206">
        <v>0.03</v>
      </c>
      <c r="K27" s="1250">
        <v>0.1</v>
      </c>
      <c r="L27" s="1249">
        <f>J27*$M$11*$K$11/(1-K27)</f>
        <v>24.600586669737336</v>
      </c>
      <c r="M27" s="1211">
        <f>L27*$J$17</f>
        <v>8260.8770036977985</v>
      </c>
      <c r="N27" s="1209"/>
      <c r="O27" s="1211"/>
      <c r="P27" s="1211"/>
      <c r="Q27" s="1211"/>
      <c r="R27" s="1211"/>
      <c r="S27" s="1211"/>
      <c r="T27" s="1209"/>
    </row>
    <row r="28" spans="6:20" s="1191" customFormat="1" x14ac:dyDescent="0.2">
      <c r="F28" s="1203"/>
      <c r="G28" s="1203"/>
      <c r="H28" s="1204" t="s">
        <v>392</v>
      </c>
      <c r="I28" s="1235" t="s">
        <v>28</v>
      </c>
      <c r="J28" s="1206">
        <v>0.11</v>
      </c>
      <c r="K28" s="1250">
        <v>7.0000000000000007E-2</v>
      </c>
      <c r="L28" s="1249">
        <f>J28*$M$11*$K$11/(1-K28)</f>
        <v>87.292404311971197</v>
      </c>
      <c r="M28" s="1211">
        <f>L28*$J$17</f>
        <v>29312.789367959929</v>
      </c>
      <c r="N28" s="1209"/>
      <c r="O28" s="1211"/>
      <c r="P28" s="1211"/>
      <c r="Q28" s="1211"/>
      <c r="R28" s="1211"/>
      <c r="S28" s="1211"/>
      <c r="T28" s="1209"/>
    </row>
    <row r="29" spans="6:20" s="1191" customFormat="1" x14ac:dyDescent="0.2">
      <c r="F29" s="1203"/>
      <c r="G29" s="1203"/>
      <c r="H29" s="1204" t="s">
        <v>393</v>
      </c>
      <c r="I29" s="1235" t="s">
        <v>28</v>
      </c>
      <c r="J29" s="1206">
        <v>0.72</v>
      </c>
      <c r="K29" s="1221" t="s">
        <v>394</v>
      </c>
      <c r="L29" s="1249">
        <f>M11-SUM(L25:L28)</f>
        <v>602.44539272793031</v>
      </c>
      <c r="M29" s="1211">
        <f>L29*$J$17</f>
        <v>202301.162878039</v>
      </c>
      <c r="N29" s="1209"/>
      <c r="O29" s="1211"/>
      <c r="P29" s="1211"/>
      <c r="Q29" s="1211"/>
      <c r="R29" s="1211"/>
      <c r="S29" s="1211"/>
      <c r="T29" s="1209"/>
    </row>
    <row r="30" spans="6:20" s="1191" customFormat="1" x14ac:dyDescent="0.2">
      <c r="F30" s="1203"/>
      <c r="G30" s="1203"/>
      <c r="H30" s="1212" t="s">
        <v>395</v>
      </c>
      <c r="I30" s="1235" t="s">
        <v>28</v>
      </c>
      <c r="J30" s="1251">
        <f>SUM(J25:J29)</f>
        <v>1</v>
      </c>
      <c r="K30" s="1252">
        <v>0.9</v>
      </c>
      <c r="L30" s="1204" t="s">
        <v>396</v>
      </c>
      <c r="M30" s="1192"/>
      <c r="N30" s="1209"/>
      <c r="O30" s="1211"/>
      <c r="P30" s="1211"/>
      <c r="Q30" s="1211"/>
      <c r="R30" s="1211"/>
      <c r="S30" s="1211"/>
      <c r="T30" s="1209"/>
    </row>
    <row r="31" spans="6:20" s="1191" customFormat="1" x14ac:dyDescent="0.2">
      <c r="F31" s="1203"/>
      <c r="G31" s="1203"/>
      <c r="H31" s="1212"/>
      <c r="I31" s="1235"/>
      <c r="J31" s="1253"/>
      <c r="K31" s="1253"/>
      <c r="L31" s="1204"/>
      <c r="M31" s="1192"/>
      <c r="N31" s="1209"/>
      <c r="O31" s="1211"/>
      <c r="P31" s="1211"/>
      <c r="Q31" s="1211"/>
      <c r="R31" s="1211"/>
      <c r="S31" s="1211"/>
      <c r="T31" s="1209"/>
    </row>
    <row r="32" spans="6:20" s="1191" customFormat="1" ht="25.5" x14ac:dyDescent="0.2">
      <c r="F32" s="1203"/>
      <c r="G32" s="1203"/>
      <c r="H32" s="1220" t="s">
        <v>383</v>
      </c>
      <c r="I32" s="1245"/>
      <c r="J32" s="1246"/>
      <c r="K32" s="1254" t="s">
        <v>397</v>
      </c>
      <c r="L32" s="1233" t="s">
        <v>398</v>
      </c>
      <c r="M32" s="1232" t="s">
        <v>23</v>
      </c>
      <c r="N32" s="1209"/>
      <c r="O32" s="1211"/>
      <c r="P32" s="1211"/>
      <c r="Q32" s="1211"/>
      <c r="R32" s="1211"/>
      <c r="S32" s="1211"/>
      <c r="T32" s="1209"/>
    </row>
    <row r="33" spans="1:20" s="1191" customFormat="1" x14ac:dyDescent="0.2">
      <c r="F33" s="1203"/>
      <c r="G33" s="1203"/>
      <c r="H33" s="1204" t="s">
        <v>388</v>
      </c>
      <c r="I33" s="1235" t="s">
        <v>28</v>
      </c>
      <c r="J33" s="1246"/>
      <c r="K33" s="1211">
        <f>M25*'Wheat Integrated (Starch)'!Q33</f>
        <v>1392.2826410726625</v>
      </c>
      <c r="L33" s="1255">
        <v>0</v>
      </c>
      <c r="M33" s="1211">
        <f>K33*L33</f>
        <v>0</v>
      </c>
      <c r="N33" s="1209"/>
      <c r="O33" s="1210" t="s">
        <v>399</v>
      </c>
      <c r="Q33" s="1236">
        <v>0.5</v>
      </c>
      <c r="T33" s="1209"/>
    </row>
    <row r="34" spans="1:20" s="1191" customFormat="1" x14ac:dyDescent="0.2">
      <c r="F34" s="1203"/>
      <c r="G34" s="1203"/>
      <c r="H34" s="1204" t="s">
        <v>390</v>
      </c>
      <c r="I34" s="1235" t="s">
        <v>28</v>
      </c>
      <c r="J34" s="1246"/>
      <c r="K34" s="1211">
        <f>M26</f>
        <v>35797.133682690466</v>
      </c>
      <c r="L34" s="1255">
        <v>0</v>
      </c>
      <c r="M34" s="1211">
        <f>K34*L34</f>
        <v>0</v>
      </c>
      <c r="N34" s="1209"/>
      <c r="O34" s="1211"/>
      <c r="P34" s="1211"/>
      <c r="T34" s="1209"/>
    </row>
    <row r="35" spans="1:20" s="1191" customFormat="1" x14ac:dyDescent="0.2">
      <c r="F35" s="1203"/>
      <c r="G35" s="1203"/>
      <c r="H35" s="1204" t="s">
        <v>391</v>
      </c>
      <c r="I35" s="1235" t="s">
        <v>28</v>
      </c>
      <c r="J35" s="1246"/>
      <c r="K35" s="1211">
        <f>M27</f>
        <v>8260.8770036977985</v>
      </c>
      <c r="L35" s="1255">
        <v>0</v>
      </c>
      <c r="M35" s="1211">
        <f>K35*L35</f>
        <v>0</v>
      </c>
      <c r="N35" s="1209"/>
      <c r="T35" s="1209"/>
    </row>
    <row r="36" spans="1:20" s="1191" customFormat="1" x14ac:dyDescent="0.2">
      <c r="F36" s="1203"/>
      <c r="G36" s="1203"/>
      <c r="H36" s="1204" t="s">
        <v>392</v>
      </c>
      <c r="I36" s="1235" t="s">
        <v>28</v>
      </c>
      <c r="J36" s="1246"/>
      <c r="K36" s="1211">
        <f>M28</f>
        <v>29312.789367959929</v>
      </c>
      <c r="L36" s="1255">
        <v>0</v>
      </c>
      <c r="M36" s="1211">
        <f>K36*L36</f>
        <v>0</v>
      </c>
      <c r="N36" s="1209"/>
      <c r="T36" s="1209"/>
    </row>
    <row r="37" spans="1:20" s="1191" customFormat="1" x14ac:dyDescent="0.2">
      <c r="F37" s="1203"/>
      <c r="G37" s="1203"/>
      <c r="H37" s="1204" t="s">
        <v>393</v>
      </c>
      <c r="I37" s="1235" t="s">
        <v>28</v>
      </c>
      <c r="J37" s="1246"/>
      <c r="K37" s="1244">
        <f>M29</f>
        <v>202301.162878039</v>
      </c>
      <c r="L37" s="1255">
        <f>'Wheat Standalone (Starch)'!L37*(1-O37)</f>
        <v>180</v>
      </c>
      <c r="M37" s="1211">
        <f>K37*L37</f>
        <v>36414209.318047017</v>
      </c>
      <c r="N37" s="1209"/>
      <c r="O37" s="1263">
        <v>0.1</v>
      </c>
      <c r="P37" s="1211" t="s">
        <v>864</v>
      </c>
      <c r="T37" s="1209"/>
    </row>
    <row r="38" spans="1:20" s="1191" customFormat="1" x14ac:dyDescent="0.2">
      <c r="A38" s="1191" t="s">
        <v>703</v>
      </c>
      <c r="B38" s="1191" t="s">
        <v>285</v>
      </c>
      <c r="F38" s="1203"/>
      <c r="G38" s="1203"/>
      <c r="H38" s="1212" t="s">
        <v>400</v>
      </c>
      <c r="I38" s="1235" t="s">
        <v>28</v>
      </c>
      <c r="J38" s="1246"/>
      <c r="K38" s="1256">
        <f>SUM(K33:K37)</f>
        <v>277064.24557345989</v>
      </c>
      <c r="L38" s="1204"/>
      <c r="M38" s="1256">
        <f>SUM(M33:M37)</f>
        <v>36414209.318047017</v>
      </c>
      <c r="N38" s="1209"/>
      <c r="T38" s="1209"/>
    </row>
    <row r="39" spans="1:20" s="1191" customFormat="1" x14ac:dyDescent="0.2">
      <c r="F39" s="1203"/>
      <c r="G39" s="1203"/>
      <c r="H39" s="1212"/>
      <c r="I39" s="1235"/>
      <c r="J39" s="1253"/>
      <c r="K39" s="1204"/>
      <c r="L39" s="1204"/>
      <c r="M39" s="1192"/>
      <c r="N39" s="1209"/>
      <c r="T39" s="1209"/>
    </row>
    <row r="40" spans="1:20" s="1191" customFormat="1" x14ac:dyDescent="0.2">
      <c r="F40" s="1203"/>
      <c r="G40" s="1203"/>
      <c r="H40" s="1220" t="s">
        <v>40</v>
      </c>
      <c r="I40" s="1243"/>
      <c r="J40" s="1192"/>
      <c r="K40" s="1192"/>
      <c r="L40" s="1216"/>
      <c r="M40" s="1192"/>
      <c r="N40" s="1209"/>
      <c r="O40" s="1210" t="s">
        <v>42</v>
      </c>
      <c r="P40" s="1211"/>
      <c r="T40" s="1209"/>
    </row>
    <row r="41" spans="1:20" s="1191" customFormat="1" x14ac:dyDescent="0.2">
      <c r="F41" s="1203"/>
      <c r="G41" s="1203"/>
      <c r="H41" s="1204" t="s">
        <v>401</v>
      </c>
      <c r="I41" s="1235" t="s">
        <v>28</v>
      </c>
      <c r="J41" s="1257">
        <v>0.99</v>
      </c>
      <c r="K41" s="1192"/>
      <c r="L41" s="1216"/>
      <c r="M41" s="1192"/>
      <c r="N41" s="1209"/>
      <c r="O41" s="1210"/>
      <c r="P41" s="1211"/>
      <c r="T41" s="1209"/>
    </row>
    <row r="42" spans="1:20" s="1191" customFormat="1" x14ac:dyDescent="0.2">
      <c r="F42" s="1203"/>
      <c r="G42" s="1203"/>
      <c r="H42" s="1204" t="s">
        <v>41</v>
      </c>
      <c r="I42" s="1235" t="s">
        <v>28</v>
      </c>
      <c r="J42" s="1257">
        <v>0.89</v>
      </c>
      <c r="K42" s="1192"/>
      <c r="L42" s="1216"/>
      <c r="M42" s="1192"/>
      <c r="N42" s="1209"/>
      <c r="O42" s="1211"/>
      <c r="P42" s="1211"/>
      <c r="T42" s="1209"/>
    </row>
    <row r="43" spans="1:20" s="1191" customFormat="1" x14ac:dyDescent="0.2">
      <c r="F43" s="1203"/>
      <c r="G43" s="1203"/>
      <c r="H43" s="1204" t="s">
        <v>43</v>
      </c>
      <c r="I43" s="1235" t="s">
        <v>28</v>
      </c>
      <c r="J43" s="1257">
        <v>0.98499999999999999</v>
      </c>
      <c r="K43" s="1192"/>
      <c r="L43" s="1216"/>
      <c r="M43" s="1192"/>
      <c r="N43" s="1209"/>
      <c r="O43" s="1211"/>
      <c r="P43" s="1211"/>
      <c r="T43" s="1209"/>
    </row>
    <row r="44" spans="1:20" s="1191" customFormat="1" x14ac:dyDescent="0.2">
      <c r="F44" s="1203"/>
      <c r="G44" s="1203"/>
      <c r="H44" s="1212" t="s">
        <v>44</v>
      </c>
      <c r="I44" s="1245" t="s">
        <v>28</v>
      </c>
      <c r="J44" s="1258">
        <f>J43*J42*J41</f>
        <v>0.86788350000000003</v>
      </c>
      <c r="K44" s="1192"/>
      <c r="L44" s="1216"/>
      <c r="M44" s="1192"/>
      <c r="N44" s="1209"/>
      <c r="O44" s="1211"/>
      <c r="P44" s="1211"/>
      <c r="T44" s="1209"/>
    </row>
    <row r="45" spans="1:20" s="1191" customFormat="1" x14ac:dyDescent="0.2">
      <c r="F45" s="1203"/>
      <c r="G45" s="1203"/>
      <c r="H45" s="1204"/>
      <c r="I45" s="1235"/>
      <c r="J45" s="1259"/>
      <c r="K45" s="1192"/>
      <c r="L45" s="1216"/>
      <c r="M45" s="1192"/>
      <c r="N45" s="1209"/>
      <c r="O45" s="1211"/>
      <c r="P45" s="1211"/>
      <c r="T45" s="1209"/>
    </row>
    <row r="46" spans="1:20" s="1191" customFormat="1" x14ac:dyDescent="0.2">
      <c r="F46" s="1203"/>
      <c r="G46" s="1203"/>
      <c r="H46" s="1220" t="s">
        <v>45</v>
      </c>
      <c r="I46" s="1235"/>
      <c r="J46" s="1259"/>
      <c r="K46" s="1192"/>
      <c r="L46" s="1216"/>
      <c r="M46" s="1192"/>
      <c r="N46" s="1209"/>
      <c r="O46" s="1211"/>
      <c r="P46" s="1211"/>
      <c r="Q46" s="1211"/>
      <c r="R46" s="1211"/>
      <c r="S46" s="1211"/>
      <c r="T46" s="1209"/>
    </row>
    <row r="47" spans="1:20" s="1191" customFormat="1" x14ac:dyDescent="0.2">
      <c r="F47" s="1203"/>
      <c r="G47" s="1203"/>
      <c r="H47" s="1204" t="s">
        <v>46</v>
      </c>
      <c r="I47" s="1235" t="s">
        <v>47</v>
      </c>
      <c r="J47" s="1260">
        <v>0.78900000000000003</v>
      </c>
      <c r="K47" s="1192"/>
      <c r="L47" s="1216"/>
      <c r="M47" s="1192"/>
      <c r="N47" s="1209"/>
      <c r="O47" s="1211"/>
      <c r="P47" s="1211"/>
      <c r="Q47" s="1211"/>
      <c r="R47" s="1211"/>
      <c r="S47" s="1211"/>
      <c r="T47" s="1209"/>
    </row>
    <row r="48" spans="1:20" s="1191" customFormat="1" x14ac:dyDescent="0.2">
      <c r="F48" s="1203"/>
      <c r="G48" s="1203"/>
      <c r="H48" s="1204" t="s">
        <v>402</v>
      </c>
      <c r="I48" s="1235" t="s">
        <v>28</v>
      </c>
      <c r="J48" s="1261">
        <v>1.1100000000000001</v>
      </c>
      <c r="K48" s="1262"/>
      <c r="L48" s="1216"/>
      <c r="M48" s="1192"/>
      <c r="N48" s="1209"/>
      <c r="O48" s="1211"/>
      <c r="P48" s="1211"/>
      <c r="Q48" s="1211"/>
      <c r="R48" s="1211"/>
      <c r="S48" s="1211"/>
      <c r="T48" s="1209"/>
    </row>
    <row r="49" spans="6:20" s="1191" customFormat="1" x14ac:dyDescent="0.2">
      <c r="F49" s="1203"/>
      <c r="G49" s="1203"/>
      <c r="H49" s="1204" t="s">
        <v>48</v>
      </c>
      <c r="I49" s="1235" t="s">
        <v>28</v>
      </c>
      <c r="J49" s="1263">
        <v>0.51</v>
      </c>
      <c r="K49" s="1264"/>
      <c r="L49" s="1216"/>
      <c r="M49" s="1192"/>
      <c r="N49" s="1209"/>
      <c r="O49" s="1211"/>
      <c r="P49" s="1211"/>
      <c r="Q49" s="1211"/>
      <c r="R49" s="1211"/>
      <c r="S49" s="1211"/>
      <c r="T49" s="1209"/>
    </row>
    <row r="50" spans="6:20" s="1191" customFormat="1" x14ac:dyDescent="0.2">
      <c r="F50" s="1192"/>
      <c r="G50" s="1203"/>
      <c r="H50" s="1204"/>
      <c r="I50" s="1235"/>
      <c r="J50" s="1235"/>
      <c r="K50" s="1192"/>
      <c r="L50" s="1216"/>
      <c r="M50" s="1192"/>
      <c r="N50" s="1209"/>
      <c r="O50" s="1211"/>
      <c r="P50" s="1211"/>
      <c r="Q50" s="1211"/>
      <c r="R50" s="1211"/>
      <c r="S50" s="1211"/>
      <c r="T50" s="1209"/>
    </row>
    <row r="51" spans="6:20" s="1191" customFormat="1" x14ac:dyDescent="0.2">
      <c r="F51" s="1192"/>
      <c r="G51" s="1203"/>
      <c r="H51" s="1220" t="s">
        <v>67</v>
      </c>
      <c r="I51" s="1245" t="s">
        <v>68</v>
      </c>
      <c r="J51" s="1265">
        <f>J21*J47/1000/J44/J49/J48</f>
        <v>478.23540485969392</v>
      </c>
      <c r="K51" s="1192"/>
      <c r="L51" s="1216"/>
      <c r="M51" s="1192"/>
      <c r="N51" s="1209"/>
      <c r="O51" s="1211"/>
      <c r="P51" s="1211"/>
      <c r="Q51" s="1211"/>
      <c r="R51" s="1211"/>
      <c r="S51" s="1211"/>
      <c r="T51" s="1209"/>
    </row>
    <row r="52" spans="6:20" s="1191" customFormat="1" x14ac:dyDescent="0.2">
      <c r="F52" s="1192"/>
      <c r="G52" s="1203"/>
      <c r="H52" s="1220"/>
      <c r="I52" s="1245"/>
      <c r="J52" s="1265"/>
      <c r="K52" s="1192"/>
      <c r="L52" s="1216"/>
      <c r="M52" s="1192"/>
      <c r="N52" s="1209"/>
      <c r="O52" s="1211"/>
      <c r="P52" s="1211"/>
      <c r="Q52" s="1211"/>
      <c r="R52" s="1211"/>
      <c r="S52" s="1211"/>
      <c r="T52" s="1209"/>
    </row>
    <row r="53" spans="6:20" s="1191" customFormat="1" x14ac:dyDescent="0.2">
      <c r="F53" s="1192"/>
      <c r="G53" s="1203"/>
      <c r="H53" s="1266" t="s">
        <v>403</v>
      </c>
      <c r="I53" s="1219"/>
      <c r="J53" s="1214"/>
      <c r="K53" s="1214"/>
      <c r="L53" s="1216"/>
      <c r="M53" s="1192"/>
      <c r="N53" s="1209"/>
      <c r="O53" s="1211"/>
      <c r="P53" s="1211"/>
      <c r="Q53" s="1211"/>
      <c r="R53" s="1211"/>
      <c r="S53" s="1211"/>
      <c r="T53" s="1209"/>
    </row>
    <row r="54" spans="6:20" s="1191" customFormat="1" x14ac:dyDescent="0.2">
      <c r="F54" s="1192"/>
      <c r="G54" s="1203"/>
      <c r="H54" s="1267"/>
      <c r="I54" s="1268" t="s">
        <v>404</v>
      </c>
      <c r="J54" s="1269"/>
      <c r="K54" s="1214"/>
      <c r="L54" s="1216"/>
      <c r="M54" s="1192"/>
      <c r="N54" s="1209"/>
      <c r="O54" s="1211"/>
      <c r="P54" s="1211"/>
      <c r="Q54" s="1211"/>
      <c r="R54" s="1211"/>
      <c r="S54" s="1211"/>
      <c r="T54" s="1209"/>
    </row>
    <row r="55" spans="6:20" s="1191" customFormat="1" x14ac:dyDescent="0.2">
      <c r="F55" s="1192"/>
      <c r="G55" s="1203"/>
      <c r="H55" s="1204"/>
      <c r="I55" s="1235"/>
      <c r="J55" s="1235"/>
      <c r="K55" s="1192"/>
      <c r="L55" s="1216"/>
      <c r="M55" s="1192"/>
      <c r="N55" s="1209"/>
      <c r="O55" s="1211"/>
      <c r="P55" s="1211"/>
      <c r="Q55" s="1211"/>
      <c r="R55" s="1211"/>
      <c r="S55" s="1211"/>
      <c r="T55" s="1209"/>
    </row>
    <row r="56" spans="6:20" s="1191" customFormat="1" ht="25.5" x14ac:dyDescent="0.2">
      <c r="F56" s="1192"/>
      <c r="G56" s="1203"/>
      <c r="H56" s="1220" t="s">
        <v>405</v>
      </c>
      <c r="I56" s="1235"/>
      <c r="J56" s="1270" t="s">
        <v>52</v>
      </c>
      <c r="K56" s="1271" t="s">
        <v>406</v>
      </c>
      <c r="L56" s="1247" t="s">
        <v>407</v>
      </c>
      <c r="M56" s="1247" t="s">
        <v>408</v>
      </c>
      <c r="N56" s="1209"/>
      <c r="O56" s="1211"/>
      <c r="P56" s="1211"/>
      <c r="Q56" s="1211"/>
      <c r="R56" s="1211"/>
      <c r="S56" s="1211"/>
      <c r="T56" s="1209"/>
    </row>
    <row r="57" spans="6:20" s="1191" customFormat="1" x14ac:dyDescent="0.2">
      <c r="F57" s="1192"/>
      <c r="G57" s="1203"/>
      <c r="H57" s="1235" t="str">
        <f t="shared" ref="H57:H62" si="1">H5</f>
        <v>General purpose wheat</v>
      </c>
      <c r="I57" s="1235" t="s">
        <v>54</v>
      </c>
      <c r="J57" s="1263">
        <v>7.0000000000000007E-2</v>
      </c>
      <c r="K57" s="1211">
        <f t="shared" ref="K57:K62" si="2">J57*N5</f>
        <v>9745.9784875086389</v>
      </c>
      <c r="L57" s="1272">
        <v>0.1</v>
      </c>
      <c r="M57" s="1211">
        <f t="shared" ref="M57:M62" si="3">K57/(1-L57)</f>
        <v>10828.86498612071</v>
      </c>
      <c r="N57" s="1209"/>
      <c r="O57" s="1211"/>
      <c r="P57" s="1211"/>
      <c r="Q57" s="1211"/>
      <c r="R57" s="1211"/>
      <c r="S57" s="1211"/>
      <c r="T57" s="1209"/>
    </row>
    <row r="58" spans="6:20" s="1191" customFormat="1" x14ac:dyDescent="0.2">
      <c r="F58" s="1192"/>
      <c r="G58" s="1203"/>
      <c r="H58" s="1235" t="str">
        <f t="shared" si="1"/>
        <v>Prime hard wheat</v>
      </c>
      <c r="I58" s="1235" t="s">
        <v>54</v>
      </c>
      <c r="J58" s="1263">
        <v>7.0000000000000007E-2</v>
      </c>
      <c r="K58" s="1211">
        <f t="shared" si="2"/>
        <v>0</v>
      </c>
      <c r="L58" s="1272">
        <v>0.1</v>
      </c>
      <c r="M58" s="1211">
        <f t="shared" si="3"/>
        <v>0</v>
      </c>
      <c r="N58" s="1209"/>
      <c r="O58" s="1211"/>
      <c r="P58" s="1211"/>
      <c r="Q58" s="1211"/>
      <c r="R58" s="1211"/>
      <c r="S58" s="1211"/>
      <c r="T58" s="1209"/>
    </row>
    <row r="59" spans="6:20" s="1191" customFormat="1" x14ac:dyDescent="0.2">
      <c r="F59" s="1192"/>
      <c r="G59" s="1203"/>
      <c r="H59" s="1235" t="str">
        <f t="shared" si="1"/>
        <v>Hard wheat</v>
      </c>
      <c r="I59" s="1235" t="s">
        <v>54</v>
      </c>
      <c r="J59" s="1263">
        <v>7.0000000000000007E-2</v>
      </c>
      <c r="K59" s="1211">
        <f t="shared" si="2"/>
        <v>9745.9784875086389</v>
      </c>
      <c r="L59" s="1272">
        <v>0.1</v>
      </c>
      <c r="M59" s="1211">
        <f t="shared" si="3"/>
        <v>10828.86498612071</v>
      </c>
      <c r="N59" s="1209"/>
      <c r="O59" s="1211"/>
      <c r="P59" s="1211"/>
      <c r="Q59" s="1211"/>
      <c r="R59" s="1211"/>
      <c r="S59" s="1211"/>
      <c r="T59" s="1209"/>
    </row>
    <row r="60" spans="6:20" s="1191" customFormat="1" x14ac:dyDescent="0.2">
      <c r="F60" s="1192"/>
      <c r="G60" s="1203"/>
      <c r="H60" s="1235" t="str">
        <f t="shared" si="1"/>
        <v>Premium white wheat</v>
      </c>
      <c r="I60" s="1235" t="s">
        <v>54</v>
      </c>
      <c r="J60" s="1263">
        <v>7.0000000000000007E-2</v>
      </c>
      <c r="K60" s="1211">
        <f t="shared" si="2"/>
        <v>0</v>
      </c>
      <c r="L60" s="1272">
        <v>0.1</v>
      </c>
      <c r="M60" s="1211">
        <f t="shared" si="3"/>
        <v>0</v>
      </c>
      <c r="N60" s="1209"/>
      <c r="O60" s="1211"/>
      <c r="P60" s="1211"/>
      <c r="Q60" s="1211"/>
      <c r="R60" s="1211"/>
      <c r="S60" s="1211"/>
      <c r="T60" s="1209"/>
    </row>
    <row r="61" spans="6:20" s="1191" customFormat="1" x14ac:dyDescent="0.2">
      <c r="F61" s="1192"/>
      <c r="G61" s="1203"/>
      <c r="H61" s="1235" t="str">
        <f t="shared" si="1"/>
        <v>Standard white wheat</v>
      </c>
      <c r="I61" s="1235" t="s">
        <v>54</v>
      </c>
      <c r="J61" s="1263">
        <v>7.0000000000000007E-2</v>
      </c>
      <c r="K61" s="1211">
        <f t="shared" si="2"/>
        <v>0</v>
      </c>
      <c r="L61" s="1272">
        <v>0.1</v>
      </c>
      <c r="M61" s="1211">
        <f t="shared" si="3"/>
        <v>0</v>
      </c>
      <c r="N61" s="1209"/>
      <c r="O61" s="1211"/>
      <c r="P61" s="1211"/>
      <c r="Q61" s="1211"/>
      <c r="R61" s="1211"/>
      <c r="S61" s="1211"/>
      <c r="T61" s="1209"/>
    </row>
    <row r="62" spans="6:20" s="1191" customFormat="1" x14ac:dyDescent="0.2">
      <c r="F62" s="1192"/>
      <c r="G62" s="1203"/>
      <c r="H62" s="1235" t="str">
        <f t="shared" si="1"/>
        <v>Feed</v>
      </c>
      <c r="I62" s="1235" t="s">
        <v>54</v>
      </c>
      <c r="J62" s="1263">
        <v>7.0000000000000007E-2</v>
      </c>
      <c r="K62" s="1211">
        <f t="shared" si="2"/>
        <v>0</v>
      </c>
      <c r="L62" s="1272">
        <v>0.1</v>
      </c>
      <c r="M62" s="1211">
        <f t="shared" si="3"/>
        <v>0</v>
      </c>
      <c r="N62" s="1209"/>
      <c r="O62" s="1211"/>
      <c r="P62" s="1211"/>
      <c r="Q62" s="1211"/>
      <c r="R62" s="1211"/>
      <c r="S62" s="1211"/>
      <c r="T62" s="1209"/>
    </row>
    <row r="63" spans="6:20" s="1191" customFormat="1" x14ac:dyDescent="0.2">
      <c r="F63" s="1192"/>
      <c r="G63" s="1203"/>
      <c r="H63" s="1212" t="s">
        <v>303</v>
      </c>
      <c r="I63" s="1235" t="s">
        <v>54</v>
      </c>
      <c r="J63" s="1270"/>
      <c r="K63" s="1273">
        <f>SUM(K57:K62)</f>
        <v>19491.956975017278</v>
      </c>
      <c r="L63" s="1216"/>
      <c r="M63" s="1273">
        <f>SUM(M57:M62)</f>
        <v>21657.729972241421</v>
      </c>
      <c r="N63" s="1209"/>
      <c r="O63" s="1211"/>
      <c r="P63" s="1211"/>
      <c r="Q63" s="1211"/>
      <c r="R63" s="1211"/>
      <c r="S63" s="1211"/>
      <c r="T63" s="1209"/>
    </row>
    <row r="64" spans="6:20" s="1191" customFormat="1" x14ac:dyDescent="0.2">
      <c r="F64" s="1192"/>
      <c r="G64" s="1203"/>
      <c r="H64" s="1212"/>
      <c r="I64" s="1235"/>
      <c r="J64" s="1270"/>
      <c r="K64" s="1265"/>
      <c r="L64" s="1216"/>
      <c r="M64" s="1265"/>
      <c r="N64" s="1209"/>
      <c r="O64" s="1211"/>
      <c r="P64" s="1211"/>
      <c r="Q64" s="1211"/>
      <c r="R64" s="1211"/>
      <c r="S64" s="1211"/>
      <c r="T64" s="1209"/>
    </row>
    <row r="65" spans="6:20" s="1191" customFormat="1" x14ac:dyDescent="0.2">
      <c r="F65" s="1192"/>
      <c r="G65" s="1203"/>
      <c r="H65" s="1245"/>
      <c r="I65" s="1235"/>
      <c r="J65" s="1270"/>
      <c r="K65" s="1265"/>
      <c r="L65" s="1233" t="s">
        <v>398</v>
      </c>
      <c r="M65" s="1232" t="s">
        <v>23</v>
      </c>
      <c r="N65" s="1209"/>
      <c r="O65" s="1211"/>
      <c r="P65" s="1211"/>
      <c r="Q65" s="1211"/>
      <c r="R65" s="1211"/>
      <c r="S65" s="1211"/>
      <c r="T65" s="1209"/>
    </row>
    <row r="66" spans="6:20" s="1191" customFormat="1" x14ac:dyDescent="0.2">
      <c r="F66" s="1192"/>
      <c r="G66" s="1203"/>
      <c r="H66" s="1266" t="s">
        <v>409</v>
      </c>
      <c r="I66" s="1245"/>
      <c r="J66" s="1220"/>
      <c r="K66" s="1238">
        <f>M63</f>
        <v>21657.729972241421</v>
      </c>
      <c r="L66" s="1274">
        <v>500</v>
      </c>
      <c r="M66" s="1238">
        <f>K66*L66</f>
        <v>10828864.98612071</v>
      </c>
      <c r="N66" s="1209"/>
      <c r="O66" s="1210" t="s">
        <v>66</v>
      </c>
      <c r="P66" s="1211"/>
      <c r="Q66" s="1211"/>
      <c r="R66" s="1211"/>
      <c r="S66" s="1211"/>
      <c r="T66" s="1209"/>
    </row>
    <row r="67" spans="6:20" s="1191" customFormat="1" x14ac:dyDescent="0.2">
      <c r="F67" s="1107"/>
      <c r="G67" s="1203"/>
      <c r="H67" s="1192"/>
      <c r="I67" s="1243"/>
      <c r="J67" s="1192"/>
      <c r="K67" s="1192"/>
      <c r="L67" s="1216"/>
      <c r="M67" s="1192"/>
      <c r="N67" s="1209"/>
      <c r="O67" s="1211"/>
      <c r="P67" s="1211"/>
      <c r="Q67" s="1211"/>
      <c r="R67" s="1211"/>
      <c r="S67" s="1211"/>
      <c r="T67" s="1209"/>
    </row>
    <row r="68" spans="6:20" s="1191" customFormat="1" ht="25.5" x14ac:dyDescent="0.2">
      <c r="F68" s="1107"/>
      <c r="G68" s="1196" t="s">
        <v>69</v>
      </c>
      <c r="H68" s="1275" t="s">
        <v>70</v>
      </c>
      <c r="I68" s="1276" t="s">
        <v>20</v>
      </c>
      <c r="J68" s="1198" t="s">
        <v>71</v>
      </c>
      <c r="K68" s="1198" t="s">
        <v>72</v>
      </c>
      <c r="L68" s="1199" t="s">
        <v>73</v>
      </c>
      <c r="M68" s="1276" t="s">
        <v>74</v>
      </c>
      <c r="N68" s="1200"/>
      <c r="O68" s="1277"/>
      <c r="P68" s="1187"/>
      <c r="Q68" s="1187"/>
      <c r="R68" s="1187"/>
      <c r="S68" s="1187"/>
      <c r="T68" s="1202"/>
    </row>
    <row r="69" spans="6:20" s="1191" customFormat="1" x14ac:dyDescent="0.2">
      <c r="F69" s="1107"/>
      <c r="G69" s="1203"/>
      <c r="H69" s="1204" t="str">
        <f t="shared" ref="H69:H74" si="4">H5</f>
        <v>General purpose wheat</v>
      </c>
      <c r="I69" s="1235" t="s">
        <v>77</v>
      </c>
      <c r="J69" s="1278">
        <f t="shared" ref="J69:J74" si="5">N5/$J$15/1000</f>
        <v>1.3922826410726628</v>
      </c>
      <c r="K69" s="1211">
        <f>J69*$J$15*1000</f>
        <v>139228.2641072663</v>
      </c>
      <c r="L69" s="1279">
        <v>180</v>
      </c>
      <c r="M69" s="1244">
        <f>K69*L69</f>
        <v>25061087.539307933</v>
      </c>
      <c r="N69" s="1209"/>
      <c r="O69" s="1280"/>
      <c r="P69" s="1211"/>
      <c r="Q69" s="1211"/>
      <c r="R69" s="1211"/>
      <c r="S69" s="1211"/>
      <c r="T69" s="1209"/>
    </row>
    <row r="70" spans="6:20" s="1191" customFormat="1" x14ac:dyDescent="0.2">
      <c r="F70" s="1107"/>
      <c r="G70" s="1203"/>
      <c r="H70" s="1204" t="str">
        <f t="shared" si="4"/>
        <v>Prime hard wheat</v>
      </c>
      <c r="I70" s="1235" t="s">
        <v>77</v>
      </c>
      <c r="J70" s="1278">
        <f t="shared" si="5"/>
        <v>0</v>
      </c>
      <c r="K70" s="1211">
        <f>J70*$J$15*1000</f>
        <v>0</v>
      </c>
      <c r="L70" s="1274"/>
      <c r="M70" s="1244">
        <f>K70*L70</f>
        <v>0</v>
      </c>
      <c r="N70" s="1209"/>
      <c r="O70" s="1280"/>
      <c r="P70" s="1211"/>
      <c r="Q70" s="1211"/>
      <c r="R70" s="1211"/>
      <c r="S70" s="1211"/>
      <c r="T70" s="1209"/>
    </row>
    <row r="71" spans="6:20" s="1191" customFormat="1" x14ac:dyDescent="0.2">
      <c r="F71" s="1107"/>
      <c r="G71" s="1203"/>
      <c r="H71" s="1204" t="str">
        <f t="shared" si="4"/>
        <v>Hard wheat</v>
      </c>
      <c r="I71" s="1235" t="s">
        <v>77</v>
      </c>
      <c r="J71" s="1278">
        <f t="shared" si="5"/>
        <v>1.3922826410726628</v>
      </c>
      <c r="K71" s="1211">
        <f>J71*$J$15*1000</f>
        <v>139228.2641072663</v>
      </c>
      <c r="L71" s="1274">
        <v>200</v>
      </c>
      <c r="M71" s="1244">
        <f>K71*L71</f>
        <v>27845652.821453258</v>
      </c>
      <c r="N71" s="1209"/>
      <c r="O71" s="1280"/>
      <c r="P71" s="1211"/>
      <c r="Q71" s="1211"/>
      <c r="R71" s="1211"/>
      <c r="S71" s="1211"/>
      <c r="T71" s="1209"/>
    </row>
    <row r="72" spans="6:20" s="1191" customFormat="1" x14ac:dyDescent="0.2">
      <c r="F72" s="1107"/>
      <c r="G72" s="1203"/>
      <c r="H72" s="1204" t="str">
        <f t="shared" si="4"/>
        <v>Premium white wheat</v>
      </c>
      <c r="I72" s="1235" t="s">
        <v>77</v>
      </c>
      <c r="J72" s="1278">
        <f t="shared" si="5"/>
        <v>0</v>
      </c>
      <c r="K72" s="1211">
        <f>J72*$J$15*1000</f>
        <v>0</v>
      </c>
      <c r="L72" s="1279"/>
      <c r="M72" s="1244">
        <f>K72*L72</f>
        <v>0</v>
      </c>
      <c r="N72" s="1209"/>
      <c r="O72" s="1280"/>
      <c r="P72" s="1211"/>
      <c r="Q72" s="1211"/>
      <c r="R72" s="1211"/>
      <c r="S72" s="1211"/>
      <c r="T72" s="1209"/>
    </row>
    <row r="73" spans="6:20" s="1191" customFormat="1" x14ac:dyDescent="0.2">
      <c r="F73" s="1107"/>
      <c r="G73" s="1203"/>
      <c r="H73" s="1204" t="str">
        <f t="shared" si="4"/>
        <v>Standard white wheat</v>
      </c>
      <c r="I73" s="1235" t="s">
        <v>77</v>
      </c>
      <c r="J73" s="1278">
        <f t="shared" si="5"/>
        <v>0</v>
      </c>
      <c r="K73" s="1211">
        <f>J73*$J$15*1000</f>
        <v>0</v>
      </c>
      <c r="L73" s="1279"/>
      <c r="M73" s="1244">
        <f>K73*L73</f>
        <v>0</v>
      </c>
      <c r="N73" s="1209"/>
      <c r="O73" s="1280"/>
      <c r="P73" s="1211"/>
      <c r="Q73" s="1265"/>
      <c r="R73" s="1211"/>
      <c r="S73" s="1211"/>
      <c r="T73" s="1209"/>
    </row>
    <row r="74" spans="6:20" s="1191" customFormat="1" x14ac:dyDescent="0.2">
      <c r="F74" s="1107"/>
      <c r="G74" s="1203"/>
      <c r="H74" s="1204" t="str">
        <f t="shared" si="4"/>
        <v>Feed</v>
      </c>
      <c r="I74" s="1235" t="s">
        <v>77</v>
      </c>
      <c r="J74" s="1278">
        <f t="shared" si="5"/>
        <v>0</v>
      </c>
      <c r="K74" s="1232"/>
      <c r="L74" s="1281">
        <v>165</v>
      </c>
      <c r="M74" s="1232"/>
      <c r="N74" s="1209"/>
      <c r="O74" s="1282"/>
      <c r="P74" s="1211"/>
      <c r="Q74" s="1211"/>
      <c r="R74" s="1211"/>
      <c r="S74" s="1211"/>
      <c r="T74" s="1209"/>
    </row>
    <row r="75" spans="6:20" s="1191" customFormat="1" x14ac:dyDescent="0.2">
      <c r="F75" s="1107"/>
      <c r="G75" s="1224"/>
      <c r="H75" s="1283" t="s">
        <v>410</v>
      </c>
      <c r="I75" s="1284"/>
      <c r="J75" s="1285"/>
      <c r="K75" s="1229"/>
      <c r="L75" s="1229"/>
      <c r="M75" s="1286">
        <f>SUM(M69:M74)</f>
        <v>52906740.360761195</v>
      </c>
      <c r="N75" s="1228"/>
      <c r="O75" s="1287"/>
      <c r="P75" s="1229"/>
      <c r="Q75" s="1229"/>
      <c r="R75" s="1229"/>
      <c r="S75" s="1229"/>
      <c r="T75" s="1228"/>
    </row>
    <row r="76" spans="6:20" s="1191" customFormat="1" x14ac:dyDescent="0.2">
      <c r="F76" s="1107"/>
      <c r="G76" s="1203"/>
      <c r="H76" s="1212"/>
      <c r="I76" s="1235"/>
      <c r="J76" s="1278"/>
      <c r="K76" s="1211"/>
      <c r="L76" s="1211"/>
      <c r="M76" s="1238"/>
      <c r="N76" s="1209"/>
      <c r="O76" s="1288"/>
      <c r="P76" s="1211"/>
      <c r="Q76" s="1211"/>
      <c r="R76" s="1211"/>
      <c r="S76" s="1211"/>
      <c r="T76" s="1209"/>
    </row>
    <row r="77" spans="6:20" s="1191" customFormat="1" ht="25.5" x14ac:dyDescent="0.2">
      <c r="F77" s="1203"/>
      <c r="G77" s="1230" t="s">
        <v>85</v>
      </c>
      <c r="H77" s="1231" t="s">
        <v>86</v>
      </c>
      <c r="I77" s="1232" t="s">
        <v>20</v>
      </c>
      <c r="J77" s="1254" t="s">
        <v>71</v>
      </c>
      <c r="K77" s="1254" t="s">
        <v>72</v>
      </c>
      <c r="L77" s="1289" t="s">
        <v>73</v>
      </c>
      <c r="M77" s="1232" t="s">
        <v>74</v>
      </c>
      <c r="N77" s="1209"/>
      <c r="O77" s="1290" t="s">
        <v>76</v>
      </c>
      <c r="P77" s="1211"/>
      <c r="Q77" s="1211"/>
      <c r="R77" s="1211"/>
      <c r="S77" s="1211"/>
      <c r="T77" s="1209"/>
    </row>
    <row r="78" spans="6:20" s="1191" customFormat="1" x14ac:dyDescent="0.2">
      <c r="F78" s="1203"/>
      <c r="G78" s="1230"/>
      <c r="H78" s="1220" t="s">
        <v>411</v>
      </c>
      <c r="I78" s="1232"/>
      <c r="J78" s="1254"/>
      <c r="K78" s="1254"/>
      <c r="L78" s="1289"/>
      <c r="M78" s="1232"/>
      <c r="N78" s="1209"/>
      <c r="O78" s="1290"/>
      <c r="P78" s="1211"/>
      <c r="Q78" s="1211"/>
      <c r="R78" s="1211"/>
      <c r="S78" s="1211"/>
      <c r="T78" s="1209"/>
    </row>
    <row r="79" spans="6:20" s="1191" customFormat="1" x14ac:dyDescent="0.2">
      <c r="F79" s="1203"/>
      <c r="G79" s="1230"/>
      <c r="H79" s="1204" t="s">
        <v>412</v>
      </c>
      <c r="I79" s="1235" t="s">
        <v>413</v>
      </c>
      <c r="J79" s="1291">
        <v>0</v>
      </c>
      <c r="K79" s="1211">
        <f>J79*N11</f>
        <v>0</v>
      </c>
      <c r="L79" s="1279">
        <v>1000</v>
      </c>
      <c r="M79" s="1211">
        <f>L79*K79</f>
        <v>0</v>
      </c>
      <c r="N79" s="1209"/>
      <c r="O79" s="1210"/>
      <c r="P79" s="1211"/>
      <c r="Q79" s="1211"/>
      <c r="R79" s="1211"/>
      <c r="S79" s="1211"/>
      <c r="T79" s="1209"/>
    </row>
    <row r="80" spans="6:20" s="1191" customFormat="1" x14ac:dyDescent="0.2">
      <c r="F80" s="1203"/>
      <c r="G80" s="1230"/>
      <c r="H80" s="1204" t="s">
        <v>414</v>
      </c>
      <c r="I80" s="1235" t="s">
        <v>413</v>
      </c>
      <c r="J80" s="1292">
        <v>0</v>
      </c>
      <c r="K80" s="1211">
        <f>J80*N11</f>
        <v>0</v>
      </c>
      <c r="L80" s="1279">
        <v>1000</v>
      </c>
      <c r="M80" s="1211">
        <f>L80*K80</f>
        <v>0</v>
      </c>
      <c r="N80" s="1209"/>
      <c r="O80" s="1210"/>
      <c r="P80" s="1211"/>
      <c r="Q80" s="1211"/>
      <c r="R80" s="1211"/>
      <c r="S80" s="1211"/>
      <c r="T80" s="1209"/>
    </row>
    <row r="81" spans="6:20" s="1191" customFormat="1" x14ac:dyDescent="0.2">
      <c r="F81" s="1203"/>
      <c r="G81" s="1230"/>
      <c r="H81" s="1231"/>
      <c r="I81" s="1232"/>
      <c r="J81" s="1254"/>
      <c r="K81" s="1254"/>
      <c r="L81" s="1289"/>
      <c r="M81" s="1232"/>
      <c r="N81" s="1209"/>
      <c r="O81" s="1290"/>
      <c r="P81" s="1211"/>
      <c r="Q81" s="1211"/>
      <c r="R81" s="1211"/>
      <c r="S81" s="1211"/>
      <c r="T81" s="1209"/>
    </row>
    <row r="82" spans="6:20" s="1191" customFormat="1" x14ac:dyDescent="0.2">
      <c r="F82" s="1203"/>
      <c r="G82" s="1230"/>
      <c r="H82" s="1220" t="s">
        <v>415</v>
      </c>
      <c r="I82" s="1232"/>
      <c r="J82" s="1254"/>
      <c r="K82" s="1254"/>
      <c r="L82" s="1289"/>
      <c r="M82" s="1232"/>
      <c r="N82" s="1209"/>
      <c r="O82" s="1290"/>
      <c r="P82" s="1211"/>
      <c r="Q82" s="1211"/>
      <c r="R82" s="1211"/>
      <c r="S82" s="1211"/>
      <c r="T82" s="1209"/>
    </row>
    <row r="83" spans="6:20" s="1191" customFormat="1" x14ac:dyDescent="0.2">
      <c r="F83" s="1203"/>
      <c r="G83" s="1230"/>
      <c r="H83" s="1204" t="s">
        <v>416</v>
      </c>
      <c r="I83" s="1235" t="s">
        <v>110</v>
      </c>
      <c r="J83" s="1293">
        <f>0.02%*N11/J15</f>
        <v>0.55691305642906508</v>
      </c>
      <c r="K83" s="1211">
        <f>J83*$J$15*1000</f>
        <v>55691.305642906504</v>
      </c>
      <c r="L83" s="1279">
        <v>10</v>
      </c>
      <c r="M83" s="1244">
        <f>K83*L83</f>
        <v>556913.05642906507</v>
      </c>
      <c r="N83" s="1209"/>
      <c r="O83" s="1210" t="s">
        <v>417</v>
      </c>
      <c r="P83" s="1211"/>
      <c r="Q83" s="1211"/>
      <c r="R83" s="1211"/>
      <c r="S83" s="1211"/>
      <c r="T83" s="1209"/>
    </row>
    <row r="84" spans="6:20" s="1191" customFormat="1" x14ac:dyDescent="0.2">
      <c r="F84" s="1203"/>
      <c r="G84" s="1230"/>
      <c r="H84" s="1204" t="s">
        <v>418</v>
      </c>
      <c r="I84" s="1235" t="s">
        <v>110</v>
      </c>
      <c r="J84" s="1260">
        <f>0.03%*N11/J15</f>
        <v>0.83536958464359756</v>
      </c>
      <c r="K84" s="1211">
        <f>J84*$J$15*1000</f>
        <v>83536.958464359763</v>
      </c>
      <c r="L84" s="1279">
        <v>10</v>
      </c>
      <c r="M84" s="1244">
        <f>K84*L84</f>
        <v>835369.5846435976</v>
      </c>
      <c r="N84" s="1209"/>
      <c r="O84" s="1210" t="s">
        <v>419</v>
      </c>
      <c r="P84" s="1211"/>
      <c r="Q84" s="1211"/>
      <c r="R84" s="1211"/>
      <c r="S84" s="1211"/>
      <c r="T84" s="1209"/>
    </row>
    <row r="85" spans="6:20" s="1191" customFormat="1" x14ac:dyDescent="0.2">
      <c r="F85" s="1203"/>
      <c r="G85" s="1230"/>
      <c r="H85" s="1231"/>
      <c r="I85" s="1232"/>
      <c r="J85" s="1254"/>
      <c r="K85" s="1254"/>
      <c r="L85" s="1289"/>
      <c r="M85" s="1232"/>
      <c r="N85" s="1209"/>
      <c r="O85" s="1290"/>
      <c r="P85" s="1211"/>
      <c r="Q85" s="1211"/>
      <c r="R85" s="1211"/>
      <c r="S85" s="1211"/>
      <c r="T85" s="1209"/>
    </row>
    <row r="86" spans="6:20" s="1191" customFormat="1" x14ac:dyDescent="0.2">
      <c r="F86" s="1203"/>
      <c r="G86" s="1230"/>
      <c r="H86" s="1220" t="s">
        <v>420</v>
      </c>
      <c r="I86" s="1232"/>
      <c r="J86" s="1254"/>
      <c r="K86" s="1254"/>
      <c r="L86" s="1289"/>
      <c r="M86" s="1232"/>
      <c r="N86" s="1209"/>
      <c r="O86" s="1290"/>
      <c r="P86" s="1211"/>
      <c r="Q86" s="1211"/>
      <c r="R86" s="1211"/>
      <c r="S86" s="1211"/>
      <c r="T86" s="1209"/>
    </row>
    <row r="87" spans="6:20" s="1191" customFormat="1" x14ac:dyDescent="0.2">
      <c r="F87" s="1203"/>
      <c r="G87" s="1203"/>
      <c r="H87" s="1204" t="s">
        <v>88</v>
      </c>
      <c r="I87" s="1235" t="s">
        <v>89</v>
      </c>
      <c r="J87" s="1294">
        <v>0.8</v>
      </c>
      <c r="K87" s="1211">
        <f>J87*$J$15*1000</f>
        <v>80000</v>
      </c>
      <c r="L87" s="1279">
        <v>2</v>
      </c>
      <c r="M87" s="1244">
        <f t="shared" ref="M87:M95" si="6">K87*L87</f>
        <v>160000</v>
      </c>
      <c r="N87" s="1209"/>
      <c r="O87" s="1211"/>
      <c r="P87" s="1211"/>
      <c r="Q87" s="1211"/>
      <c r="R87" s="1211"/>
      <c r="S87" s="1211"/>
      <c r="T87" s="1209"/>
    </row>
    <row r="88" spans="6:20" s="1191" customFormat="1" x14ac:dyDescent="0.2">
      <c r="F88" s="1203"/>
      <c r="G88" s="1203"/>
      <c r="H88" s="1204" t="s">
        <v>90</v>
      </c>
      <c r="I88" s="1235" t="s">
        <v>89</v>
      </c>
      <c r="J88" s="1294">
        <v>3</v>
      </c>
      <c r="K88" s="1211">
        <f>J88*$J$15*1000</f>
        <v>300000</v>
      </c>
      <c r="L88" s="1279">
        <v>0.45</v>
      </c>
      <c r="M88" s="1244">
        <f t="shared" si="6"/>
        <v>135000</v>
      </c>
      <c r="N88" s="1209"/>
      <c r="O88" s="1211"/>
      <c r="P88" s="1211"/>
      <c r="Q88" s="1211"/>
      <c r="R88" s="1211"/>
      <c r="S88" s="1211"/>
      <c r="T88" s="1209"/>
    </row>
    <row r="89" spans="6:20" s="1191" customFormat="1" x14ac:dyDescent="0.2">
      <c r="F89" s="1203"/>
      <c r="G89" s="1203"/>
      <c r="H89" s="1204" t="s">
        <v>91</v>
      </c>
      <c r="I89" s="1235" t="s">
        <v>89</v>
      </c>
      <c r="J89" s="1294">
        <v>3</v>
      </c>
      <c r="K89" s="1211">
        <f>J89*$J$15*1000</f>
        <v>300000</v>
      </c>
      <c r="L89" s="1279">
        <v>0.25</v>
      </c>
      <c r="M89" s="1244">
        <f t="shared" si="6"/>
        <v>75000</v>
      </c>
      <c r="N89" s="1209"/>
      <c r="O89" s="1211"/>
      <c r="P89" s="1211"/>
      <c r="Q89" s="1211"/>
      <c r="R89" s="1211"/>
      <c r="S89" s="1211"/>
      <c r="T89" s="1209"/>
    </row>
    <row r="90" spans="6:20" s="1191" customFormat="1" x14ac:dyDescent="0.2">
      <c r="F90" s="1203"/>
      <c r="G90" s="1203"/>
      <c r="H90" s="1192" t="s">
        <v>88</v>
      </c>
      <c r="I90" s="1235" t="s">
        <v>89</v>
      </c>
      <c r="J90" s="1294">
        <v>0.5</v>
      </c>
      <c r="K90" s="1211">
        <f>J90*$J$15*1000</f>
        <v>50000</v>
      </c>
      <c r="L90" s="1279">
        <v>2</v>
      </c>
      <c r="M90" s="1244">
        <f t="shared" si="6"/>
        <v>100000</v>
      </c>
      <c r="N90" s="1209"/>
      <c r="O90" s="1210" t="s">
        <v>92</v>
      </c>
      <c r="P90" s="1211"/>
      <c r="Q90" s="1211"/>
      <c r="R90" s="1211"/>
      <c r="S90" s="1211"/>
      <c r="T90" s="1209"/>
    </row>
    <row r="91" spans="6:20" s="1191" customFormat="1" x14ac:dyDescent="0.2">
      <c r="F91" s="1203"/>
      <c r="G91" s="1203"/>
      <c r="H91" s="1204" t="s">
        <v>93</v>
      </c>
      <c r="I91" s="1235" t="s">
        <v>89</v>
      </c>
      <c r="J91" s="1294">
        <v>0.5</v>
      </c>
      <c r="K91" s="1211">
        <f>J91*$J$15*1000</f>
        <v>50000</v>
      </c>
      <c r="L91" s="1279">
        <v>1</v>
      </c>
      <c r="M91" s="1244">
        <f t="shared" si="6"/>
        <v>50000</v>
      </c>
      <c r="N91" s="1209"/>
      <c r="O91" s="1210" t="s">
        <v>94</v>
      </c>
      <c r="P91" s="1211"/>
      <c r="Q91" s="1211"/>
      <c r="R91" s="1211"/>
      <c r="S91" s="1211"/>
      <c r="T91" s="1209"/>
    </row>
    <row r="92" spans="6:20" s="1191" customFormat="1" x14ac:dyDescent="0.2">
      <c r="F92" s="1203"/>
      <c r="G92" s="1203"/>
      <c r="H92" s="1204" t="s">
        <v>95</v>
      </c>
      <c r="I92" s="1235" t="s">
        <v>96</v>
      </c>
      <c r="J92" s="1294">
        <v>300</v>
      </c>
      <c r="K92" s="1211">
        <f>J92*$J$17</f>
        <v>100740</v>
      </c>
      <c r="L92" s="1279">
        <v>0.65</v>
      </c>
      <c r="M92" s="1244">
        <f t="shared" si="6"/>
        <v>65481</v>
      </c>
      <c r="N92" s="1209"/>
      <c r="O92" s="1210" t="s">
        <v>97</v>
      </c>
      <c r="P92" s="1211"/>
      <c r="Q92" s="1211"/>
      <c r="R92" s="1211"/>
      <c r="S92" s="1211"/>
      <c r="T92" s="1209"/>
    </row>
    <row r="93" spans="6:20" s="1191" customFormat="1" x14ac:dyDescent="0.2">
      <c r="F93" s="1203"/>
      <c r="G93" s="1203"/>
      <c r="H93" s="1204" t="s">
        <v>98</v>
      </c>
      <c r="I93" s="1235" t="s">
        <v>96</v>
      </c>
      <c r="J93" s="1294">
        <v>50</v>
      </c>
      <c r="K93" s="1211">
        <f>J93*$J$17</f>
        <v>16790</v>
      </c>
      <c r="L93" s="1279">
        <v>0.65</v>
      </c>
      <c r="M93" s="1244">
        <f t="shared" si="6"/>
        <v>10913.5</v>
      </c>
      <c r="N93" s="1209"/>
      <c r="O93" s="1210" t="s">
        <v>99</v>
      </c>
      <c r="P93" s="1211"/>
      <c r="Q93" s="1211"/>
      <c r="R93" s="1211"/>
      <c r="S93" s="1211"/>
      <c r="T93" s="1209"/>
    </row>
    <row r="94" spans="6:20" s="1191" customFormat="1" x14ac:dyDescent="0.2">
      <c r="F94" s="1203"/>
      <c r="G94" s="1203"/>
      <c r="H94" s="1204" t="s">
        <v>100</v>
      </c>
      <c r="I94" s="1235" t="s">
        <v>101</v>
      </c>
      <c r="J94" s="1294">
        <v>50</v>
      </c>
      <c r="K94" s="1211">
        <f>Q94*J94</f>
        <v>1500</v>
      </c>
      <c r="L94" s="1279">
        <v>100</v>
      </c>
      <c r="M94" s="1244">
        <f t="shared" si="6"/>
        <v>150000</v>
      </c>
      <c r="N94" s="1209"/>
      <c r="O94" s="1210" t="s">
        <v>102</v>
      </c>
      <c r="P94" s="1211"/>
      <c r="Q94" s="1236">
        <v>30</v>
      </c>
      <c r="R94" s="1210" t="s">
        <v>103</v>
      </c>
      <c r="S94" s="1211"/>
      <c r="T94" s="1209"/>
    </row>
    <row r="95" spans="6:20" s="1191" customFormat="1" x14ac:dyDescent="0.2">
      <c r="F95" s="1203"/>
      <c r="G95" s="1203"/>
      <c r="H95" s="1204" t="s">
        <v>104</v>
      </c>
      <c r="I95" s="1235" t="s">
        <v>89</v>
      </c>
      <c r="J95" s="1294">
        <v>5</v>
      </c>
      <c r="K95" s="1211">
        <f>J95*$J$15*1000</f>
        <v>500000</v>
      </c>
      <c r="L95" s="1279">
        <v>1</v>
      </c>
      <c r="M95" s="1244">
        <f t="shared" si="6"/>
        <v>500000</v>
      </c>
      <c r="N95" s="1209"/>
      <c r="O95" s="1211"/>
      <c r="P95" s="1211"/>
      <c r="Q95" s="1211"/>
      <c r="R95" s="1211"/>
      <c r="S95" s="1211"/>
      <c r="T95" s="1209"/>
    </row>
    <row r="96" spans="6:20" s="1191" customFormat="1" x14ac:dyDescent="0.2">
      <c r="F96" s="1203"/>
      <c r="G96" s="1203"/>
      <c r="H96" s="1204"/>
      <c r="I96" s="1235"/>
      <c r="J96" s="1204"/>
      <c r="K96" s="1204"/>
      <c r="L96" s="1204"/>
      <c r="M96" s="1244"/>
      <c r="N96" s="1209"/>
      <c r="O96" s="1211"/>
      <c r="P96" s="1211"/>
      <c r="Q96" s="1211"/>
      <c r="R96" s="1211"/>
      <c r="S96" s="1211"/>
      <c r="T96" s="1209"/>
    </row>
    <row r="97" spans="1:26" x14ac:dyDescent="0.2">
      <c r="F97" s="1203"/>
      <c r="G97" s="1203"/>
      <c r="H97" s="1220" t="s">
        <v>105</v>
      </c>
      <c r="I97" s="1235"/>
      <c r="J97" s="1204"/>
      <c r="K97" s="1204"/>
      <c r="L97" s="1204"/>
      <c r="M97" s="1204"/>
      <c r="N97" s="1209"/>
      <c r="O97" s="1210" t="s">
        <v>106</v>
      </c>
      <c r="P97" s="1211"/>
      <c r="Q97" s="1211"/>
      <c r="R97" s="1211"/>
      <c r="S97" s="1211"/>
      <c r="T97" s="1209"/>
    </row>
    <row r="98" spans="1:26" x14ac:dyDescent="0.2">
      <c r="F98" s="1203"/>
      <c r="G98" s="1203"/>
      <c r="H98" s="1204" t="s">
        <v>107</v>
      </c>
      <c r="I98" s="1235" t="s">
        <v>89</v>
      </c>
      <c r="J98" s="1295">
        <v>0.6</v>
      </c>
      <c r="K98" s="1211">
        <f t="shared" ref="K98:K103" si="7">J98*$J$15*1000</f>
        <v>60000</v>
      </c>
      <c r="L98" s="1296">
        <v>1</v>
      </c>
      <c r="M98" s="1244">
        <f t="shared" ref="M98:M103" si="8">K98*L98</f>
        <v>60000</v>
      </c>
      <c r="N98" s="1209"/>
      <c r="O98" s="1210" t="s">
        <v>106</v>
      </c>
      <c r="P98" s="1211"/>
      <c r="Q98" s="1211"/>
      <c r="R98" s="1211"/>
      <c r="S98" s="1211"/>
      <c r="T98" s="1209"/>
    </row>
    <row r="99" spans="1:26" x14ac:dyDescent="0.2">
      <c r="F99" s="1203"/>
      <c r="G99" s="1203"/>
      <c r="H99" s="1204" t="s">
        <v>95</v>
      </c>
      <c r="I99" s="1235" t="s">
        <v>89</v>
      </c>
      <c r="J99" s="1294"/>
      <c r="K99" s="1211">
        <f t="shared" si="7"/>
        <v>0</v>
      </c>
      <c r="L99" s="1296">
        <v>0.65</v>
      </c>
      <c r="M99" s="1244">
        <f t="shared" si="8"/>
        <v>0</v>
      </c>
      <c r="N99" s="1209"/>
      <c r="O99" s="1210" t="s">
        <v>106</v>
      </c>
      <c r="P99" s="1211"/>
      <c r="Q99" s="1211"/>
      <c r="R99" s="1211"/>
      <c r="S99" s="1211"/>
      <c r="T99" s="1209"/>
    </row>
    <row r="100" spans="1:26" x14ac:dyDescent="0.2">
      <c r="F100" s="1203"/>
      <c r="G100" s="1203"/>
      <c r="H100" s="1204" t="s">
        <v>108</v>
      </c>
      <c r="I100" s="1235" t="s">
        <v>89</v>
      </c>
      <c r="J100" s="1295">
        <v>0.34</v>
      </c>
      <c r="K100" s="1211">
        <f t="shared" si="7"/>
        <v>34000</v>
      </c>
      <c r="L100" s="1296">
        <v>0.45</v>
      </c>
      <c r="M100" s="1244">
        <f t="shared" si="8"/>
        <v>15300</v>
      </c>
      <c r="N100" s="1209"/>
      <c r="O100" s="1210" t="s">
        <v>106</v>
      </c>
      <c r="P100" s="1211"/>
      <c r="Q100" s="1211"/>
      <c r="R100" s="1211"/>
      <c r="S100" s="1211"/>
      <c r="T100" s="1209"/>
    </row>
    <row r="101" spans="1:26" x14ac:dyDescent="0.2">
      <c r="F101" s="1203"/>
      <c r="G101" s="1203"/>
      <c r="H101" s="1204" t="s">
        <v>109</v>
      </c>
      <c r="I101" s="1235" t="s">
        <v>110</v>
      </c>
      <c r="J101" s="1295"/>
      <c r="K101" s="1211">
        <f t="shared" si="7"/>
        <v>0</v>
      </c>
      <c r="L101" s="1296">
        <v>1</v>
      </c>
      <c r="M101" s="1244">
        <f t="shared" si="8"/>
        <v>0</v>
      </c>
      <c r="N101" s="1209"/>
      <c r="O101" s="1210" t="s">
        <v>106</v>
      </c>
      <c r="P101" s="1211"/>
      <c r="Q101" s="1211"/>
      <c r="R101" s="1211"/>
      <c r="S101" s="1211"/>
      <c r="T101" s="1209"/>
    </row>
    <row r="102" spans="1:26" x14ac:dyDescent="0.2">
      <c r="F102" s="1203"/>
      <c r="G102" s="1203"/>
      <c r="H102" s="1204" t="s">
        <v>111</v>
      </c>
      <c r="I102" s="1235" t="s">
        <v>110</v>
      </c>
      <c r="J102" s="1296"/>
      <c r="K102" s="1211">
        <f t="shared" si="7"/>
        <v>0</v>
      </c>
      <c r="L102" s="1296">
        <v>2.5</v>
      </c>
      <c r="M102" s="1244">
        <f t="shared" si="8"/>
        <v>0</v>
      </c>
      <c r="N102" s="1209"/>
      <c r="O102" s="1210" t="s">
        <v>106</v>
      </c>
      <c r="P102" s="1211"/>
      <c r="Q102" s="1211"/>
      <c r="R102" s="1211"/>
      <c r="S102" s="1211"/>
      <c r="T102" s="1209"/>
    </row>
    <row r="103" spans="1:26" x14ac:dyDescent="0.2">
      <c r="F103" s="1203"/>
      <c r="G103" s="1203"/>
      <c r="H103" s="1204" t="s">
        <v>112</v>
      </c>
      <c r="I103" s="1235" t="s">
        <v>89</v>
      </c>
      <c r="J103" s="1296"/>
      <c r="K103" s="1211">
        <f t="shared" si="7"/>
        <v>0</v>
      </c>
      <c r="L103" s="1296">
        <v>2</v>
      </c>
      <c r="M103" s="1244">
        <f t="shared" si="8"/>
        <v>0</v>
      </c>
      <c r="N103" s="1209"/>
      <c r="O103" s="1211"/>
      <c r="P103" s="1211"/>
      <c r="Q103" s="1211"/>
      <c r="R103" s="1211"/>
      <c r="S103" s="1211"/>
      <c r="T103" s="1209"/>
    </row>
    <row r="104" spans="1:26" x14ac:dyDescent="0.2">
      <c r="F104" s="1203"/>
      <c r="G104" s="1203"/>
      <c r="H104" s="1204"/>
      <c r="I104" s="1235"/>
      <c r="J104" s="1296"/>
      <c r="K104" s="1211"/>
      <c r="L104" s="1204"/>
      <c r="M104" s="1204"/>
      <c r="N104" s="1209"/>
      <c r="O104" s="1211"/>
      <c r="P104" s="1211"/>
      <c r="Q104" s="1211"/>
      <c r="R104" s="1211"/>
      <c r="S104" s="1265"/>
      <c r="T104" s="1209"/>
    </row>
    <row r="105" spans="1:26" x14ac:dyDescent="0.2">
      <c r="F105" s="1203"/>
      <c r="G105" s="1203"/>
      <c r="H105" s="1220" t="s">
        <v>421</v>
      </c>
      <c r="I105" s="1243"/>
      <c r="J105" s="1192"/>
      <c r="K105" s="1192"/>
      <c r="L105" s="1216"/>
      <c r="M105" s="1204"/>
      <c r="N105" s="1209"/>
      <c r="O105" s="1265"/>
      <c r="P105" s="1265"/>
      <c r="Q105" s="1265"/>
      <c r="R105" s="1265"/>
      <c r="S105" s="1265"/>
      <c r="T105" s="1209"/>
    </row>
    <row r="106" spans="1:26" x14ac:dyDescent="0.2">
      <c r="F106" s="1203"/>
      <c r="G106" s="1203"/>
      <c r="H106" s="1204" t="s">
        <v>115</v>
      </c>
      <c r="I106" s="1235" t="s">
        <v>422</v>
      </c>
      <c r="J106" s="1296"/>
      <c r="K106" s="1211">
        <f>J106*$K$62</f>
        <v>0</v>
      </c>
      <c r="L106" s="1279">
        <v>0.23499999999999999</v>
      </c>
      <c r="M106" s="1244">
        <f>K106*L106</f>
        <v>0</v>
      </c>
      <c r="N106" s="1241"/>
      <c r="O106" s="1211"/>
      <c r="P106" s="1211"/>
      <c r="Q106" s="1211"/>
      <c r="R106" s="1211"/>
      <c r="S106" s="1265"/>
      <c r="T106" s="1209"/>
    </row>
    <row r="107" spans="1:26" s="1297" customFormat="1" x14ac:dyDescent="0.2">
      <c r="F107" s="1298"/>
      <c r="G107" s="1298"/>
      <c r="H107" s="1204" t="s">
        <v>123</v>
      </c>
      <c r="I107" s="1235" t="s">
        <v>422</v>
      </c>
      <c r="J107" s="1296"/>
      <c r="K107" s="1211">
        <f>J107*$K$62</f>
        <v>0</v>
      </c>
      <c r="L107" s="1299">
        <v>0.45</v>
      </c>
      <c r="M107" s="1244">
        <f>K107*L107</f>
        <v>0</v>
      </c>
      <c r="N107" s="1241"/>
      <c r="O107" s="1211"/>
      <c r="P107" s="1211"/>
      <c r="Q107" s="1211"/>
      <c r="R107" s="1211"/>
      <c r="S107" s="1265"/>
      <c r="T107" s="1209"/>
      <c r="U107" s="1300"/>
      <c r="V107" s="1300"/>
      <c r="W107" s="1300"/>
      <c r="X107" s="1300"/>
      <c r="Y107" s="1300"/>
      <c r="Z107" s="1300"/>
    </row>
    <row r="108" spans="1:26" s="1297" customFormat="1" x14ac:dyDescent="0.2">
      <c r="F108" s="1298"/>
      <c r="G108" s="1298"/>
      <c r="H108" s="1204" t="s">
        <v>117</v>
      </c>
      <c r="I108" s="1235" t="s">
        <v>422</v>
      </c>
      <c r="J108" s="1296"/>
      <c r="K108" s="1211">
        <f>J108*$K$62</f>
        <v>0</v>
      </c>
      <c r="L108" s="1299">
        <v>0.45</v>
      </c>
      <c r="M108" s="1244">
        <f>K108*L108</f>
        <v>0</v>
      </c>
      <c r="N108" s="1241"/>
      <c r="O108" s="1211"/>
      <c r="P108" s="1211"/>
      <c r="Q108" s="1211"/>
      <c r="R108" s="1211"/>
      <c r="S108" s="1265"/>
      <c r="T108" s="1209"/>
      <c r="U108" s="1300"/>
      <c r="V108" s="1300"/>
      <c r="W108" s="1300"/>
      <c r="X108" s="1300"/>
      <c r="Y108" s="1300"/>
      <c r="Z108" s="1300"/>
    </row>
    <row r="109" spans="1:26" s="1297" customFormat="1" x14ac:dyDescent="0.2">
      <c r="A109" s="1297" t="s">
        <v>704</v>
      </c>
      <c r="B109" s="1297" t="s">
        <v>86</v>
      </c>
      <c r="F109" s="1298"/>
      <c r="G109" s="1298"/>
      <c r="H109" s="1212" t="s">
        <v>126</v>
      </c>
      <c r="M109" s="1256">
        <f>SUM(M79:M108)</f>
        <v>2713977.1410726625</v>
      </c>
      <c r="N109" s="1241"/>
      <c r="O109" s="1211"/>
      <c r="P109" s="1211"/>
      <c r="Q109" s="1211"/>
      <c r="R109" s="1211"/>
      <c r="S109" s="1265"/>
      <c r="T109" s="1209"/>
      <c r="U109" s="1300"/>
      <c r="V109" s="1300"/>
      <c r="W109" s="1300"/>
      <c r="X109" s="1300"/>
      <c r="Y109" s="1300"/>
      <c r="Z109" s="1300"/>
    </row>
    <row r="110" spans="1:26" s="1297" customFormat="1" x14ac:dyDescent="0.2">
      <c r="F110" s="1298"/>
      <c r="G110" s="1301"/>
      <c r="H110" s="1302"/>
      <c r="I110" s="1303"/>
      <c r="J110" s="1302"/>
      <c r="K110" s="1302"/>
      <c r="L110" s="1283"/>
      <c r="M110" s="1302"/>
      <c r="N110" s="1304"/>
      <c r="O110" s="1305"/>
      <c r="P110" s="1306"/>
      <c r="Q110" s="1305"/>
      <c r="R110" s="1305"/>
      <c r="S110" s="1305"/>
      <c r="T110" s="1304"/>
      <c r="U110" s="1300"/>
      <c r="V110" s="1300"/>
      <c r="W110" s="1300"/>
      <c r="X110" s="1300"/>
      <c r="Y110" s="1300"/>
      <c r="Z110" s="1300"/>
    </row>
    <row r="111" spans="1:26" ht="25.5" x14ac:dyDescent="0.2">
      <c r="F111" s="1203"/>
      <c r="G111" s="1230" t="s">
        <v>128</v>
      </c>
      <c r="H111" s="1231" t="s">
        <v>129</v>
      </c>
      <c r="I111" s="1232" t="s">
        <v>20</v>
      </c>
      <c r="J111" s="1254" t="s">
        <v>71</v>
      </c>
      <c r="K111" s="1254" t="s">
        <v>72</v>
      </c>
      <c r="L111" s="1289" t="s">
        <v>73</v>
      </c>
      <c r="M111" s="1254" t="s">
        <v>130</v>
      </c>
      <c r="N111" s="1209"/>
      <c r="O111" s="1290" t="s">
        <v>76</v>
      </c>
      <c r="P111" s="1211"/>
      <c r="Q111" s="1211"/>
      <c r="R111" s="1211"/>
      <c r="S111" s="1211"/>
      <c r="T111" s="1209"/>
    </row>
    <row r="112" spans="1:26" x14ac:dyDescent="0.2">
      <c r="F112" s="1203"/>
      <c r="G112" s="1230"/>
      <c r="H112" s="1220" t="s">
        <v>131</v>
      </c>
      <c r="I112" s="1232"/>
      <c r="J112" s="1254"/>
      <c r="K112" s="1254"/>
      <c r="L112" s="1289"/>
      <c r="M112" s="1232"/>
      <c r="N112" s="1209"/>
      <c r="O112" s="1290"/>
      <c r="P112" s="1211"/>
      <c r="Q112" s="1211"/>
      <c r="R112" s="1211"/>
      <c r="S112" s="1211"/>
      <c r="T112" s="1209"/>
    </row>
    <row r="113" spans="1:20" s="1191" customFormat="1" x14ac:dyDescent="0.2">
      <c r="E113" s="1307">
        <v>0</v>
      </c>
      <c r="F113" s="1203"/>
      <c r="G113" s="1203"/>
      <c r="H113" s="1204" t="s">
        <v>423</v>
      </c>
      <c r="I113" s="1235" t="s">
        <v>133</v>
      </c>
      <c r="J113" s="1294">
        <v>0</v>
      </c>
      <c r="K113" s="1211">
        <f>J113*$J$15*1000</f>
        <v>0</v>
      </c>
      <c r="L113" s="1279">
        <v>5</v>
      </c>
      <c r="M113" s="1244">
        <f>K113*L113</f>
        <v>0</v>
      </c>
      <c r="N113" s="1209"/>
      <c r="O113" s="1210" t="s">
        <v>136</v>
      </c>
      <c r="P113" s="1211"/>
      <c r="Q113" s="1211"/>
      <c r="R113" s="1211"/>
      <c r="S113" s="1211"/>
      <c r="T113" s="1209"/>
    </row>
    <row r="114" spans="1:20" s="1191" customFormat="1" x14ac:dyDescent="0.2">
      <c r="E114" s="1307">
        <v>1</v>
      </c>
      <c r="F114" s="1203"/>
      <c r="G114" s="1203"/>
      <c r="H114" s="1204" t="s">
        <v>424</v>
      </c>
      <c r="I114" s="1235" t="s">
        <v>133</v>
      </c>
      <c r="J114" s="1294">
        <v>1</v>
      </c>
      <c r="K114" s="1211">
        <f>J114*$J$15*1000</f>
        <v>100000</v>
      </c>
      <c r="L114" s="1216">
        <f>L113</f>
        <v>5</v>
      </c>
      <c r="M114" s="1244">
        <f>K114*L114</f>
        <v>500000</v>
      </c>
      <c r="N114" s="1209"/>
      <c r="O114" s="1210"/>
      <c r="P114" s="1211"/>
      <c r="Q114" s="1211"/>
      <c r="R114" s="1211"/>
      <c r="S114" s="1211"/>
      <c r="T114" s="1209"/>
    </row>
    <row r="115" spans="1:20" s="1191" customFormat="1" x14ac:dyDescent="0.2">
      <c r="E115" s="1307">
        <v>1</v>
      </c>
      <c r="F115" s="1203"/>
      <c r="G115" s="1203"/>
      <c r="H115" s="1204" t="s">
        <v>162</v>
      </c>
      <c r="I115" s="1235" t="s">
        <v>133</v>
      </c>
      <c r="J115" s="1294">
        <v>1.9</v>
      </c>
      <c r="K115" s="1211">
        <f>J115*$J$15*1000</f>
        <v>190000</v>
      </c>
      <c r="L115" s="1216">
        <f>L114</f>
        <v>5</v>
      </c>
      <c r="M115" s="1244">
        <f>K115*L115</f>
        <v>950000</v>
      </c>
      <c r="N115" s="1209"/>
      <c r="O115" s="1210" t="s">
        <v>136</v>
      </c>
      <c r="P115" s="1211"/>
      <c r="Q115" s="1211"/>
      <c r="R115" s="1211"/>
      <c r="S115" s="1211"/>
      <c r="T115" s="1209"/>
    </row>
    <row r="116" spans="1:20" s="1191" customFormat="1" x14ac:dyDescent="0.2">
      <c r="E116" s="1307">
        <v>1</v>
      </c>
      <c r="F116" s="1203"/>
      <c r="G116" s="1203"/>
      <c r="H116" s="1204" t="s">
        <v>163</v>
      </c>
      <c r="I116" s="1235" t="s">
        <v>133</v>
      </c>
      <c r="J116" s="1294">
        <v>0.63</v>
      </c>
      <c r="K116" s="1211">
        <f>J116*$J$15*1000</f>
        <v>63000</v>
      </c>
      <c r="L116" s="1216">
        <f>L115</f>
        <v>5</v>
      </c>
      <c r="M116" s="1244">
        <f>K116*L116</f>
        <v>315000</v>
      </c>
      <c r="N116" s="1209"/>
      <c r="O116" s="1210" t="s">
        <v>136</v>
      </c>
      <c r="P116" s="1211"/>
      <c r="Q116" s="1211"/>
      <c r="R116" s="1211"/>
      <c r="S116" s="1211"/>
      <c r="T116" s="1209"/>
    </row>
    <row r="117" spans="1:20" s="1191" customFormat="1" x14ac:dyDescent="0.2">
      <c r="E117" s="1307">
        <v>1</v>
      </c>
      <c r="F117" s="1203"/>
      <c r="G117" s="1203"/>
      <c r="H117" s="1204" t="s">
        <v>425</v>
      </c>
      <c r="I117" s="1235" t="s">
        <v>426</v>
      </c>
      <c r="J117" s="1294">
        <v>2</v>
      </c>
      <c r="K117" s="1308">
        <f>J117*K66</f>
        <v>43315.459944482842</v>
      </c>
      <c r="L117" s="1216">
        <f>L116</f>
        <v>5</v>
      </c>
      <c r="M117" s="1244">
        <f>K117*L117</f>
        <v>216577.2997224142</v>
      </c>
      <c r="N117" s="1209"/>
      <c r="O117" s="1210"/>
      <c r="P117" s="1211"/>
      <c r="Q117" s="1211"/>
      <c r="R117" s="1211"/>
      <c r="S117" s="1211"/>
      <c r="T117" s="1209"/>
    </row>
    <row r="118" spans="1:20" s="1191" customFormat="1" x14ac:dyDescent="0.2">
      <c r="A118" s="1191" t="s">
        <v>705</v>
      </c>
      <c r="B118" s="1191" t="s">
        <v>131</v>
      </c>
      <c r="F118" s="1203"/>
      <c r="G118" s="1203"/>
      <c r="H118" s="1212" t="s">
        <v>137</v>
      </c>
      <c r="I118" s="1235"/>
      <c r="J118" s="1204"/>
      <c r="K118" s="1211"/>
      <c r="L118" s="1216"/>
      <c r="M118" s="1256">
        <f>SUM(M113:M117)</f>
        <v>1981577.2997224142</v>
      </c>
      <c r="N118" s="1209"/>
      <c r="O118" s="1210"/>
      <c r="P118" s="1211"/>
      <c r="Q118" s="1211"/>
      <c r="R118" s="1211"/>
      <c r="S118" s="1211"/>
      <c r="T118" s="1209"/>
    </row>
    <row r="119" spans="1:20" s="1191" customFormat="1" x14ac:dyDescent="0.2">
      <c r="F119" s="1203"/>
      <c r="G119" s="1203"/>
      <c r="H119" s="1220" t="s">
        <v>140</v>
      </c>
      <c r="I119" s="1235"/>
      <c r="J119" s="1204"/>
      <c r="K119" s="1211"/>
      <c r="L119" s="1216"/>
      <c r="M119" s="1244"/>
      <c r="N119" s="1209"/>
      <c r="O119" s="1210"/>
      <c r="P119" s="1211"/>
      <c r="Q119" s="1211"/>
      <c r="R119" s="1211"/>
      <c r="S119" s="1211"/>
      <c r="T119" s="1209"/>
    </row>
    <row r="120" spans="1:20" s="1191" customFormat="1" x14ac:dyDescent="0.2">
      <c r="E120" s="1307">
        <v>1</v>
      </c>
      <c r="F120" s="1203"/>
      <c r="G120" s="1203"/>
      <c r="H120" s="1204" t="s">
        <v>141</v>
      </c>
      <c r="I120" s="1235" t="s">
        <v>133</v>
      </c>
      <c r="J120" s="1294">
        <v>1.9</v>
      </c>
      <c r="K120" s="1211">
        <f>J120*$J$15*1000</f>
        <v>190000</v>
      </c>
      <c r="L120" s="1216"/>
      <c r="M120" s="1244">
        <f>K120*L120</f>
        <v>0</v>
      </c>
      <c r="N120" s="1209"/>
      <c r="O120" s="1210" t="s">
        <v>427</v>
      </c>
      <c r="P120" s="1211"/>
      <c r="Q120" s="1211"/>
      <c r="R120" s="1211"/>
      <c r="S120" s="1211"/>
      <c r="T120" s="1209"/>
    </row>
    <row r="121" spans="1:20" s="1191" customFormat="1" x14ac:dyDescent="0.2">
      <c r="E121" s="1307">
        <v>1</v>
      </c>
      <c r="F121" s="1203"/>
      <c r="G121" s="1203"/>
      <c r="H121" s="1204" t="s">
        <v>143</v>
      </c>
      <c r="I121" s="1235" t="s">
        <v>133</v>
      </c>
      <c r="J121" s="1294">
        <v>0.63</v>
      </c>
      <c r="K121" s="1211">
        <f>J121*$J$15*1000</f>
        <v>63000</v>
      </c>
      <c r="L121" s="1216"/>
      <c r="M121" s="1244">
        <f>K121*L121</f>
        <v>0</v>
      </c>
      <c r="N121" s="1209"/>
      <c r="O121" s="1210" t="s">
        <v>427</v>
      </c>
      <c r="P121" s="1211"/>
      <c r="Q121" s="1211"/>
      <c r="R121" s="1211"/>
      <c r="S121" s="1211"/>
      <c r="T121" s="1209"/>
    </row>
    <row r="122" spans="1:20" s="1191" customFormat="1" x14ac:dyDescent="0.2">
      <c r="E122" s="1307">
        <v>1</v>
      </c>
      <c r="F122" s="1203"/>
      <c r="G122" s="1203"/>
      <c r="H122" s="1204" t="s">
        <v>144</v>
      </c>
      <c r="I122" s="1235" t="s">
        <v>133</v>
      </c>
      <c r="J122" s="1294">
        <v>4.0999999999999996</v>
      </c>
      <c r="K122" s="1211">
        <f>J122*$J$15*1000</f>
        <v>409999.99999999994</v>
      </c>
      <c r="L122" s="1279">
        <v>3</v>
      </c>
      <c r="M122" s="1244">
        <f>K122*L122</f>
        <v>1229999.9999999998</v>
      </c>
      <c r="N122" s="1209"/>
      <c r="O122" s="1210" t="s">
        <v>145</v>
      </c>
      <c r="P122" s="1211"/>
      <c r="Q122" s="1211"/>
      <c r="R122" s="1211"/>
      <c r="S122" s="1211"/>
      <c r="T122" s="1209"/>
    </row>
    <row r="123" spans="1:20" s="1191" customFormat="1" x14ac:dyDescent="0.2">
      <c r="F123" s="1203"/>
      <c r="G123" s="1203"/>
      <c r="H123" s="1192"/>
      <c r="I123" s="1243"/>
      <c r="J123" s="1192"/>
      <c r="K123" s="1192"/>
      <c r="L123" s="1216"/>
      <c r="M123" s="1192"/>
      <c r="N123" s="1209"/>
      <c r="O123" s="1211"/>
      <c r="P123" s="1211"/>
      <c r="Q123" s="1211"/>
      <c r="R123" s="1211"/>
      <c r="S123" s="1211"/>
      <c r="T123" s="1209"/>
    </row>
    <row r="124" spans="1:20" s="1191" customFormat="1" x14ac:dyDescent="0.2">
      <c r="F124" s="1203"/>
      <c r="G124" s="1203"/>
      <c r="H124" s="1220" t="s">
        <v>139</v>
      </c>
      <c r="I124" s="1243"/>
      <c r="J124" s="1192"/>
      <c r="K124" s="1192"/>
      <c r="L124" s="1216"/>
      <c r="M124" s="1192"/>
      <c r="N124" s="1209"/>
      <c r="O124" s="1211"/>
      <c r="P124" s="1211"/>
      <c r="Q124" s="1309"/>
      <c r="R124" s="1309"/>
      <c r="S124" s="1211"/>
      <c r="T124" s="1209"/>
    </row>
    <row r="125" spans="1:20" s="1191" customFormat="1" x14ac:dyDescent="0.2">
      <c r="E125" s="1310">
        <v>0</v>
      </c>
      <c r="F125" s="1203"/>
      <c r="G125" s="1203"/>
      <c r="H125" s="1204" t="s">
        <v>428</v>
      </c>
      <c r="I125" s="1235" t="s">
        <v>150</v>
      </c>
      <c r="J125" s="1294">
        <v>0</v>
      </c>
      <c r="K125" s="1211">
        <f>J125*$J$15*1000</f>
        <v>0</v>
      </c>
      <c r="L125" s="1279">
        <v>1</v>
      </c>
      <c r="M125" s="1244">
        <f>L$125*K125</f>
        <v>0</v>
      </c>
      <c r="N125" s="1209"/>
      <c r="O125" s="1210"/>
      <c r="P125" s="1211"/>
      <c r="Q125" s="1211"/>
      <c r="R125" s="1211"/>
      <c r="S125" s="1211"/>
      <c r="T125" s="1209"/>
    </row>
    <row r="126" spans="1:20" s="1191" customFormat="1" x14ac:dyDescent="0.2">
      <c r="E126" s="1310">
        <v>0</v>
      </c>
      <c r="F126" s="1203"/>
      <c r="G126" s="1203"/>
      <c r="H126" s="1204" t="s">
        <v>429</v>
      </c>
      <c r="I126" s="1235" t="s">
        <v>150</v>
      </c>
      <c r="J126" s="1294">
        <v>0</v>
      </c>
      <c r="K126" s="1211">
        <f>J126*$J$15*1000</f>
        <v>0</v>
      </c>
      <c r="L126" s="1216"/>
      <c r="M126" s="1244">
        <f>L126*K126</f>
        <v>0</v>
      </c>
      <c r="N126" s="1209"/>
      <c r="O126" s="1211" t="s">
        <v>511</v>
      </c>
      <c r="P126" s="1211"/>
      <c r="Q126" s="1211"/>
      <c r="R126" s="1211"/>
      <c r="S126" s="1211"/>
      <c r="T126" s="1209"/>
    </row>
    <row r="127" spans="1:20" s="1191" customFormat="1" x14ac:dyDescent="0.2">
      <c r="E127" s="1310">
        <v>1</v>
      </c>
      <c r="F127" s="1203"/>
      <c r="G127" s="1203"/>
      <c r="H127" s="1204" t="s">
        <v>153</v>
      </c>
      <c r="I127" s="1235" t="s">
        <v>150</v>
      </c>
      <c r="J127" s="1294">
        <v>90</v>
      </c>
      <c r="K127" s="1211">
        <f>J127*$J$15*1000</f>
        <v>9000000</v>
      </c>
      <c r="L127" s="1216"/>
      <c r="M127" s="1244">
        <f>L127*K127</f>
        <v>0</v>
      </c>
      <c r="N127" s="1209"/>
      <c r="O127" s="1311">
        <f>SUM(K125:K126)*J131*L131</f>
        <v>0</v>
      </c>
      <c r="P127" s="1211" t="s">
        <v>512</v>
      </c>
      <c r="Q127" s="1211"/>
      <c r="R127" s="1211"/>
      <c r="S127" s="1211"/>
      <c r="T127" s="1209"/>
    </row>
    <row r="128" spans="1:20" s="1191" customFormat="1" x14ac:dyDescent="0.2">
      <c r="E128" s="1310">
        <v>1</v>
      </c>
      <c r="F128" s="1203"/>
      <c r="G128" s="1203"/>
      <c r="H128" s="1204" t="s">
        <v>154</v>
      </c>
      <c r="I128" s="1235" t="s">
        <v>150</v>
      </c>
      <c r="J128" s="1294">
        <v>50</v>
      </c>
      <c r="K128" s="1211">
        <f>J128*$J$15*1000</f>
        <v>5000000</v>
      </c>
      <c r="L128" s="1216"/>
      <c r="M128" s="1244">
        <f>L128*K128</f>
        <v>0</v>
      </c>
      <c r="N128" s="1209"/>
      <c r="O128" s="1210"/>
      <c r="P128" s="1211"/>
      <c r="Q128" s="1211"/>
      <c r="R128" s="1211"/>
      <c r="S128" s="1211"/>
      <c r="T128" s="1209"/>
    </row>
    <row r="129" spans="1:20" s="1191" customFormat="1" x14ac:dyDescent="0.2">
      <c r="E129" s="1310">
        <v>1</v>
      </c>
      <c r="F129" s="1203"/>
      <c r="G129" s="1203"/>
      <c r="H129" s="1204" t="s">
        <v>155</v>
      </c>
      <c r="I129" s="1235" t="s">
        <v>150</v>
      </c>
      <c r="J129" s="1294">
        <v>10</v>
      </c>
      <c r="K129" s="1211">
        <f>J129*$J$15*1000</f>
        <v>1000000</v>
      </c>
      <c r="L129" s="1216"/>
      <c r="M129" s="1244">
        <f>L129*K129</f>
        <v>0</v>
      </c>
      <c r="N129" s="1209"/>
      <c r="O129" s="1210"/>
      <c r="P129" s="1211"/>
      <c r="Q129" s="1211"/>
      <c r="R129" s="1211"/>
      <c r="S129" s="1211"/>
      <c r="T129" s="1209"/>
    </row>
    <row r="130" spans="1:20" s="1191" customFormat="1" x14ac:dyDescent="0.2">
      <c r="F130" s="1203"/>
      <c r="G130" s="1203"/>
      <c r="H130" s="1245" t="s">
        <v>156</v>
      </c>
      <c r="I130" s="1245" t="s">
        <v>65</v>
      </c>
      <c r="J130" s="1220"/>
      <c r="K130" s="1311">
        <f>SUM(K126:K129)</f>
        <v>15000000</v>
      </c>
      <c r="L130" s="1212"/>
      <c r="M130" s="1312">
        <f>SUM(M125:M129)</f>
        <v>0</v>
      </c>
      <c r="N130" s="1209"/>
      <c r="O130" s="1210"/>
      <c r="P130" s="1211"/>
      <c r="Q130" s="1211"/>
      <c r="R130" s="1211"/>
      <c r="S130" s="1211"/>
      <c r="T130" s="1209"/>
    </row>
    <row r="131" spans="1:20" s="1191" customFormat="1" x14ac:dyDescent="0.2">
      <c r="F131" s="1203"/>
      <c r="G131" s="1203"/>
      <c r="H131" s="1313" t="s">
        <v>855</v>
      </c>
      <c r="I131" s="1235" t="s">
        <v>157</v>
      </c>
      <c r="J131" s="1263">
        <v>0.1</v>
      </c>
      <c r="K131" s="1211">
        <f>J131*K130</f>
        <v>1500000</v>
      </c>
      <c r="L131" s="1216">
        <f>L125</f>
        <v>1</v>
      </c>
      <c r="M131" s="1244">
        <f>L131*K131</f>
        <v>1500000</v>
      </c>
      <c r="N131" s="1209"/>
      <c r="O131" s="1210"/>
      <c r="P131" s="1211"/>
      <c r="Q131" s="1211"/>
      <c r="R131" s="1211"/>
      <c r="S131" s="1211"/>
      <c r="T131" s="1209"/>
    </row>
    <row r="132" spans="1:20" s="1191" customFormat="1" x14ac:dyDescent="0.2">
      <c r="A132" s="1191" t="s">
        <v>706</v>
      </c>
      <c r="B132" s="1191" t="s">
        <v>721</v>
      </c>
      <c r="F132" s="1203"/>
      <c r="G132" s="1203"/>
      <c r="H132" s="1212" t="s">
        <v>158</v>
      </c>
      <c r="I132" s="1243"/>
      <c r="J132" s="1192"/>
      <c r="K132" s="1192"/>
      <c r="L132" s="1216"/>
      <c r="M132" s="1256">
        <f>SUM(M130:M131,M122)</f>
        <v>2730000</v>
      </c>
      <c r="N132" s="1209"/>
      <c r="O132" s="1211"/>
      <c r="P132" s="1211"/>
      <c r="Q132" s="1211"/>
      <c r="R132" s="1211"/>
      <c r="S132" s="1211"/>
      <c r="T132" s="1209"/>
    </row>
    <row r="133" spans="1:20" s="1191" customFormat="1" x14ac:dyDescent="0.2">
      <c r="F133" s="1203"/>
      <c r="G133" s="1203"/>
      <c r="H133" s="1220" t="s">
        <v>159</v>
      </c>
      <c r="I133" s="1243"/>
      <c r="J133" s="1192"/>
      <c r="K133" s="1204"/>
      <c r="L133" s="1216"/>
      <c r="M133" s="1192"/>
      <c r="N133" s="1209"/>
      <c r="O133" s="1211"/>
      <c r="P133" s="1211"/>
      <c r="Q133" s="1211"/>
      <c r="R133" s="1211"/>
      <c r="S133" s="1211"/>
      <c r="T133" s="1209"/>
    </row>
    <row r="134" spans="1:20" s="1191" customFormat="1" x14ac:dyDescent="0.2">
      <c r="E134" s="1307">
        <v>0</v>
      </c>
      <c r="F134" s="1203"/>
      <c r="G134" s="1203"/>
      <c r="H134" s="1204" t="s">
        <v>430</v>
      </c>
      <c r="I134" s="1235" t="s">
        <v>161</v>
      </c>
      <c r="J134" s="1314">
        <v>0</v>
      </c>
      <c r="K134" s="1211">
        <f t="shared" ref="K134:K143" si="9">J134*$J$15*1000</f>
        <v>0</v>
      </c>
      <c r="L134" s="1315"/>
      <c r="M134" s="1244">
        <f>K134*$L$145</f>
        <v>0</v>
      </c>
      <c r="N134" s="1209"/>
      <c r="O134" s="1211"/>
      <c r="P134" s="1210"/>
      <c r="Q134" s="1211"/>
      <c r="R134" s="1211"/>
      <c r="S134" s="1211"/>
      <c r="T134" s="1209"/>
    </row>
    <row r="135" spans="1:20" s="1191" customFormat="1" x14ac:dyDescent="0.2">
      <c r="E135" s="1307">
        <v>0</v>
      </c>
      <c r="F135" s="1203"/>
      <c r="G135" s="1203"/>
      <c r="H135" s="1204" t="s">
        <v>431</v>
      </c>
      <c r="I135" s="1235" t="s">
        <v>161</v>
      </c>
      <c r="J135" s="1314">
        <v>0</v>
      </c>
      <c r="K135" s="1211">
        <f t="shared" si="9"/>
        <v>0</v>
      </c>
      <c r="L135" s="1315"/>
      <c r="M135" s="1244">
        <f t="shared" ref="M135:M144" si="10">K135*$L$145</f>
        <v>0</v>
      </c>
      <c r="N135" s="1209"/>
      <c r="O135" s="1211"/>
      <c r="P135" s="1210"/>
      <c r="Q135" s="1211"/>
      <c r="R135" s="1211"/>
      <c r="S135" s="1211"/>
      <c r="T135" s="1209"/>
    </row>
    <row r="136" spans="1:20" s="1191" customFormat="1" x14ac:dyDescent="0.2">
      <c r="E136" s="1307">
        <v>1</v>
      </c>
      <c r="F136" s="1203"/>
      <c r="G136" s="1203"/>
      <c r="H136" s="1204" t="s">
        <v>424</v>
      </c>
      <c r="I136" s="1235" t="s">
        <v>161</v>
      </c>
      <c r="J136" s="1314">
        <f>167/19.1</f>
        <v>8.7434554973821985</v>
      </c>
      <c r="K136" s="1211">
        <f t="shared" si="9"/>
        <v>874345.54973821982</v>
      </c>
      <c r="L136" s="1315"/>
      <c r="M136" s="1244">
        <f t="shared" si="10"/>
        <v>34973.821989528791</v>
      </c>
      <c r="N136" s="1209"/>
      <c r="O136" s="1211"/>
      <c r="P136" s="1211"/>
      <c r="Q136" s="1211"/>
      <c r="R136" s="1211"/>
      <c r="S136" s="1211"/>
      <c r="T136" s="1209"/>
    </row>
    <row r="137" spans="1:20" s="1191" customFormat="1" x14ac:dyDescent="0.2">
      <c r="E137" s="1307">
        <v>1</v>
      </c>
      <c r="F137" s="1203"/>
      <c r="G137" s="1203"/>
      <c r="H137" s="1204" t="s">
        <v>432</v>
      </c>
      <c r="I137" s="1235" t="s">
        <v>161</v>
      </c>
      <c r="J137" s="1314">
        <v>3</v>
      </c>
      <c r="K137" s="1211">
        <f t="shared" si="9"/>
        <v>300000</v>
      </c>
      <c r="L137" s="1315"/>
      <c r="M137" s="1244">
        <f t="shared" si="10"/>
        <v>12000</v>
      </c>
      <c r="N137" s="1209"/>
      <c r="O137" s="1211"/>
      <c r="P137" s="1211"/>
      <c r="Q137" s="1211"/>
      <c r="R137" s="1211"/>
      <c r="S137" s="1211"/>
      <c r="T137" s="1209"/>
    </row>
    <row r="138" spans="1:20" s="1191" customFormat="1" x14ac:dyDescent="0.2">
      <c r="E138" s="1307">
        <v>1</v>
      </c>
      <c r="F138" s="1203"/>
      <c r="G138" s="1203"/>
      <c r="H138" s="1204" t="s">
        <v>160</v>
      </c>
      <c r="I138" s="1235" t="s">
        <v>161</v>
      </c>
      <c r="J138" s="1314">
        <v>45</v>
      </c>
      <c r="K138" s="1211">
        <f t="shared" si="9"/>
        <v>4500000</v>
      </c>
      <c r="L138" s="1315"/>
      <c r="M138" s="1244">
        <f t="shared" si="10"/>
        <v>180000</v>
      </c>
      <c r="N138" s="1209"/>
      <c r="O138" s="1211"/>
      <c r="P138" s="1211"/>
      <c r="Q138" s="1211"/>
      <c r="R138" s="1211"/>
      <c r="S138" s="1211"/>
      <c r="T138" s="1209"/>
    </row>
    <row r="139" spans="1:20" s="1191" customFormat="1" x14ac:dyDescent="0.2">
      <c r="E139" s="1307">
        <v>1</v>
      </c>
      <c r="F139" s="1203"/>
      <c r="G139" s="1203"/>
      <c r="H139" s="1204" t="s">
        <v>162</v>
      </c>
      <c r="I139" s="1235" t="s">
        <v>161</v>
      </c>
      <c r="J139" s="1316">
        <v>24</v>
      </c>
      <c r="K139" s="1211">
        <f t="shared" si="9"/>
        <v>2400000</v>
      </c>
      <c r="L139" s="1315"/>
      <c r="M139" s="1244">
        <f t="shared" si="10"/>
        <v>96000</v>
      </c>
      <c r="N139" s="1209"/>
      <c r="O139" s="1211"/>
      <c r="P139" s="1211"/>
      <c r="Q139" s="1211"/>
      <c r="R139" s="1211"/>
      <c r="S139" s="1211"/>
      <c r="T139" s="1209"/>
    </row>
    <row r="140" spans="1:20" s="1191" customFormat="1" x14ac:dyDescent="0.2">
      <c r="E140" s="1307">
        <v>1</v>
      </c>
      <c r="F140" s="1203"/>
      <c r="G140" s="1203"/>
      <c r="H140" s="1204" t="s">
        <v>163</v>
      </c>
      <c r="I140" s="1235" t="s">
        <v>161</v>
      </c>
      <c r="J140" s="1316">
        <v>9</v>
      </c>
      <c r="K140" s="1211">
        <f t="shared" si="9"/>
        <v>900000</v>
      </c>
      <c r="L140" s="1315"/>
      <c r="M140" s="1244">
        <f t="shared" si="10"/>
        <v>36000</v>
      </c>
      <c r="N140" s="1209"/>
      <c r="O140" s="1211"/>
      <c r="P140" s="1211"/>
      <c r="Q140" s="1211"/>
      <c r="R140" s="1211"/>
      <c r="S140" s="1211"/>
      <c r="T140" s="1209"/>
    </row>
    <row r="141" spans="1:20" s="1191" customFormat="1" x14ac:dyDescent="0.2">
      <c r="E141" s="1307">
        <v>1</v>
      </c>
      <c r="F141" s="1203"/>
      <c r="G141" s="1203"/>
      <c r="H141" s="1204" t="s">
        <v>433</v>
      </c>
      <c r="I141" s="1235" t="s">
        <v>161</v>
      </c>
      <c r="J141" s="1314">
        <v>15</v>
      </c>
      <c r="K141" s="1211">
        <f t="shared" si="9"/>
        <v>1500000</v>
      </c>
      <c r="L141" s="1315"/>
      <c r="M141" s="1244">
        <f t="shared" si="10"/>
        <v>60000</v>
      </c>
      <c r="N141" s="1209"/>
      <c r="O141" s="1211"/>
      <c r="P141" s="1211"/>
      <c r="Q141" s="1211"/>
      <c r="R141" s="1211"/>
      <c r="S141" s="1211"/>
      <c r="T141" s="1209"/>
    </row>
    <row r="142" spans="1:20" s="1191" customFormat="1" x14ac:dyDescent="0.2">
      <c r="E142" s="1307">
        <v>1</v>
      </c>
      <c r="F142" s="1203"/>
      <c r="G142" s="1203"/>
      <c r="H142" s="1204" t="s">
        <v>434</v>
      </c>
      <c r="I142" s="1235" t="s">
        <v>161</v>
      </c>
      <c r="J142" s="1316">
        <f>1168/19.1-J141</f>
        <v>46.151832460732983</v>
      </c>
      <c r="K142" s="1211">
        <f t="shared" si="9"/>
        <v>4615183.2460732982</v>
      </c>
      <c r="L142" s="1315"/>
      <c r="M142" s="1244">
        <f t="shared" si="10"/>
        <v>184607.32984293194</v>
      </c>
      <c r="N142" s="1209"/>
      <c r="O142" s="1211"/>
      <c r="P142" s="1211"/>
      <c r="Q142" s="1211"/>
      <c r="R142" s="1211"/>
      <c r="S142" s="1211"/>
      <c r="T142" s="1209"/>
    </row>
    <row r="143" spans="1:20" s="1191" customFormat="1" x14ac:dyDescent="0.2">
      <c r="E143" s="1307">
        <v>1</v>
      </c>
      <c r="F143" s="1203"/>
      <c r="G143" s="1203"/>
      <c r="H143" s="1204" t="s">
        <v>167</v>
      </c>
      <c r="I143" s="1235" t="s">
        <v>168</v>
      </c>
      <c r="J143" s="1314">
        <v>80</v>
      </c>
      <c r="K143" s="1211">
        <f t="shared" si="9"/>
        <v>8000000</v>
      </c>
      <c r="L143" s="1315"/>
      <c r="M143" s="1244">
        <f t="shared" si="10"/>
        <v>320000</v>
      </c>
      <c r="N143" s="1209"/>
      <c r="O143" s="1211"/>
      <c r="P143" s="1211"/>
      <c r="Q143" s="1211"/>
      <c r="R143" s="1211"/>
      <c r="S143" s="1211"/>
      <c r="T143" s="1209"/>
    </row>
    <row r="144" spans="1:20" s="1191" customFormat="1" x14ac:dyDescent="0.2">
      <c r="E144" s="1307">
        <v>1</v>
      </c>
      <c r="F144" s="1203"/>
      <c r="G144" s="1203"/>
      <c r="H144" s="1204" t="s">
        <v>169</v>
      </c>
      <c r="I144" s="1235" t="s">
        <v>170</v>
      </c>
      <c r="J144" s="1314">
        <v>350</v>
      </c>
      <c r="K144" s="1211">
        <f>J144*J17*24</f>
        <v>2820720</v>
      </c>
      <c r="L144" s="1315"/>
      <c r="M144" s="1244">
        <f t="shared" si="10"/>
        <v>112828.8</v>
      </c>
      <c r="N144" s="1209"/>
      <c r="O144" s="1210" t="s">
        <v>171</v>
      </c>
      <c r="P144" s="1211"/>
      <c r="Q144" s="1211"/>
      <c r="R144" s="1211"/>
      <c r="S144" s="1211"/>
      <c r="T144" s="1209"/>
    </row>
    <row r="145" spans="1:20" s="1191" customFormat="1" x14ac:dyDescent="0.2">
      <c r="A145" s="1191" t="s">
        <v>707</v>
      </c>
      <c r="B145" s="1191" t="s">
        <v>594</v>
      </c>
      <c r="F145" s="1203"/>
      <c r="G145" s="1203"/>
      <c r="H145" s="1212" t="s">
        <v>172</v>
      </c>
      <c r="I145" s="1235" t="s">
        <v>173</v>
      </c>
      <c r="J145" s="1192"/>
      <c r="K145" s="1256">
        <f>SUM(K134:K144)</f>
        <v>25910248.795811519</v>
      </c>
      <c r="L145" s="1317">
        <v>0.04</v>
      </c>
      <c r="M145" s="1273">
        <f>L145*K145</f>
        <v>1036409.9518324608</v>
      </c>
      <c r="N145" s="1209"/>
      <c r="O145" s="1211"/>
      <c r="P145" s="1211"/>
      <c r="Q145" s="1211"/>
      <c r="R145" s="1211"/>
      <c r="S145" s="1211"/>
      <c r="T145" s="1209"/>
    </row>
    <row r="146" spans="1:20" s="1191" customFormat="1" x14ac:dyDescent="0.2">
      <c r="F146" s="1203"/>
      <c r="G146" s="1203"/>
      <c r="H146" s="1212" t="s">
        <v>174</v>
      </c>
      <c r="I146" s="1235" t="s">
        <v>175</v>
      </c>
      <c r="J146" s="1192"/>
      <c r="K146" s="1211">
        <f>K145/J18</f>
        <v>3214.9901722021436</v>
      </c>
      <c r="L146" s="1216"/>
      <c r="M146" s="1192"/>
      <c r="N146" s="1209"/>
      <c r="O146" s="1211"/>
      <c r="P146" s="1211"/>
      <c r="Q146" s="1211"/>
      <c r="R146" s="1211"/>
      <c r="S146" s="1211"/>
      <c r="T146" s="1209"/>
    </row>
    <row r="147" spans="1:20" s="1191" customFormat="1" x14ac:dyDescent="0.2">
      <c r="F147" s="1203"/>
      <c r="G147" s="1203"/>
      <c r="H147" s="1212"/>
      <c r="I147" s="1245" t="s">
        <v>435</v>
      </c>
      <c r="J147" s="1192"/>
      <c r="K147" s="1244">
        <f>K145/J15/1000</f>
        <v>259.10248795811515</v>
      </c>
      <c r="L147" s="1216"/>
      <c r="M147" s="1192"/>
      <c r="N147" s="1209"/>
      <c r="O147" s="1211"/>
      <c r="P147" s="1211"/>
      <c r="Q147" s="1211"/>
      <c r="R147" s="1211"/>
      <c r="S147" s="1211"/>
      <c r="T147" s="1209"/>
    </row>
    <row r="148" spans="1:20" s="1191" customFormat="1" ht="25.5" x14ac:dyDescent="0.2">
      <c r="F148" s="1203"/>
      <c r="G148" s="1196" t="s">
        <v>176</v>
      </c>
      <c r="H148" s="1275" t="s">
        <v>436</v>
      </c>
      <c r="I148" s="1276" t="s">
        <v>20</v>
      </c>
      <c r="J148" s="1198" t="s">
        <v>71</v>
      </c>
      <c r="K148" s="1198" t="s">
        <v>72</v>
      </c>
      <c r="L148" s="1199" t="s">
        <v>73</v>
      </c>
      <c r="M148" s="1198" t="s">
        <v>437</v>
      </c>
      <c r="N148" s="1202"/>
      <c r="O148" s="1318" t="s">
        <v>76</v>
      </c>
      <c r="P148" s="1187"/>
      <c r="Q148" s="1187"/>
      <c r="R148" s="1187"/>
      <c r="S148" s="1187"/>
      <c r="T148" s="1202"/>
    </row>
    <row r="149" spans="1:20" s="1191" customFormat="1" x14ac:dyDescent="0.2">
      <c r="F149" s="1203"/>
      <c r="G149" s="1203"/>
      <c r="H149" s="1204" t="str">
        <f>H33</f>
        <v>Screen rejects</v>
      </c>
      <c r="I149" s="1235" t="s">
        <v>50</v>
      </c>
      <c r="J149" s="1319">
        <f>P149</f>
        <v>0</v>
      </c>
      <c r="K149" s="1211">
        <f>M25</f>
        <v>2784.565282145325</v>
      </c>
      <c r="L149" s="1320">
        <v>0</v>
      </c>
      <c r="M149" s="1211">
        <f>L149*K149</f>
        <v>0</v>
      </c>
      <c r="N149" s="1209"/>
      <c r="O149" s="1210" t="s">
        <v>438</v>
      </c>
      <c r="P149" s="1210"/>
      <c r="Q149" s="1210"/>
      <c r="R149" s="1210"/>
      <c r="S149" s="1211"/>
      <c r="T149" s="1209"/>
    </row>
    <row r="150" spans="1:20" s="1191" customFormat="1" x14ac:dyDescent="0.2">
      <c r="F150" s="1203"/>
      <c r="G150" s="1203"/>
      <c r="H150" s="1204" t="str">
        <f>H34</f>
        <v>Bran - millrun</v>
      </c>
      <c r="I150" s="1235" t="s">
        <v>50</v>
      </c>
      <c r="J150" s="1235"/>
      <c r="K150" s="1211">
        <f>M26</f>
        <v>35797.133682690466</v>
      </c>
      <c r="L150" s="1321">
        <v>0</v>
      </c>
      <c r="M150" s="1211">
        <f>L150*K150</f>
        <v>0</v>
      </c>
      <c r="N150" s="1209"/>
      <c r="O150" s="1210" t="s">
        <v>438</v>
      </c>
      <c r="P150" s="1210"/>
      <c r="Q150" s="1210"/>
      <c r="R150" s="1210"/>
      <c r="S150" s="1211"/>
      <c r="T150" s="1209"/>
    </row>
    <row r="151" spans="1:20" s="1191" customFormat="1" x14ac:dyDescent="0.2">
      <c r="F151" s="1203"/>
      <c r="G151" s="1203"/>
      <c r="H151" s="1204" t="str">
        <f>H35</f>
        <v xml:space="preserve">Germ </v>
      </c>
      <c r="I151" s="1235" t="s">
        <v>50</v>
      </c>
      <c r="J151" s="1235"/>
      <c r="K151" s="1211">
        <f>M27</f>
        <v>8260.8770036977985</v>
      </c>
      <c r="L151" s="1321">
        <v>0</v>
      </c>
      <c r="M151" s="1211">
        <f>L151*K151</f>
        <v>0</v>
      </c>
      <c r="N151" s="1209"/>
      <c r="O151" s="1210" t="s">
        <v>438</v>
      </c>
      <c r="P151" s="1210"/>
      <c r="Q151" s="1210"/>
      <c r="R151" s="1210"/>
      <c r="S151" s="1211"/>
      <c r="T151" s="1209"/>
    </row>
    <row r="152" spans="1:20" s="1191" customFormat="1" x14ac:dyDescent="0.2">
      <c r="F152" s="1203"/>
      <c r="G152" s="1203"/>
      <c r="H152" s="1204" t="str">
        <f>H36</f>
        <v>Gluten</v>
      </c>
      <c r="I152" s="1235" t="s">
        <v>50</v>
      </c>
      <c r="J152" s="1235"/>
      <c r="K152" s="1211">
        <f>M28</f>
        <v>29312.789367959929</v>
      </c>
      <c r="L152" s="1320">
        <v>0</v>
      </c>
      <c r="M152" s="1211">
        <f>L152*K152</f>
        <v>0</v>
      </c>
      <c r="N152" s="1209"/>
      <c r="O152" s="1210" t="s">
        <v>439</v>
      </c>
      <c r="P152" s="1210"/>
      <c r="Q152" s="1210"/>
      <c r="R152" s="1210"/>
      <c r="S152" s="1211"/>
      <c r="T152" s="1209"/>
    </row>
    <row r="153" spans="1:20" s="1191" customFormat="1" x14ac:dyDescent="0.2">
      <c r="A153" s="1191" t="s">
        <v>708</v>
      </c>
      <c r="B153" s="1191" t="s">
        <v>722</v>
      </c>
      <c r="F153" s="1203"/>
      <c r="G153" s="1203"/>
      <c r="H153" s="1313" t="s">
        <v>477</v>
      </c>
      <c r="I153" s="1235"/>
      <c r="J153" s="1235"/>
      <c r="K153" s="1211">
        <f>K66</f>
        <v>21657.729972241421</v>
      </c>
      <c r="L153" s="1320">
        <v>20</v>
      </c>
      <c r="M153" s="1211">
        <f>L153*K153</f>
        <v>433154.5994448284</v>
      </c>
      <c r="N153" s="1209"/>
      <c r="O153" s="1210"/>
      <c r="P153" s="1210"/>
      <c r="Q153" s="1210"/>
      <c r="R153" s="1210"/>
      <c r="S153" s="1211"/>
      <c r="T153" s="1209"/>
    </row>
    <row r="154" spans="1:20" s="1191" customFormat="1" x14ac:dyDescent="0.2">
      <c r="F154" s="1203"/>
      <c r="G154" s="1203"/>
      <c r="H154" s="1212" t="s">
        <v>440</v>
      </c>
      <c r="I154" s="1235"/>
      <c r="J154" s="1192"/>
      <c r="K154" s="1192"/>
      <c r="L154" s="1216"/>
      <c r="M154" s="1273">
        <f>SUM(M149:M152)</f>
        <v>0</v>
      </c>
      <c r="N154" s="1209"/>
      <c r="O154" s="1211"/>
      <c r="P154" s="1211"/>
      <c r="Q154" s="1211"/>
      <c r="R154" s="1211"/>
      <c r="S154" s="1211"/>
      <c r="T154" s="1209"/>
    </row>
    <row r="155" spans="1:20" s="1191" customFormat="1" x14ac:dyDescent="0.2">
      <c r="F155" s="1203"/>
      <c r="G155" s="1224"/>
      <c r="H155" s="1283"/>
      <c r="I155" s="1284"/>
      <c r="J155" s="1225"/>
      <c r="K155" s="1225"/>
      <c r="L155" s="1227"/>
      <c r="M155" s="1322"/>
      <c r="N155" s="1228"/>
      <c r="O155" s="1229"/>
      <c r="P155" s="1229"/>
      <c r="Q155" s="1229"/>
      <c r="R155" s="1229"/>
      <c r="S155" s="1229"/>
      <c r="T155" s="1228"/>
    </row>
    <row r="156" spans="1:20" s="1191" customFormat="1" ht="38.25" x14ac:dyDescent="0.2">
      <c r="F156" s="1203"/>
      <c r="G156" s="1230" t="s">
        <v>189</v>
      </c>
      <c r="H156" s="1231" t="s">
        <v>441</v>
      </c>
      <c r="I156" s="1232" t="s">
        <v>20</v>
      </c>
      <c r="J156" s="1254" t="s">
        <v>213</v>
      </c>
      <c r="K156" s="1254" t="s">
        <v>72</v>
      </c>
      <c r="L156" s="1289" t="s">
        <v>73</v>
      </c>
      <c r="M156" s="1254" t="s">
        <v>130</v>
      </c>
      <c r="N156" s="1209"/>
      <c r="O156" s="1366" t="s">
        <v>1017</v>
      </c>
      <c r="P156" s="1211" t="s">
        <v>248</v>
      </c>
      <c r="Q156" s="1211"/>
      <c r="R156" s="1211"/>
      <c r="S156" s="1211"/>
      <c r="T156" s="1209"/>
    </row>
    <row r="157" spans="1:20" s="1191" customFormat="1" x14ac:dyDescent="0.2">
      <c r="F157" s="1203"/>
      <c r="G157" s="1203"/>
      <c r="H157" s="1267" t="s">
        <v>214</v>
      </c>
      <c r="I157" s="1235" t="s">
        <v>215</v>
      </c>
      <c r="J157" s="1236">
        <f>Assumptions!$F$13*P157</f>
        <v>1400</v>
      </c>
      <c r="K157" s="1210">
        <f>J15*1000*J47</f>
        <v>78900</v>
      </c>
      <c r="L157" s="1216">
        <f>2.2/32</f>
        <v>6.8750000000000006E-2</v>
      </c>
      <c r="M157" s="1211">
        <f>L157*K157*J157</f>
        <v>7594125</v>
      </c>
      <c r="N157" s="1209"/>
      <c r="O157" s="1211" t="s">
        <v>325</v>
      </c>
      <c r="P157" s="1211">
        <f>IF(O157="yes",1,2)</f>
        <v>2</v>
      </c>
      <c r="Q157" s="1211"/>
      <c r="R157" s="1211"/>
      <c r="S157" s="1211"/>
      <c r="T157" s="1209"/>
    </row>
    <row r="158" spans="1:20" s="1191" customFormat="1" x14ac:dyDescent="0.2">
      <c r="F158" s="1203"/>
      <c r="G158" s="1203"/>
      <c r="H158" s="1245"/>
      <c r="I158" s="1243"/>
      <c r="J158" s="1192"/>
      <c r="K158" s="1220"/>
      <c r="L158" s="1216"/>
      <c r="M158" s="1192"/>
      <c r="N158" s="1209"/>
      <c r="O158" s="1210"/>
      <c r="P158" s="1211"/>
      <c r="Q158" s="1211"/>
      <c r="R158" s="1211"/>
      <c r="S158" s="1211"/>
      <c r="T158" s="1209"/>
    </row>
    <row r="159" spans="1:20" s="1191" customFormat="1" x14ac:dyDescent="0.2">
      <c r="A159" s="1191" t="s">
        <v>710</v>
      </c>
      <c r="B159" s="1191" t="s">
        <v>184</v>
      </c>
      <c r="F159" s="1203"/>
      <c r="G159" s="1203"/>
      <c r="H159" s="1212" t="s">
        <v>216</v>
      </c>
      <c r="I159" s="1243"/>
      <c r="J159" s="1192"/>
      <c r="K159" s="1220"/>
      <c r="L159" s="1216"/>
      <c r="M159" s="1273">
        <f>M157</f>
        <v>7594125</v>
      </c>
      <c r="N159" s="1209"/>
      <c r="O159" s="1211"/>
      <c r="P159" s="1211"/>
      <c r="Q159" s="1211"/>
      <c r="R159" s="1211"/>
      <c r="S159" s="1211"/>
      <c r="T159" s="1209"/>
    </row>
    <row r="160" spans="1:20" s="1191" customFormat="1" x14ac:dyDescent="0.2">
      <c r="F160" s="1203"/>
      <c r="G160" s="1203"/>
      <c r="H160" s="1212"/>
      <c r="I160" s="1243"/>
      <c r="J160" s="1192"/>
      <c r="K160" s="1220"/>
      <c r="L160" s="1216"/>
      <c r="M160" s="1238"/>
      <c r="N160" s="1209"/>
      <c r="O160" s="1211"/>
      <c r="P160" s="1211"/>
      <c r="Q160" s="1211"/>
      <c r="R160" s="1211"/>
      <c r="S160" s="1211"/>
      <c r="T160" s="1209"/>
    </row>
    <row r="161" spans="1:20" s="1191" customFormat="1" ht="25.5" x14ac:dyDescent="0.2">
      <c r="F161" s="1203"/>
      <c r="G161" s="1196" t="s">
        <v>211</v>
      </c>
      <c r="H161" s="1275" t="s">
        <v>218</v>
      </c>
      <c r="I161" s="1276" t="s">
        <v>20</v>
      </c>
      <c r="J161" s="1198" t="s">
        <v>213</v>
      </c>
      <c r="K161" s="1198" t="s">
        <v>72</v>
      </c>
      <c r="L161" s="1199" t="s">
        <v>73</v>
      </c>
      <c r="M161" s="1198" t="s">
        <v>130</v>
      </c>
      <c r="N161" s="1202"/>
      <c r="O161" s="1318" t="s">
        <v>76</v>
      </c>
      <c r="P161" s="1187"/>
      <c r="Q161" s="1187"/>
      <c r="R161" s="1187"/>
      <c r="S161" s="1187"/>
      <c r="T161" s="1202"/>
    </row>
    <row r="162" spans="1:20" s="1191" customFormat="1" x14ac:dyDescent="0.2">
      <c r="F162" s="1203"/>
      <c r="G162" s="1230"/>
      <c r="H162" s="1204" t="s">
        <v>442</v>
      </c>
      <c r="I162" s="1235" t="s">
        <v>220</v>
      </c>
      <c r="J162" s="1263">
        <v>0</v>
      </c>
      <c r="K162" s="1210">
        <f>SUM(I250:I252)*1000000</f>
        <v>0</v>
      </c>
      <c r="L162" s="1323"/>
      <c r="M162" s="1244">
        <f t="shared" ref="M162:M167" si="11">J162*K162</f>
        <v>0</v>
      </c>
      <c r="N162" s="1209"/>
      <c r="O162" s="1290"/>
      <c r="P162" s="1211"/>
      <c r="Q162" s="1211"/>
      <c r="R162" s="1211"/>
      <c r="S162" s="1211"/>
      <c r="T162" s="1209"/>
    </row>
    <row r="163" spans="1:20" s="1191" customFormat="1" x14ac:dyDescent="0.2">
      <c r="F163" s="1203"/>
      <c r="G163" s="1230"/>
      <c r="H163" s="1204" t="s">
        <v>443</v>
      </c>
      <c r="I163" s="1235" t="s">
        <v>220</v>
      </c>
      <c r="J163" s="1263">
        <v>0.03</v>
      </c>
      <c r="K163" s="1210">
        <f>SUM(I253:I256)*1000000</f>
        <v>54000000</v>
      </c>
      <c r="L163" s="1323"/>
      <c r="M163" s="1244">
        <f t="shared" si="11"/>
        <v>1620000</v>
      </c>
      <c r="N163" s="1209"/>
      <c r="O163" s="1290"/>
      <c r="P163" s="1211"/>
      <c r="Q163" s="1211"/>
      <c r="R163" s="1211"/>
      <c r="S163" s="1211"/>
      <c r="T163" s="1209"/>
    </row>
    <row r="164" spans="1:20" s="1191" customFormat="1" x14ac:dyDescent="0.2">
      <c r="F164" s="1203"/>
      <c r="G164" s="1230"/>
      <c r="H164" s="1204" t="s">
        <v>444</v>
      </c>
      <c r="I164" s="1235" t="s">
        <v>220</v>
      </c>
      <c r="J164" s="1263">
        <v>0.03</v>
      </c>
      <c r="K164" s="1210">
        <f>SUM(I257:I258)*1000000</f>
        <v>14000000</v>
      </c>
      <c r="L164" s="1323"/>
      <c r="M164" s="1244">
        <f t="shared" si="11"/>
        <v>420000</v>
      </c>
      <c r="N164" s="1209"/>
      <c r="O164" s="1211"/>
      <c r="P164" s="1211"/>
      <c r="Q164" s="1211"/>
      <c r="R164" s="1211"/>
      <c r="S164" s="1211"/>
      <c r="T164" s="1209"/>
    </row>
    <row r="165" spans="1:20" s="1191" customFormat="1" x14ac:dyDescent="0.2">
      <c r="F165" s="1203"/>
      <c r="G165" s="1230"/>
      <c r="H165" s="1204" t="s">
        <v>221</v>
      </c>
      <c r="I165" s="1235" t="s">
        <v>220</v>
      </c>
      <c r="J165" s="1263">
        <v>0.03</v>
      </c>
      <c r="K165" s="1191">
        <f>I259*1000000</f>
        <v>13000000</v>
      </c>
      <c r="L165" s="1323"/>
      <c r="M165" s="1244">
        <f t="shared" si="11"/>
        <v>390000</v>
      </c>
      <c r="N165" s="1209"/>
      <c r="O165" s="1211"/>
      <c r="P165" s="1211"/>
      <c r="Q165" s="1211"/>
      <c r="R165" s="1211"/>
      <c r="S165" s="1211"/>
      <c r="T165" s="1209"/>
    </row>
    <row r="166" spans="1:20" s="1191" customFormat="1" x14ac:dyDescent="0.2">
      <c r="F166" s="1203"/>
      <c r="G166" s="1230"/>
      <c r="H166" s="1204" t="s">
        <v>222</v>
      </c>
      <c r="I166" s="1235" t="s">
        <v>220</v>
      </c>
      <c r="J166" s="1263">
        <v>0.03</v>
      </c>
      <c r="K166" s="1210">
        <f>I260*1000000</f>
        <v>10000000</v>
      </c>
      <c r="L166" s="1323"/>
      <c r="M166" s="1244">
        <f t="shared" si="11"/>
        <v>300000</v>
      </c>
      <c r="N166" s="1209"/>
      <c r="O166" s="1211"/>
      <c r="P166" s="1211"/>
      <c r="Q166" s="1211"/>
      <c r="R166" s="1211"/>
      <c r="S166" s="1211"/>
      <c r="T166" s="1209"/>
    </row>
    <row r="167" spans="1:20" s="1191" customFormat="1" x14ac:dyDescent="0.2">
      <c r="F167" s="1203"/>
      <c r="G167" s="1230"/>
      <c r="H167" s="1204" t="s">
        <v>129</v>
      </c>
      <c r="I167" s="1235" t="s">
        <v>220</v>
      </c>
      <c r="J167" s="1263">
        <v>0.03</v>
      </c>
      <c r="K167" s="1210">
        <f>SUM(J261,J266:K266)*1000000</f>
        <v>15380000.000000002</v>
      </c>
      <c r="L167" s="1323"/>
      <c r="M167" s="1244">
        <f t="shared" si="11"/>
        <v>461400.00000000006</v>
      </c>
      <c r="N167" s="1209"/>
      <c r="O167" s="1211"/>
      <c r="P167" s="1211"/>
      <c r="Q167" s="1211"/>
      <c r="R167" s="1211"/>
      <c r="S167" s="1211"/>
      <c r="T167" s="1209"/>
    </row>
    <row r="168" spans="1:20" s="1191" customFormat="1" x14ac:dyDescent="0.2">
      <c r="A168" s="1191" t="s">
        <v>711</v>
      </c>
      <c r="B168" s="1191" t="s">
        <v>218</v>
      </c>
      <c r="F168" s="1203"/>
      <c r="G168" s="1230"/>
      <c r="H168" s="1212" t="s">
        <v>445</v>
      </c>
      <c r="I168" s="1235"/>
      <c r="J168" s="1204"/>
      <c r="K168" s="1204"/>
      <c r="L168" s="1216"/>
      <c r="M168" s="1273">
        <f>SUM(M162:M167)</f>
        <v>3191400</v>
      </c>
      <c r="N168" s="1209"/>
      <c r="O168" s="1211"/>
      <c r="P168" s="1211"/>
      <c r="Q168" s="1211"/>
      <c r="R168" s="1211"/>
      <c r="S168" s="1211"/>
      <c r="T168" s="1209"/>
    </row>
    <row r="169" spans="1:20" s="1191" customFormat="1" x14ac:dyDescent="0.2">
      <c r="F169" s="1203"/>
      <c r="G169" s="1324"/>
      <c r="H169" s="1325"/>
      <c r="I169" s="1284"/>
      <c r="J169" s="1325"/>
      <c r="K169" s="1325"/>
      <c r="L169" s="1227"/>
      <c r="M169" s="1225"/>
      <c r="N169" s="1228"/>
      <c r="O169" s="1229"/>
      <c r="P169" s="1229"/>
      <c r="Q169" s="1229"/>
      <c r="R169" s="1229"/>
      <c r="S169" s="1229"/>
      <c r="T169" s="1228"/>
    </row>
    <row r="170" spans="1:20" s="1191" customFormat="1" ht="25.5" x14ac:dyDescent="0.2">
      <c r="F170" s="1203"/>
      <c r="G170" s="1196" t="s">
        <v>217</v>
      </c>
      <c r="H170" s="1275" t="s">
        <v>190</v>
      </c>
      <c r="I170" s="1276" t="s">
        <v>20</v>
      </c>
      <c r="J170" s="1198" t="s">
        <v>71</v>
      </c>
      <c r="K170" s="1198" t="s">
        <v>72</v>
      </c>
      <c r="L170" s="1199" t="s">
        <v>73</v>
      </c>
      <c r="M170" s="1198" t="s">
        <v>130</v>
      </c>
      <c r="N170" s="1202"/>
      <c r="O170" s="1318" t="s">
        <v>76</v>
      </c>
      <c r="P170" s="1187"/>
      <c r="Q170" s="1187"/>
      <c r="R170" s="1187"/>
      <c r="S170" s="1187"/>
      <c r="T170" s="1202"/>
    </row>
    <row r="171" spans="1:20" s="1191" customFormat="1" x14ac:dyDescent="0.2">
      <c r="F171" s="1203"/>
      <c r="G171" s="1203"/>
      <c r="H171" s="1204" t="s">
        <v>191</v>
      </c>
      <c r="I171" s="1235" t="s">
        <v>192</v>
      </c>
      <c r="J171" s="1326">
        <v>1</v>
      </c>
      <c r="K171" s="1327">
        <f t="shared" ref="K171:K179" si="12">J171</f>
        <v>1</v>
      </c>
      <c r="L171" s="1274">
        <v>185000</v>
      </c>
      <c r="M171" s="1244">
        <f t="shared" ref="M171:M181" si="13">K171*L171</f>
        <v>185000</v>
      </c>
      <c r="N171" s="1209"/>
      <c r="O171" s="1211"/>
      <c r="P171" s="1211"/>
      <c r="Q171" s="1211"/>
      <c r="R171" s="1211"/>
      <c r="S171" s="1211"/>
      <c r="T171" s="1209"/>
    </row>
    <row r="172" spans="1:20" s="1191" customFormat="1" x14ac:dyDescent="0.2">
      <c r="F172" s="1203"/>
      <c r="G172" s="1203"/>
      <c r="H172" s="1204" t="s">
        <v>193</v>
      </c>
      <c r="I172" s="1235" t="s">
        <v>192</v>
      </c>
      <c r="J172" s="1326">
        <v>1</v>
      </c>
      <c r="K172" s="1327">
        <f t="shared" si="12"/>
        <v>1</v>
      </c>
      <c r="L172" s="1274">
        <v>145000</v>
      </c>
      <c r="M172" s="1244">
        <f t="shared" si="13"/>
        <v>145000</v>
      </c>
      <c r="N172" s="1209"/>
      <c r="O172" s="1211"/>
      <c r="P172" s="1211"/>
      <c r="Q172" s="1211"/>
      <c r="R172" s="1211"/>
      <c r="S172" s="1211"/>
      <c r="T172" s="1209"/>
    </row>
    <row r="173" spans="1:20" s="1191" customFormat="1" x14ac:dyDescent="0.2">
      <c r="F173" s="1203"/>
      <c r="G173" s="1203"/>
      <c r="H173" s="1204" t="s">
        <v>194</v>
      </c>
      <c r="I173" s="1235" t="s">
        <v>192</v>
      </c>
      <c r="J173" s="1326">
        <v>1</v>
      </c>
      <c r="K173" s="1327">
        <f t="shared" si="12"/>
        <v>1</v>
      </c>
      <c r="L173" s="1274">
        <v>155000</v>
      </c>
      <c r="M173" s="1244">
        <f t="shared" si="13"/>
        <v>155000</v>
      </c>
      <c r="N173" s="1209"/>
      <c r="O173" s="1328"/>
      <c r="P173" s="1211"/>
      <c r="Q173" s="1211"/>
      <c r="R173" s="1211"/>
      <c r="S173" s="1211"/>
      <c r="T173" s="1209"/>
    </row>
    <row r="174" spans="1:20" s="1191" customFormat="1" x14ac:dyDescent="0.2">
      <c r="F174" s="1203"/>
      <c r="G174" s="1203"/>
      <c r="H174" s="1204" t="s">
        <v>195</v>
      </c>
      <c r="I174" s="1235" t="s">
        <v>192</v>
      </c>
      <c r="J174" s="1326">
        <v>3</v>
      </c>
      <c r="K174" s="1327">
        <f t="shared" si="12"/>
        <v>3</v>
      </c>
      <c r="L174" s="1274">
        <v>75000</v>
      </c>
      <c r="M174" s="1244">
        <f t="shared" si="13"/>
        <v>225000</v>
      </c>
      <c r="N174" s="1209"/>
      <c r="O174" s="1211" t="s">
        <v>691</v>
      </c>
      <c r="P174" s="1211"/>
      <c r="Q174" s="1211"/>
      <c r="R174" s="1211"/>
      <c r="S174" s="1211"/>
      <c r="T174" s="1209"/>
    </row>
    <row r="175" spans="1:20" s="1191" customFormat="1" x14ac:dyDescent="0.2">
      <c r="F175" s="1203"/>
      <c r="G175" s="1203"/>
      <c r="H175" s="1204" t="s">
        <v>197</v>
      </c>
      <c r="I175" s="1235" t="s">
        <v>192</v>
      </c>
      <c r="J175" s="1326">
        <v>1</v>
      </c>
      <c r="K175" s="1327">
        <f t="shared" si="12"/>
        <v>1</v>
      </c>
      <c r="L175" s="1274">
        <v>145000</v>
      </c>
      <c r="M175" s="1244">
        <f t="shared" si="13"/>
        <v>145000</v>
      </c>
      <c r="N175" s="1209"/>
      <c r="O175" s="1211"/>
      <c r="P175" s="1211"/>
      <c r="Q175" s="1211"/>
      <c r="R175" s="1211"/>
      <c r="S175" s="1211"/>
      <c r="T175" s="1209"/>
    </row>
    <row r="176" spans="1:20" s="1191" customFormat="1" x14ac:dyDescent="0.2">
      <c r="F176" s="1203"/>
      <c r="G176" s="1203"/>
      <c r="H176" s="1204" t="s">
        <v>198</v>
      </c>
      <c r="I176" s="1235" t="s">
        <v>192</v>
      </c>
      <c r="J176" s="1326">
        <v>1</v>
      </c>
      <c r="K176" s="1327">
        <f t="shared" si="12"/>
        <v>1</v>
      </c>
      <c r="L176" s="1274">
        <v>145000</v>
      </c>
      <c r="M176" s="1244">
        <f t="shared" si="13"/>
        <v>145000</v>
      </c>
      <c r="N176" s="1209"/>
      <c r="O176" s="1211"/>
      <c r="P176" s="1211"/>
      <c r="Q176" s="1211"/>
      <c r="R176" s="1211"/>
      <c r="S176" s="1211"/>
      <c r="T176" s="1209"/>
    </row>
    <row r="177" spans="1:20" s="1191" customFormat="1" x14ac:dyDescent="0.2">
      <c r="F177" s="1203"/>
      <c r="G177" s="1203"/>
      <c r="H177" s="1204" t="s">
        <v>199</v>
      </c>
      <c r="I177" s="1235" t="s">
        <v>192</v>
      </c>
      <c r="J177" s="1326">
        <v>5</v>
      </c>
      <c r="K177" s="1327">
        <f t="shared" si="12"/>
        <v>5</v>
      </c>
      <c r="L177" s="1274">
        <v>75000</v>
      </c>
      <c r="M177" s="1244">
        <f t="shared" si="13"/>
        <v>375000</v>
      </c>
      <c r="N177" s="1209"/>
      <c r="O177" s="1328"/>
      <c r="P177" s="1211"/>
      <c r="Q177" s="1211"/>
      <c r="R177" s="1211"/>
      <c r="S177" s="1211"/>
      <c r="T177" s="1209"/>
    </row>
    <row r="178" spans="1:20" s="1191" customFormat="1" x14ac:dyDescent="0.2">
      <c r="F178" s="1203"/>
      <c r="G178" s="1203"/>
      <c r="H178" s="1204" t="s">
        <v>200</v>
      </c>
      <c r="I178" s="1235" t="s">
        <v>192</v>
      </c>
      <c r="J178" s="1326">
        <v>1</v>
      </c>
      <c r="K178" s="1327">
        <f t="shared" si="12"/>
        <v>1</v>
      </c>
      <c r="L178" s="1274">
        <v>55000</v>
      </c>
      <c r="M178" s="1244">
        <f t="shared" si="13"/>
        <v>55000</v>
      </c>
      <c r="N178" s="1209"/>
      <c r="O178" s="1211"/>
      <c r="P178" s="1211"/>
      <c r="Q178" s="1211"/>
      <c r="R178" s="1211"/>
      <c r="S178" s="1211"/>
      <c r="T178" s="1209"/>
    </row>
    <row r="179" spans="1:20" s="1191" customFormat="1" x14ac:dyDescent="0.2">
      <c r="F179" s="1203"/>
      <c r="G179" s="1203"/>
      <c r="H179" s="1204" t="s">
        <v>201</v>
      </c>
      <c r="I179" s="1235" t="s">
        <v>192</v>
      </c>
      <c r="J179" s="1326">
        <v>1</v>
      </c>
      <c r="K179" s="1327">
        <f t="shared" si="12"/>
        <v>1</v>
      </c>
      <c r="L179" s="1274">
        <v>65000</v>
      </c>
      <c r="M179" s="1244">
        <f t="shared" si="13"/>
        <v>65000</v>
      </c>
      <c r="N179" s="1209"/>
      <c r="O179" s="1211" t="s">
        <v>454</v>
      </c>
      <c r="P179" s="1211"/>
      <c r="Q179" s="1211"/>
      <c r="R179" s="1211"/>
      <c r="S179" s="1211"/>
      <c r="T179" s="1209"/>
    </row>
    <row r="180" spans="1:20" s="1191" customFormat="1" x14ac:dyDescent="0.2">
      <c r="F180" s="1203"/>
      <c r="G180" s="1203"/>
      <c r="H180" s="1204" t="s">
        <v>202</v>
      </c>
      <c r="I180" s="1235" t="s">
        <v>192</v>
      </c>
      <c r="J180" s="1326">
        <v>1</v>
      </c>
      <c r="K180" s="1329">
        <f>J180*P180</f>
        <v>3</v>
      </c>
      <c r="L180" s="1274">
        <v>50000</v>
      </c>
      <c r="M180" s="1244">
        <f t="shared" si="13"/>
        <v>150000</v>
      </c>
      <c r="N180" s="1209"/>
      <c r="O180" s="1330" t="s">
        <v>206</v>
      </c>
      <c r="P180" s="1236">
        <v>3</v>
      </c>
      <c r="Q180" s="1211"/>
      <c r="R180" s="1211"/>
      <c r="S180" s="1211"/>
      <c r="T180" s="1209"/>
    </row>
    <row r="181" spans="1:20" s="1191" customFormat="1" x14ac:dyDescent="0.2">
      <c r="F181" s="1203"/>
      <c r="G181" s="1203"/>
      <c r="H181" s="1204" t="s">
        <v>204</v>
      </c>
      <c r="I181" s="1235" t="s">
        <v>205</v>
      </c>
      <c r="J181" s="1326">
        <v>3</v>
      </c>
      <c r="K181" s="1327">
        <f>J181*P181</f>
        <v>12</v>
      </c>
      <c r="L181" s="1274">
        <v>65000</v>
      </c>
      <c r="M181" s="1244">
        <f t="shared" si="13"/>
        <v>780000</v>
      </c>
      <c r="N181" s="1209"/>
      <c r="O181" s="1210" t="s">
        <v>206</v>
      </c>
      <c r="P181" s="1236">
        <v>4</v>
      </c>
      <c r="Q181" s="1210"/>
      <c r="R181" s="1328" t="s">
        <v>494</v>
      </c>
      <c r="S181" s="1211"/>
      <c r="T181" s="1209"/>
    </row>
    <row r="182" spans="1:20" s="1191" customFormat="1" x14ac:dyDescent="0.2">
      <c r="F182" s="1203"/>
      <c r="G182" s="1203"/>
      <c r="H182" s="1245" t="s">
        <v>207</v>
      </c>
      <c r="I182" s="1243"/>
      <c r="J182" s="1192"/>
      <c r="K182" s="1331">
        <f>SUM(K171:K181)</f>
        <v>30</v>
      </c>
      <c r="L182" s="1216"/>
      <c r="M182" s="1312">
        <f>SUM(M171:M181)</f>
        <v>2425000</v>
      </c>
      <c r="N182" s="1209"/>
      <c r="O182" s="1211"/>
      <c r="P182" s="1211"/>
      <c r="Q182" s="1211"/>
      <c r="R182" s="1211"/>
      <c r="S182" s="1211"/>
      <c r="T182" s="1209"/>
    </row>
    <row r="183" spans="1:20" s="1191" customFormat="1" x14ac:dyDescent="0.2">
      <c r="F183" s="1203"/>
      <c r="G183" s="1203"/>
      <c r="H183" s="1245" t="s">
        <v>208</v>
      </c>
      <c r="I183" s="1235" t="s">
        <v>209</v>
      </c>
      <c r="J183" s="1332">
        <v>0.2</v>
      </c>
      <c r="K183" s="1238">
        <f>M182</f>
        <v>2425000</v>
      </c>
      <c r="L183" s="1216"/>
      <c r="M183" s="1244">
        <f>K183*J183</f>
        <v>485000</v>
      </c>
      <c r="N183" s="1209"/>
      <c r="O183" s="1211"/>
      <c r="P183" s="1211"/>
      <c r="Q183" s="1211"/>
      <c r="R183" s="1211"/>
      <c r="S183" s="1211"/>
      <c r="T183" s="1209"/>
    </row>
    <row r="184" spans="1:20" s="1191" customFormat="1" x14ac:dyDescent="0.2">
      <c r="A184" s="1191" t="s">
        <v>709</v>
      </c>
      <c r="B184" s="1191" t="s">
        <v>190</v>
      </c>
      <c r="F184" s="1203"/>
      <c r="G184" s="1203"/>
      <c r="H184" s="1212" t="s">
        <v>210</v>
      </c>
      <c r="I184" s="1243"/>
      <c r="J184" s="1192"/>
      <c r="K184" s="1220"/>
      <c r="L184" s="1216"/>
      <c r="M184" s="1256">
        <f>SUM(M182:M183)</f>
        <v>2910000</v>
      </c>
      <c r="N184" s="1209"/>
      <c r="O184" s="1211"/>
      <c r="P184" s="1211"/>
      <c r="Q184" s="1211"/>
      <c r="R184" s="1211"/>
      <c r="S184" s="1211"/>
      <c r="T184" s="1209"/>
    </row>
    <row r="185" spans="1:20" s="1191" customFormat="1" x14ac:dyDescent="0.2">
      <c r="F185" s="1203"/>
      <c r="G185" s="1224"/>
      <c r="H185" s="1303"/>
      <c r="I185" s="1226"/>
      <c r="J185" s="1225"/>
      <c r="K185" s="1302"/>
      <c r="L185" s="1227"/>
      <c r="M185" s="1225"/>
      <c r="N185" s="1228"/>
      <c r="O185" s="1229"/>
      <c r="P185" s="1229"/>
      <c r="Q185" s="1229"/>
      <c r="R185" s="1229"/>
      <c r="S185" s="1229"/>
      <c r="T185" s="1228"/>
    </row>
    <row r="186" spans="1:20" s="1191" customFormat="1" ht="25.5" x14ac:dyDescent="0.2">
      <c r="F186" s="1203"/>
      <c r="G186" s="1196" t="s">
        <v>447</v>
      </c>
      <c r="H186" s="1275" t="s">
        <v>448</v>
      </c>
      <c r="I186" s="1276" t="s">
        <v>20</v>
      </c>
      <c r="J186" s="1198" t="s">
        <v>213</v>
      </c>
      <c r="K186" s="1198" t="s">
        <v>72</v>
      </c>
      <c r="L186" s="1199" t="s">
        <v>73</v>
      </c>
      <c r="M186" s="1198" t="s">
        <v>130</v>
      </c>
      <c r="N186" s="1202"/>
      <c r="O186" s="1318" t="s">
        <v>76</v>
      </c>
      <c r="P186" s="1211"/>
      <c r="Q186" s="1211"/>
      <c r="R186" s="1211"/>
      <c r="S186" s="1211"/>
      <c r="T186" s="1209"/>
    </row>
    <row r="187" spans="1:20" s="1191" customFormat="1" x14ac:dyDescent="0.2">
      <c r="F187" s="1203"/>
      <c r="G187" s="1203"/>
      <c r="H187" s="1204" t="s">
        <v>224</v>
      </c>
      <c r="I187" s="1235" t="s">
        <v>225</v>
      </c>
      <c r="J187" s="1294">
        <v>20</v>
      </c>
      <c r="K187" s="1192">
        <f>J187</f>
        <v>20</v>
      </c>
      <c r="L187" s="1274">
        <v>2000</v>
      </c>
      <c r="M187" s="1211">
        <f>L187*K187</f>
        <v>40000</v>
      </c>
      <c r="N187" s="1209"/>
      <c r="O187" s="1211"/>
      <c r="P187" s="1211"/>
      <c r="Q187" s="1211"/>
      <c r="R187" s="1211"/>
      <c r="S187" s="1211"/>
      <c r="T187" s="1209"/>
    </row>
    <row r="188" spans="1:20" s="1191" customFormat="1" x14ac:dyDescent="0.2">
      <c r="F188" s="1203"/>
      <c r="G188" s="1203"/>
      <c r="H188" s="1204" t="s">
        <v>226</v>
      </c>
      <c r="I188" s="1235" t="s">
        <v>227</v>
      </c>
      <c r="J188" s="1294"/>
      <c r="K188" s="1192"/>
      <c r="L188" s="1208"/>
      <c r="M188" s="1211">
        <f>L188*K188</f>
        <v>0</v>
      </c>
      <c r="N188" s="1209"/>
      <c r="O188" s="1210" t="s">
        <v>228</v>
      </c>
      <c r="P188" s="1211"/>
      <c r="Q188" s="1211"/>
      <c r="R188" s="1211"/>
      <c r="S188" s="1211"/>
      <c r="T188" s="1209"/>
    </row>
    <row r="189" spans="1:20" s="1191" customFormat="1" x14ac:dyDescent="0.2">
      <c r="F189" s="1203"/>
      <c r="G189" s="1203"/>
      <c r="H189" s="1204" t="s">
        <v>229</v>
      </c>
      <c r="I189" s="1235" t="s">
        <v>227</v>
      </c>
      <c r="J189" s="1236">
        <v>1</v>
      </c>
      <c r="K189" s="1211">
        <f>J189</f>
        <v>1</v>
      </c>
      <c r="L189" s="1274">
        <v>150000</v>
      </c>
      <c r="M189" s="1211">
        <f>L189*K189</f>
        <v>150000</v>
      </c>
      <c r="N189" s="1209"/>
      <c r="O189" s="1211"/>
      <c r="P189" s="1211"/>
      <c r="Q189" s="1211"/>
      <c r="R189" s="1211"/>
      <c r="S189" s="1211"/>
      <c r="T189" s="1209"/>
    </row>
    <row r="190" spans="1:20" s="1191" customFormat="1" x14ac:dyDescent="0.2">
      <c r="F190" s="1203"/>
      <c r="G190" s="1203"/>
      <c r="H190" s="1204" t="s">
        <v>449</v>
      </c>
      <c r="I190" s="1235" t="s">
        <v>227</v>
      </c>
      <c r="J190" s="1236">
        <v>1</v>
      </c>
      <c r="K190" s="1211">
        <f>J190</f>
        <v>1</v>
      </c>
      <c r="L190" s="1274">
        <v>1000000</v>
      </c>
      <c r="M190" s="1211">
        <f>L190*K190</f>
        <v>1000000</v>
      </c>
      <c r="N190" s="1209"/>
      <c r="O190" s="1211"/>
      <c r="P190" s="1211"/>
      <c r="Q190" s="1211"/>
      <c r="R190" s="1211"/>
      <c r="S190" s="1211"/>
      <c r="T190" s="1209"/>
    </row>
    <row r="191" spans="1:20" s="1191" customFormat="1" x14ac:dyDescent="0.2">
      <c r="F191" s="1203"/>
      <c r="G191" s="1203"/>
      <c r="H191" s="1204" t="s">
        <v>231</v>
      </c>
      <c r="I191" s="1235" t="s">
        <v>220</v>
      </c>
      <c r="J191" s="1333">
        <v>3.0000000000000001E-3</v>
      </c>
      <c r="K191" s="1334">
        <f>SUM(J268:K268)*1000000</f>
        <v>147180000</v>
      </c>
      <c r="L191" s="1208">
        <f>K191*J191</f>
        <v>441540</v>
      </c>
      <c r="M191" s="1211">
        <f>L191</f>
        <v>441540</v>
      </c>
      <c r="N191" s="1209"/>
      <c r="O191" s="1211"/>
      <c r="P191" s="1211"/>
      <c r="Q191" s="1211"/>
      <c r="R191" s="1211"/>
      <c r="S191" s="1211"/>
      <c r="T191" s="1209"/>
    </row>
    <row r="192" spans="1:20" s="1191" customFormat="1" x14ac:dyDescent="0.2">
      <c r="F192" s="1203"/>
      <c r="G192" s="1203"/>
      <c r="H192" s="1204" t="s">
        <v>232</v>
      </c>
      <c r="I192" s="1235" t="s">
        <v>233</v>
      </c>
      <c r="J192" s="1335">
        <v>75</v>
      </c>
      <c r="K192" s="1244">
        <f>J192</f>
        <v>75</v>
      </c>
      <c r="L192" s="1274">
        <v>1000</v>
      </c>
      <c r="M192" s="1211">
        <f>L192*K192</f>
        <v>75000</v>
      </c>
      <c r="N192" s="1209"/>
      <c r="O192" s="1211"/>
      <c r="P192" s="1211"/>
      <c r="Q192" s="1211"/>
      <c r="R192" s="1211"/>
      <c r="S192" s="1211"/>
      <c r="T192" s="1209"/>
    </row>
    <row r="193" spans="1:27" s="1191" customFormat="1" x14ac:dyDescent="0.2">
      <c r="F193" s="1203"/>
      <c r="G193" s="1203"/>
      <c r="H193" s="1204" t="s">
        <v>234</v>
      </c>
      <c r="I193" s="1235" t="s">
        <v>235</v>
      </c>
      <c r="J193" s="1294">
        <v>200</v>
      </c>
      <c r="K193" s="1240">
        <f>J17</f>
        <v>335.8</v>
      </c>
      <c r="L193" s="1208">
        <f>K193*J193</f>
        <v>67160</v>
      </c>
      <c r="M193" s="1211">
        <f>L193</f>
        <v>67160</v>
      </c>
      <c r="N193" s="1209"/>
      <c r="O193" s="1211"/>
      <c r="P193" s="1211"/>
      <c r="Q193" s="1211"/>
      <c r="R193" s="1211"/>
      <c r="S193" s="1211"/>
      <c r="T193" s="1209"/>
    </row>
    <row r="194" spans="1:27" x14ac:dyDescent="0.2">
      <c r="A194" s="1107" t="s">
        <v>712</v>
      </c>
      <c r="B194" s="1107" t="s">
        <v>448</v>
      </c>
      <c r="F194" s="1203"/>
      <c r="G194" s="1203"/>
      <c r="H194" s="1212" t="s">
        <v>364</v>
      </c>
      <c r="I194" s="1243"/>
      <c r="J194" s="1192"/>
      <c r="K194" s="1192"/>
      <c r="L194" s="1216"/>
      <c r="M194" s="1256">
        <f>SUM(M187:M193)*(1-O194)</f>
        <v>1241590</v>
      </c>
      <c r="N194" s="1209"/>
      <c r="O194" s="1263">
        <v>0.3</v>
      </c>
      <c r="P194" s="1211" t="s">
        <v>863</v>
      </c>
      <c r="Q194" s="1211"/>
      <c r="R194" s="1211"/>
      <c r="S194" s="1211"/>
      <c r="T194" s="1209"/>
    </row>
    <row r="195" spans="1:27" x14ac:dyDescent="0.2">
      <c r="F195" s="1203"/>
      <c r="G195" s="1203"/>
      <c r="H195" s="1212"/>
      <c r="I195" s="1243"/>
      <c r="J195" s="1192"/>
      <c r="K195" s="1192"/>
      <c r="L195" s="1216"/>
      <c r="M195" s="1192"/>
      <c r="N195" s="1209"/>
      <c r="O195" s="1211"/>
      <c r="P195" s="1211"/>
      <c r="Q195" s="1211"/>
      <c r="R195" s="1211"/>
      <c r="S195" s="1211"/>
      <c r="T195" s="1209"/>
    </row>
    <row r="196" spans="1:27" ht="25.5" x14ac:dyDescent="0.2">
      <c r="F196" s="1203"/>
      <c r="G196" s="1196" t="s">
        <v>450</v>
      </c>
      <c r="H196" s="1336" t="s">
        <v>451</v>
      </c>
      <c r="I196" s="1276" t="s">
        <v>20</v>
      </c>
      <c r="J196" s="1198" t="s">
        <v>213</v>
      </c>
      <c r="K196" s="1198" t="s">
        <v>72</v>
      </c>
      <c r="L196" s="1199" t="s">
        <v>73</v>
      </c>
      <c r="M196" s="1198" t="s">
        <v>130</v>
      </c>
      <c r="N196" s="1202"/>
      <c r="O196" s="1318" t="s">
        <v>76</v>
      </c>
      <c r="P196" s="1187"/>
      <c r="Q196" s="1187"/>
      <c r="R196" s="1187"/>
      <c r="S196" s="1187"/>
      <c r="T196" s="1202"/>
    </row>
    <row r="197" spans="1:27" x14ac:dyDescent="0.2">
      <c r="F197" s="1203"/>
      <c r="G197" s="1203"/>
      <c r="H197" s="1204" t="s">
        <v>237</v>
      </c>
      <c r="I197" s="1235" t="s">
        <v>238</v>
      </c>
      <c r="J197" s="1294"/>
      <c r="K197" s="1192"/>
      <c r="L197" s="1299"/>
      <c r="M197" s="1192"/>
      <c r="N197" s="1209"/>
      <c r="O197" s="1211"/>
      <c r="P197" s="1211"/>
      <c r="Q197" s="1211"/>
      <c r="R197" s="1211"/>
      <c r="S197" s="1211"/>
      <c r="T197" s="1209"/>
    </row>
    <row r="198" spans="1:27" ht="14.25" x14ac:dyDescent="0.2">
      <c r="F198" s="1203"/>
      <c r="G198" s="1203"/>
      <c r="H198" s="1204" t="s">
        <v>221</v>
      </c>
      <c r="I198" s="1235" t="s">
        <v>239</v>
      </c>
      <c r="J198" s="1335">
        <v>8000</v>
      </c>
      <c r="K198" s="1192"/>
      <c r="L198" s="1279"/>
      <c r="M198" s="1192"/>
      <c r="N198" s="1209"/>
      <c r="O198" s="1210" t="s">
        <v>240</v>
      </c>
      <c r="P198" s="1211"/>
      <c r="Q198" s="1236">
        <v>0.6</v>
      </c>
      <c r="R198" s="1210" t="s">
        <v>241</v>
      </c>
      <c r="S198" s="1236">
        <v>37</v>
      </c>
      <c r="T198" s="1241" t="s">
        <v>242</v>
      </c>
    </row>
    <row r="199" spans="1:27" x14ac:dyDescent="0.2">
      <c r="F199" s="1203"/>
      <c r="G199" s="1203"/>
      <c r="H199" s="1192"/>
      <c r="I199" s="1235" t="s">
        <v>243</v>
      </c>
      <c r="J199" s="1335">
        <f>J198*Q198*S198</f>
        <v>177600</v>
      </c>
      <c r="K199" s="1240">
        <f>J17</f>
        <v>335.8</v>
      </c>
      <c r="L199" s="1279">
        <f>7/1000</f>
        <v>7.0000000000000001E-3</v>
      </c>
      <c r="M199" s="1337"/>
      <c r="N199" s="1209"/>
      <c r="O199" s="1211"/>
      <c r="P199" s="1211"/>
      <c r="Q199" s="1211"/>
      <c r="R199" s="1211"/>
      <c r="S199" s="1211"/>
      <c r="T199" s="1209"/>
    </row>
    <row r="200" spans="1:27" x14ac:dyDescent="0.2">
      <c r="F200" s="1203"/>
      <c r="G200" s="1203"/>
      <c r="H200" s="1204" t="s">
        <v>244</v>
      </c>
      <c r="I200" s="1235" t="s">
        <v>245</v>
      </c>
      <c r="J200" s="1244" t="str">
        <f>K148</f>
        <v xml:space="preserve"> Quantity</v>
      </c>
      <c r="K200" s="1338">
        <f>K145/1000</f>
        <v>25910.24879581152</v>
      </c>
      <c r="L200" s="1294">
        <v>80</v>
      </c>
      <c r="M200" s="1210">
        <f>L200*K200</f>
        <v>2072819.9036649216</v>
      </c>
      <c r="N200" s="1192"/>
      <c r="O200" s="1339" t="s">
        <v>246</v>
      </c>
      <c r="P200" s="1211"/>
      <c r="Q200" s="1211"/>
      <c r="R200" s="1211"/>
      <c r="S200" s="1211"/>
      <c r="T200" s="1209"/>
    </row>
    <row r="201" spans="1:27" x14ac:dyDescent="0.2">
      <c r="F201" s="1203"/>
      <c r="G201" s="1203"/>
      <c r="H201" s="1204" t="s">
        <v>247</v>
      </c>
      <c r="I201" s="1235"/>
      <c r="J201" s="1192"/>
      <c r="K201" s="1192"/>
      <c r="L201" s="1192"/>
      <c r="M201" s="1192"/>
      <c r="N201" s="1192"/>
      <c r="O201" s="1204"/>
      <c r="P201" s="1211"/>
      <c r="Q201" s="1211"/>
      <c r="R201" s="1211"/>
      <c r="S201" s="1211"/>
      <c r="T201" s="1209"/>
    </row>
    <row r="202" spans="1:27" x14ac:dyDescent="0.2">
      <c r="F202" s="1203"/>
      <c r="G202" s="1203"/>
      <c r="H202" s="1212" t="s">
        <v>365</v>
      </c>
      <c r="I202" s="1235"/>
      <c r="J202" s="1192"/>
      <c r="K202" s="1192"/>
      <c r="L202" s="1192"/>
      <c r="M202" s="1265">
        <f>SUM(M197:M200)</f>
        <v>2072819.9036649216</v>
      </c>
      <c r="N202" s="1192"/>
      <c r="O202" s="1204"/>
      <c r="P202" s="1211"/>
      <c r="Q202" s="1211"/>
      <c r="R202" s="1211"/>
      <c r="S202" s="1211"/>
      <c r="T202" s="1209"/>
    </row>
    <row r="203" spans="1:27" x14ac:dyDescent="0.2">
      <c r="F203" s="1203"/>
      <c r="G203" s="1203"/>
      <c r="H203" s="1204"/>
      <c r="I203" s="1235"/>
      <c r="J203" s="1192"/>
      <c r="K203" s="1192"/>
      <c r="L203" s="1192"/>
      <c r="M203" s="1192"/>
      <c r="N203" s="1209"/>
      <c r="O203" s="1210"/>
      <c r="P203" s="1211"/>
      <c r="Q203" s="1211"/>
      <c r="R203" s="1211"/>
      <c r="S203" s="1211"/>
      <c r="T203" s="1209"/>
    </row>
    <row r="204" spans="1:27" x14ac:dyDescent="0.2">
      <c r="F204" s="1203"/>
      <c r="G204" s="1224"/>
      <c r="H204" s="1225"/>
      <c r="I204" s="1226"/>
      <c r="J204" s="1340">
        <v>0</v>
      </c>
      <c r="K204" s="1341">
        <v>1</v>
      </c>
      <c r="L204" s="1341">
        <v>2</v>
      </c>
      <c r="M204" s="1341">
        <v>3</v>
      </c>
      <c r="N204" s="1341">
        <v>4</v>
      </c>
      <c r="O204" s="1341">
        <v>5</v>
      </c>
      <c r="P204" s="1341">
        <v>6</v>
      </c>
      <c r="Q204" s="1341">
        <v>7</v>
      </c>
      <c r="R204" s="1341">
        <v>8</v>
      </c>
      <c r="S204" s="1341">
        <v>9</v>
      </c>
      <c r="T204" s="1341">
        <v>10</v>
      </c>
      <c r="U204" s="1341">
        <v>11</v>
      </c>
      <c r="V204" s="1341">
        <v>12</v>
      </c>
      <c r="W204" s="1341">
        <v>13</v>
      </c>
      <c r="X204" s="1341">
        <v>14</v>
      </c>
      <c r="Y204" s="1341">
        <v>15</v>
      </c>
      <c r="Z204" s="1342">
        <v>16</v>
      </c>
    </row>
    <row r="205" spans="1:27" x14ac:dyDescent="0.2">
      <c r="F205" s="1203"/>
      <c r="G205" s="1196">
        <v>12</v>
      </c>
      <c r="H205" s="1343" t="s">
        <v>248</v>
      </c>
      <c r="I205" s="1344"/>
      <c r="J205" s="1198" t="s">
        <v>249</v>
      </c>
      <c r="K205" s="1199" t="s">
        <v>250</v>
      </c>
      <c r="L205" s="1199" t="s">
        <v>251</v>
      </c>
      <c r="M205" s="1199" t="s">
        <v>252</v>
      </c>
      <c r="N205" s="1345" t="s">
        <v>253</v>
      </c>
      <c r="O205" s="1345" t="s">
        <v>254</v>
      </c>
      <c r="P205" s="1345" t="s">
        <v>255</v>
      </c>
      <c r="Q205" s="1345" t="s">
        <v>256</v>
      </c>
      <c r="R205" s="1345" t="s">
        <v>257</v>
      </c>
      <c r="S205" s="1345" t="s">
        <v>258</v>
      </c>
      <c r="T205" s="1345" t="s">
        <v>259</v>
      </c>
      <c r="U205" s="1345" t="s">
        <v>260</v>
      </c>
      <c r="V205" s="1345" t="s">
        <v>261</v>
      </c>
      <c r="W205" s="1345" t="s">
        <v>262</v>
      </c>
      <c r="X205" s="1345" t="s">
        <v>263</v>
      </c>
      <c r="Y205" s="1345" t="s">
        <v>264</v>
      </c>
      <c r="Z205" s="1346" t="s">
        <v>265</v>
      </c>
    </row>
    <row r="206" spans="1:27" x14ac:dyDescent="0.2">
      <c r="F206" s="1203"/>
      <c r="G206" s="1203"/>
      <c r="H206" s="1204" t="s">
        <v>266</v>
      </c>
      <c r="I206" s="1235"/>
      <c r="J206" s="1347">
        <v>0</v>
      </c>
      <c r="K206" s="1348">
        <f t="shared" ref="K206:Z207" si="14">J206</f>
        <v>0</v>
      </c>
      <c r="L206" s="1348">
        <f t="shared" si="14"/>
        <v>0</v>
      </c>
      <c r="M206" s="1348">
        <f t="shared" si="14"/>
        <v>0</v>
      </c>
      <c r="N206" s="1349">
        <f t="shared" si="14"/>
        <v>0</v>
      </c>
      <c r="O206" s="1259">
        <f t="shared" si="14"/>
        <v>0</v>
      </c>
      <c r="P206" s="1349">
        <f t="shared" si="14"/>
        <v>0</v>
      </c>
      <c r="Q206" s="1349">
        <f t="shared" si="14"/>
        <v>0</v>
      </c>
      <c r="R206" s="1349">
        <f t="shared" si="14"/>
        <v>0</v>
      </c>
      <c r="S206" s="1349">
        <f t="shared" si="14"/>
        <v>0</v>
      </c>
      <c r="T206" s="1349">
        <f t="shared" si="14"/>
        <v>0</v>
      </c>
      <c r="U206" s="1349">
        <f t="shared" si="14"/>
        <v>0</v>
      </c>
      <c r="V206" s="1349">
        <f t="shared" si="14"/>
        <v>0</v>
      </c>
      <c r="W206" s="1349">
        <f t="shared" si="14"/>
        <v>0</v>
      </c>
      <c r="X206" s="1349">
        <f t="shared" si="14"/>
        <v>0</v>
      </c>
      <c r="Y206" s="1349">
        <f t="shared" si="14"/>
        <v>0</v>
      </c>
      <c r="Z206" s="1350">
        <f t="shared" si="14"/>
        <v>0</v>
      </c>
      <c r="AA206" s="1351"/>
    </row>
    <row r="207" spans="1:27" x14ac:dyDescent="0.2">
      <c r="F207" s="1203"/>
      <c r="G207" s="1203"/>
      <c r="H207" s="1204" t="s">
        <v>267</v>
      </c>
      <c r="I207" s="1235"/>
      <c r="J207" s="1347">
        <v>0</v>
      </c>
      <c r="K207" s="1348">
        <f t="shared" si="14"/>
        <v>0</v>
      </c>
      <c r="L207" s="1348">
        <f t="shared" si="14"/>
        <v>0</v>
      </c>
      <c r="M207" s="1348">
        <f t="shared" si="14"/>
        <v>0</v>
      </c>
      <c r="N207" s="1349">
        <f t="shared" si="14"/>
        <v>0</v>
      </c>
      <c r="O207" s="1259">
        <f t="shared" si="14"/>
        <v>0</v>
      </c>
      <c r="P207" s="1349">
        <f t="shared" si="14"/>
        <v>0</v>
      </c>
      <c r="Q207" s="1349">
        <f t="shared" si="14"/>
        <v>0</v>
      </c>
      <c r="R207" s="1349">
        <f t="shared" si="14"/>
        <v>0</v>
      </c>
      <c r="S207" s="1349">
        <f t="shared" si="14"/>
        <v>0</v>
      </c>
      <c r="T207" s="1349">
        <f t="shared" si="14"/>
        <v>0</v>
      </c>
      <c r="U207" s="1349">
        <f t="shared" si="14"/>
        <v>0</v>
      </c>
      <c r="V207" s="1349">
        <f t="shared" si="14"/>
        <v>0</v>
      </c>
      <c r="W207" s="1349">
        <f t="shared" si="14"/>
        <v>0</v>
      </c>
      <c r="X207" s="1349">
        <f t="shared" si="14"/>
        <v>0</v>
      </c>
      <c r="Y207" s="1349">
        <f t="shared" si="14"/>
        <v>0</v>
      </c>
      <c r="Z207" s="1350">
        <f t="shared" si="14"/>
        <v>0</v>
      </c>
      <c r="AA207" s="1351"/>
    </row>
    <row r="208" spans="1:27" x14ac:dyDescent="0.2">
      <c r="F208" s="1203"/>
      <c r="G208" s="1203"/>
      <c r="H208" s="1204" t="s">
        <v>268</v>
      </c>
      <c r="I208" s="1235"/>
      <c r="J208" s="1352">
        <v>1</v>
      </c>
      <c r="K208" s="1348"/>
      <c r="L208" s="1348"/>
      <c r="M208" s="1348"/>
      <c r="N208" s="1349"/>
      <c r="O208" s="1259"/>
      <c r="P208" s="1349"/>
      <c r="Q208" s="1349"/>
      <c r="R208" s="1349"/>
      <c r="S208" s="1349"/>
      <c r="T208" s="1349"/>
      <c r="U208" s="1349"/>
      <c r="V208" s="1349"/>
      <c r="W208" s="1349"/>
      <c r="X208" s="1349"/>
      <c r="Y208" s="1349"/>
      <c r="Z208" s="1350"/>
      <c r="AA208" s="1351"/>
    </row>
    <row r="209" spans="3:28" x14ac:dyDescent="0.2">
      <c r="F209" s="1203"/>
      <c r="G209" s="1203"/>
      <c r="H209" s="1204" t="s">
        <v>269</v>
      </c>
      <c r="I209" s="1235"/>
      <c r="J209" s="1352">
        <v>1</v>
      </c>
      <c r="K209" s="1204"/>
      <c r="L209" s="1192"/>
      <c r="M209" s="1192"/>
      <c r="N209" s="1349"/>
      <c r="O209" s="1259"/>
      <c r="P209" s="1349"/>
      <c r="Q209" s="1349"/>
      <c r="R209" s="1349"/>
      <c r="S209" s="1349"/>
      <c r="T209" s="1349"/>
      <c r="U209" s="1349"/>
      <c r="V209" s="1349"/>
      <c r="W209" s="1349"/>
      <c r="X209" s="1349"/>
      <c r="Y209" s="1349"/>
      <c r="Z209" s="1350"/>
    </row>
    <row r="210" spans="3:28" x14ac:dyDescent="0.2">
      <c r="F210" s="1203"/>
      <c r="G210" s="1203"/>
      <c r="H210" s="1204" t="s">
        <v>270</v>
      </c>
      <c r="I210" s="1235"/>
      <c r="J210" s="1294">
        <v>0</v>
      </c>
      <c r="K210" s="983">
        <v>0</v>
      </c>
      <c r="L210" s="1250">
        <v>0.75</v>
      </c>
      <c r="M210" s="1250">
        <v>1</v>
      </c>
      <c r="N210" s="1353">
        <f t="shared" ref="N210:Z210" si="15">M210</f>
        <v>1</v>
      </c>
      <c r="O210" s="1353">
        <f t="shared" si="15"/>
        <v>1</v>
      </c>
      <c r="P210" s="1353">
        <f t="shared" si="15"/>
        <v>1</v>
      </c>
      <c r="Q210" s="1353">
        <f t="shared" si="15"/>
        <v>1</v>
      </c>
      <c r="R210" s="1353">
        <f t="shared" si="15"/>
        <v>1</v>
      </c>
      <c r="S210" s="1353">
        <f t="shared" si="15"/>
        <v>1</v>
      </c>
      <c r="T210" s="1353">
        <f t="shared" si="15"/>
        <v>1</v>
      </c>
      <c r="U210" s="1353">
        <f t="shared" si="15"/>
        <v>1</v>
      </c>
      <c r="V210" s="1353">
        <f t="shared" si="15"/>
        <v>1</v>
      </c>
      <c r="W210" s="1353">
        <f t="shared" si="15"/>
        <v>1</v>
      </c>
      <c r="X210" s="1353">
        <f t="shared" si="15"/>
        <v>1</v>
      </c>
      <c r="Y210" s="1353">
        <f t="shared" si="15"/>
        <v>1</v>
      </c>
      <c r="Z210" s="1354">
        <f t="shared" si="15"/>
        <v>1</v>
      </c>
      <c r="AA210" s="1332"/>
    </row>
    <row r="211" spans="3:28" x14ac:dyDescent="0.2">
      <c r="F211" s="1203"/>
      <c r="G211" s="1203"/>
      <c r="H211" s="1355" t="s">
        <v>271</v>
      </c>
      <c r="I211" s="1235"/>
      <c r="J211" s="1308">
        <f t="shared" ref="J211:Z211" si="16">(1+J206)^J204</f>
        <v>1</v>
      </c>
      <c r="K211" s="1308">
        <f t="shared" si="16"/>
        <v>1</v>
      </c>
      <c r="L211" s="1308">
        <f t="shared" si="16"/>
        <v>1</v>
      </c>
      <c r="M211" s="1308">
        <f t="shared" si="16"/>
        <v>1</v>
      </c>
      <c r="N211" s="1278">
        <f t="shared" si="16"/>
        <v>1</v>
      </c>
      <c r="O211" s="1278">
        <f t="shared" si="16"/>
        <v>1</v>
      </c>
      <c r="P211" s="1278">
        <f t="shared" si="16"/>
        <v>1</v>
      </c>
      <c r="Q211" s="1278">
        <f t="shared" si="16"/>
        <v>1</v>
      </c>
      <c r="R211" s="1278">
        <f t="shared" si="16"/>
        <v>1</v>
      </c>
      <c r="S211" s="1278">
        <f t="shared" si="16"/>
        <v>1</v>
      </c>
      <c r="T211" s="1278">
        <f t="shared" si="16"/>
        <v>1</v>
      </c>
      <c r="U211" s="1278">
        <f t="shared" si="16"/>
        <v>1</v>
      </c>
      <c r="V211" s="1278">
        <f t="shared" si="16"/>
        <v>1</v>
      </c>
      <c r="W211" s="1278">
        <f t="shared" si="16"/>
        <v>1</v>
      </c>
      <c r="X211" s="1278">
        <f t="shared" si="16"/>
        <v>1</v>
      </c>
      <c r="Y211" s="1278">
        <f t="shared" si="16"/>
        <v>1</v>
      </c>
      <c r="Z211" s="1356">
        <f t="shared" si="16"/>
        <v>1</v>
      </c>
      <c r="AA211" s="1308"/>
    </row>
    <row r="212" spans="3:28" x14ac:dyDescent="0.2">
      <c r="F212" s="1203"/>
      <c r="G212" s="1203"/>
      <c r="H212" s="1355" t="s">
        <v>272</v>
      </c>
      <c r="I212" s="1235"/>
      <c r="J212" s="1308">
        <f t="shared" ref="J212:Z212" si="17">(1+J207)^J204</f>
        <v>1</v>
      </c>
      <c r="K212" s="1308">
        <f t="shared" si="17"/>
        <v>1</v>
      </c>
      <c r="L212" s="1308">
        <f t="shared" si="17"/>
        <v>1</v>
      </c>
      <c r="M212" s="1308">
        <f t="shared" si="17"/>
        <v>1</v>
      </c>
      <c r="N212" s="1278">
        <f t="shared" si="17"/>
        <v>1</v>
      </c>
      <c r="O212" s="1278">
        <f t="shared" si="17"/>
        <v>1</v>
      </c>
      <c r="P212" s="1278">
        <f t="shared" si="17"/>
        <v>1</v>
      </c>
      <c r="Q212" s="1278">
        <f t="shared" si="17"/>
        <v>1</v>
      </c>
      <c r="R212" s="1278">
        <f t="shared" si="17"/>
        <v>1</v>
      </c>
      <c r="S212" s="1278">
        <f t="shared" si="17"/>
        <v>1</v>
      </c>
      <c r="T212" s="1278">
        <f t="shared" si="17"/>
        <v>1</v>
      </c>
      <c r="U212" s="1278">
        <f t="shared" si="17"/>
        <v>1</v>
      </c>
      <c r="V212" s="1278">
        <f t="shared" si="17"/>
        <v>1</v>
      </c>
      <c r="W212" s="1278">
        <f t="shared" si="17"/>
        <v>1</v>
      </c>
      <c r="X212" s="1278">
        <f t="shared" si="17"/>
        <v>1</v>
      </c>
      <c r="Y212" s="1278">
        <f t="shared" si="17"/>
        <v>1</v>
      </c>
      <c r="Z212" s="1356">
        <f t="shared" si="17"/>
        <v>1</v>
      </c>
      <c r="AA212" s="1308"/>
    </row>
    <row r="213" spans="3:28" x14ac:dyDescent="0.2">
      <c r="F213" s="1203"/>
      <c r="G213" s="1203"/>
      <c r="H213" s="1355" t="s">
        <v>547</v>
      </c>
      <c r="I213" s="1235"/>
      <c r="J213" s="1308">
        <v>100</v>
      </c>
      <c r="K213" s="1308"/>
      <c r="L213" s="1308"/>
      <c r="M213" s="1308"/>
      <c r="N213" s="1278"/>
      <c r="O213" s="1278"/>
      <c r="P213" s="1278"/>
      <c r="Q213" s="1278"/>
      <c r="R213" s="1278"/>
      <c r="S213" s="1278"/>
      <c r="T213" s="1278"/>
      <c r="U213" s="1278"/>
      <c r="V213" s="1278"/>
      <c r="W213" s="1278"/>
      <c r="X213" s="1278"/>
      <c r="Y213" s="1278"/>
      <c r="Z213" s="1356"/>
      <c r="AA213" s="1308"/>
    </row>
    <row r="214" spans="3:28" x14ac:dyDescent="0.2">
      <c r="F214" s="1203"/>
      <c r="G214" s="1203"/>
      <c r="H214" s="1355" t="s">
        <v>548</v>
      </c>
      <c r="I214" s="1235"/>
      <c r="J214" s="1308">
        <v>0.66</v>
      </c>
      <c r="K214" s="1308"/>
      <c r="L214" s="1308"/>
      <c r="M214" s="1308"/>
      <c r="N214" s="1278"/>
      <c r="O214" s="1278"/>
      <c r="P214" s="1278"/>
      <c r="Q214" s="1278"/>
      <c r="R214" s="1278"/>
      <c r="S214" s="1278"/>
      <c r="T214" s="1278"/>
      <c r="U214" s="1278"/>
      <c r="V214" s="1278"/>
      <c r="W214" s="1278"/>
      <c r="X214" s="1278"/>
      <c r="Y214" s="1278"/>
      <c r="Z214" s="1356"/>
      <c r="AA214" s="1308"/>
    </row>
    <row r="215" spans="3:28" x14ac:dyDescent="0.2">
      <c r="F215" s="1203"/>
      <c r="G215" s="1203"/>
      <c r="H215" s="1357" t="s">
        <v>273</v>
      </c>
      <c r="I215" s="1235"/>
      <c r="J215" s="1358">
        <v>1</v>
      </c>
      <c r="K215" s="1308"/>
      <c r="L215" s="1308"/>
      <c r="M215" s="1308"/>
      <c r="N215" s="1349"/>
      <c r="O215" s="1349"/>
      <c r="P215" s="1349"/>
      <c r="Q215" s="1349"/>
      <c r="R215" s="1349"/>
      <c r="S215" s="1349"/>
      <c r="T215" s="1349"/>
      <c r="U215" s="1349"/>
      <c r="V215" s="1349"/>
      <c r="W215" s="1349"/>
      <c r="X215" s="1349"/>
      <c r="Y215" s="1349"/>
      <c r="Z215" s="1350"/>
      <c r="AA215" s="1308"/>
    </row>
    <row r="216" spans="3:28" x14ac:dyDescent="0.2">
      <c r="F216" s="1203"/>
      <c r="G216" s="1203"/>
      <c r="H216" s="1357" t="s">
        <v>274</v>
      </c>
      <c r="I216" s="1235"/>
      <c r="J216" s="1358">
        <v>0.4</v>
      </c>
      <c r="K216" s="1358">
        <v>0.6</v>
      </c>
      <c r="L216" s="1308"/>
      <c r="M216" s="1308"/>
      <c r="N216" s="1349"/>
      <c r="O216" s="1349"/>
      <c r="P216" s="1349"/>
      <c r="Q216" s="1349"/>
      <c r="R216" s="1349"/>
      <c r="S216" s="1349"/>
      <c r="T216" s="1349"/>
      <c r="U216" s="1349"/>
      <c r="V216" s="1349"/>
      <c r="W216" s="1349"/>
      <c r="X216" s="1349"/>
      <c r="Y216" s="1349"/>
      <c r="Z216" s="1350"/>
      <c r="AA216" s="1308"/>
    </row>
    <row r="217" spans="3:28" x14ac:dyDescent="0.2">
      <c r="F217" s="1203"/>
      <c r="G217" s="1203"/>
      <c r="H217" s="1357" t="s">
        <v>275</v>
      </c>
      <c r="I217" s="1235"/>
      <c r="J217" s="1333">
        <v>0.01</v>
      </c>
      <c r="K217" s="1359">
        <f t="shared" ref="K217:Z217" si="18">J217</f>
        <v>0.01</v>
      </c>
      <c r="L217" s="1359">
        <f t="shared" si="18"/>
        <v>0.01</v>
      </c>
      <c r="M217" s="1359">
        <f t="shared" si="18"/>
        <v>0.01</v>
      </c>
      <c r="N217" s="1349">
        <f t="shared" si="18"/>
        <v>0.01</v>
      </c>
      <c r="O217" s="1349">
        <f t="shared" si="18"/>
        <v>0.01</v>
      </c>
      <c r="P217" s="1349">
        <f t="shared" si="18"/>
        <v>0.01</v>
      </c>
      <c r="Q217" s="1349">
        <f t="shared" si="18"/>
        <v>0.01</v>
      </c>
      <c r="R217" s="1349">
        <f t="shared" si="18"/>
        <v>0.01</v>
      </c>
      <c r="S217" s="1349">
        <f t="shared" si="18"/>
        <v>0.01</v>
      </c>
      <c r="T217" s="1349">
        <f t="shared" si="18"/>
        <v>0.01</v>
      </c>
      <c r="U217" s="1349">
        <f t="shared" si="18"/>
        <v>0.01</v>
      </c>
      <c r="V217" s="1349">
        <f t="shared" si="18"/>
        <v>0.01</v>
      </c>
      <c r="W217" s="1349">
        <f t="shared" si="18"/>
        <v>0.01</v>
      </c>
      <c r="X217" s="1349">
        <f t="shared" si="18"/>
        <v>0.01</v>
      </c>
      <c r="Y217" s="1349">
        <f t="shared" si="18"/>
        <v>0.01</v>
      </c>
      <c r="Z217" s="1350">
        <f t="shared" si="18"/>
        <v>0.01</v>
      </c>
      <c r="AA217" s="1359"/>
    </row>
    <row r="218" spans="3:28" x14ac:dyDescent="0.2">
      <c r="F218" s="1203"/>
      <c r="G218" s="1203"/>
      <c r="H218" s="1204" t="s">
        <v>276</v>
      </c>
      <c r="I218" s="1235"/>
      <c r="J218" s="1263">
        <v>0.2</v>
      </c>
      <c r="K218" s="1204" t="s">
        <v>277</v>
      </c>
      <c r="L218" s="1192"/>
      <c r="M218" s="1192"/>
      <c r="N218" s="1211"/>
      <c r="O218" s="1210"/>
      <c r="P218" s="1211"/>
      <c r="Q218" s="1211"/>
      <c r="R218" s="1211"/>
      <c r="S218" s="1211"/>
      <c r="T218" s="1211"/>
      <c r="U218" s="1211"/>
      <c r="V218" s="1211"/>
      <c r="W218" s="1211"/>
      <c r="X218" s="1211"/>
      <c r="Y218" s="1211"/>
      <c r="Z218" s="1209"/>
    </row>
    <row r="219" spans="3:28" x14ac:dyDescent="0.2">
      <c r="F219" s="1203"/>
      <c r="G219" s="1203"/>
      <c r="H219" s="1192"/>
      <c r="I219" s="1243"/>
      <c r="J219" s="1192"/>
      <c r="K219" s="1192"/>
      <c r="L219" s="1216"/>
      <c r="M219" s="1192"/>
      <c r="N219" s="1211"/>
      <c r="O219" s="1211"/>
      <c r="P219" s="1211"/>
      <c r="Q219" s="1211"/>
      <c r="R219" s="1211"/>
      <c r="S219" s="1211"/>
      <c r="T219" s="1211"/>
      <c r="U219" s="1211"/>
      <c r="V219" s="1211"/>
      <c r="W219" s="1211"/>
      <c r="X219" s="1211"/>
      <c r="Y219" s="1211"/>
      <c r="Z219" s="1209"/>
    </row>
    <row r="220" spans="3:28" x14ac:dyDescent="0.2">
      <c r="F220" s="1203"/>
      <c r="G220" s="1196">
        <v>13</v>
      </c>
      <c r="H220" s="1275" t="s">
        <v>278</v>
      </c>
      <c r="I220" s="1276"/>
      <c r="J220" s="1360" t="s">
        <v>249</v>
      </c>
      <c r="K220" s="1361" t="s">
        <v>250</v>
      </c>
      <c r="L220" s="1198" t="s">
        <v>251</v>
      </c>
      <c r="M220" s="1198" t="s">
        <v>252</v>
      </c>
      <c r="N220" s="1362" t="s">
        <v>253</v>
      </c>
      <c r="O220" s="1362" t="s">
        <v>254</v>
      </c>
      <c r="P220" s="1362" t="s">
        <v>255</v>
      </c>
      <c r="Q220" s="1362" t="s">
        <v>256</v>
      </c>
      <c r="R220" s="1362" t="s">
        <v>257</v>
      </c>
      <c r="S220" s="1362" t="s">
        <v>258</v>
      </c>
      <c r="T220" s="1362" t="s">
        <v>259</v>
      </c>
      <c r="U220" s="1362" t="s">
        <v>260</v>
      </c>
      <c r="V220" s="1362" t="s">
        <v>261</v>
      </c>
      <c r="W220" s="1362" t="s">
        <v>262</v>
      </c>
      <c r="X220" s="1362" t="s">
        <v>263</v>
      </c>
      <c r="Y220" s="1362" t="s">
        <v>264</v>
      </c>
      <c r="Z220" s="1200" t="s">
        <v>265</v>
      </c>
      <c r="AB220" s="1198"/>
    </row>
    <row r="221" spans="3:28" x14ac:dyDescent="0.2">
      <c r="C221" s="1363"/>
      <c r="D221" s="1363"/>
      <c r="E221" s="1363"/>
      <c r="F221" s="1203"/>
      <c r="G221" s="1230"/>
      <c r="H221" s="1220" t="s">
        <v>279</v>
      </c>
      <c r="I221" s="1232"/>
      <c r="J221" s="1364"/>
      <c r="K221" s="1365"/>
      <c r="L221" s="1254"/>
      <c r="M221" s="1254"/>
      <c r="N221" s="1366"/>
      <c r="O221" s="1366"/>
      <c r="P221" s="1366"/>
      <c r="Q221" s="1366"/>
      <c r="R221" s="1366"/>
      <c r="S221" s="1366"/>
      <c r="T221" s="1366"/>
      <c r="U221" s="1366"/>
      <c r="V221" s="1366"/>
      <c r="W221" s="1366"/>
      <c r="X221" s="1366"/>
      <c r="Y221" s="1366"/>
      <c r="Z221" s="1367"/>
      <c r="AA221" s="1254"/>
      <c r="AB221" s="1254"/>
    </row>
    <row r="222" spans="3:28" x14ac:dyDescent="0.2">
      <c r="C222" s="1363"/>
      <c r="D222" s="1363"/>
      <c r="E222" s="1363"/>
      <c r="F222" s="1203"/>
      <c r="G222" s="1230"/>
      <c r="H222" s="1368" t="s">
        <v>452</v>
      </c>
      <c r="I222" s="1232"/>
      <c r="J222" s="1364"/>
      <c r="K222" s="1365"/>
      <c r="L222" s="1309"/>
      <c r="M222" s="1309"/>
      <c r="N222" s="1309"/>
      <c r="O222" s="1309"/>
      <c r="P222" s="1309"/>
      <c r="Q222" s="1309"/>
      <c r="R222" s="1309"/>
      <c r="S222" s="1309"/>
      <c r="T222" s="1309"/>
      <c r="U222" s="1309"/>
      <c r="V222" s="1309"/>
      <c r="W222" s="1309"/>
      <c r="X222" s="1309"/>
      <c r="Y222" s="1309"/>
      <c r="Z222" s="1309"/>
      <c r="AA222" s="1254"/>
      <c r="AB222" s="1254"/>
    </row>
    <row r="223" spans="3:28" x14ac:dyDescent="0.2">
      <c r="C223" s="1363"/>
      <c r="D223" s="1363"/>
      <c r="E223" s="1363"/>
      <c r="F223" s="1203"/>
      <c r="G223" s="1230"/>
      <c r="H223" s="1368" t="s">
        <v>453</v>
      </c>
      <c r="I223" s="1232"/>
      <c r="J223" s="1364"/>
      <c r="K223" s="1365"/>
      <c r="L223" s="1309"/>
      <c r="M223" s="1309"/>
      <c r="N223" s="1309"/>
      <c r="O223" s="1309"/>
      <c r="P223" s="1309"/>
      <c r="Q223" s="1309"/>
      <c r="R223" s="1309"/>
      <c r="S223" s="1309"/>
      <c r="T223" s="1309"/>
      <c r="U223" s="1309"/>
      <c r="V223" s="1309"/>
      <c r="W223" s="1309"/>
      <c r="X223" s="1309"/>
      <c r="Y223" s="1309"/>
      <c r="Z223" s="1309"/>
      <c r="AA223" s="1254"/>
      <c r="AB223" s="1254"/>
    </row>
    <row r="224" spans="3:28" x14ac:dyDescent="0.2">
      <c r="C224" s="1363"/>
      <c r="D224" s="1363"/>
      <c r="E224" s="1363"/>
      <c r="F224" s="1203"/>
      <c r="G224" s="1230"/>
      <c r="H224" s="1204" t="s">
        <v>392</v>
      </c>
      <c r="I224" s="1232"/>
      <c r="J224" s="1364"/>
      <c r="K224" s="1365"/>
      <c r="L224" s="1309"/>
      <c r="M224" s="1309"/>
      <c r="N224" s="1309"/>
      <c r="O224" s="1309"/>
      <c r="P224" s="1309"/>
      <c r="Q224" s="1309"/>
      <c r="R224" s="1309"/>
      <c r="S224" s="1309"/>
      <c r="T224" s="1309"/>
      <c r="U224" s="1309"/>
      <c r="V224" s="1309"/>
      <c r="W224" s="1309"/>
      <c r="X224" s="1309"/>
      <c r="Y224" s="1309"/>
      <c r="Z224" s="1309"/>
      <c r="AA224" s="1254"/>
      <c r="AB224" s="1254"/>
    </row>
    <row r="225" spans="3:27" x14ac:dyDescent="0.2">
      <c r="C225" s="1363"/>
      <c r="D225" s="1363"/>
      <c r="E225" s="1363"/>
      <c r="F225" s="1203"/>
      <c r="G225" s="1203"/>
      <c r="H225" s="1204" t="s">
        <v>280</v>
      </c>
      <c r="I225" s="1235"/>
      <c r="J225" s="1339"/>
      <c r="K225" s="1369"/>
      <c r="L225" s="1309">
        <f t="shared" ref="L225:Z225" si="19">L210*$J$208*L211*$M$15</f>
        <v>67500000</v>
      </c>
      <c r="M225" s="1309">
        <f t="shared" si="19"/>
        <v>90000000</v>
      </c>
      <c r="N225" s="1309">
        <f t="shared" si="19"/>
        <v>90000000</v>
      </c>
      <c r="O225" s="1309">
        <f t="shared" si="19"/>
        <v>90000000</v>
      </c>
      <c r="P225" s="1309">
        <f t="shared" si="19"/>
        <v>90000000</v>
      </c>
      <c r="Q225" s="1309">
        <f t="shared" si="19"/>
        <v>90000000</v>
      </c>
      <c r="R225" s="1309">
        <f t="shared" si="19"/>
        <v>90000000</v>
      </c>
      <c r="S225" s="1309">
        <f t="shared" si="19"/>
        <v>90000000</v>
      </c>
      <c r="T225" s="1309">
        <f t="shared" si="19"/>
        <v>90000000</v>
      </c>
      <c r="U225" s="1309">
        <f t="shared" si="19"/>
        <v>90000000</v>
      </c>
      <c r="V225" s="1309">
        <f t="shared" si="19"/>
        <v>90000000</v>
      </c>
      <c r="W225" s="1309">
        <f t="shared" si="19"/>
        <v>90000000</v>
      </c>
      <c r="X225" s="1309">
        <f t="shared" si="19"/>
        <v>90000000</v>
      </c>
      <c r="Y225" s="1309">
        <f t="shared" si="19"/>
        <v>90000000</v>
      </c>
      <c r="Z225" s="1309">
        <f t="shared" si="19"/>
        <v>90000000</v>
      </c>
      <c r="AA225" s="1208"/>
    </row>
    <row r="226" spans="3:27" x14ac:dyDescent="0.2">
      <c r="C226" s="1363">
        <v>8</v>
      </c>
      <c r="D226" s="1363" t="s">
        <v>631</v>
      </c>
      <c r="E226" s="1363"/>
      <c r="F226" s="1203"/>
      <c r="G226" s="1203"/>
      <c r="H226" s="1204" t="s">
        <v>454</v>
      </c>
      <c r="I226" s="1235"/>
      <c r="J226" s="1339"/>
      <c r="K226" s="1369"/>
      <c r="L226" s="1309">
        <f t="shared" ref="L226:Z226" si="20">L210*$J$208*L211*$M$66</f>
        <v>8121648.7395905331</v>
      </c>
      <c r="M226" s="1309">
        <f t="shared" si="20"/>
        <v>10828864.98612071</v>
      </c>
      <c r="N226" s="1309">
        <f t="shared" si="20"/>
        <v>10828864.98612071</v>
      </c>
      <c r="O226" s="1309">
        <f t="shared" si="20"/>
        <v>10828864.98612071</v>
      </c>
      <c r="P226" s="1309">
        <f t="shared" si="20"/>
        <v>10828864.98612071</v>
      </c>
      <c r="Q226" s="1309">
        <f t="shared" si="20"/>
        <v>10828864.98612071</v>
      </c>
      <c r="R226" s="1309">
        <f t="shared" si="20"/>
        <v>10828864.98612071</v>
      </c>
      <c r="S226" s="1309">
        <f t="shared" si="20"/>
        <v>10828864.98612071</v>
      </c>
      <c r="T226" s="1309">
        <f t="shared" si="20"/>
        <v>10828864.98612071</v>
      </c>
      <c r="U226" s="1309">
        <f t="shared" si="20"/>
        <v>10828864.98612071</v>
      </c>
      <c r="V226" s="1309">
        <f t="shared" si="20"/>
        <v>10828864.98612071</v>
      </c>
      <c r="W226" s="1309">
        <f t="shared" si="20"/>
        <v>10828864.98612071</v>
      </c>
      <c r="X226" s="1309">
        <f t="shared" si="20"/>
        <v>10828864.98612071</v>
      </c>
      <c r="Y226" s="1309">
        <f t="shared" si="20"/>
        <v>10828864.98612071</v>
      </c>
      <c r="Z226" s="1309">
        <f t="shared" si="20"/>
        <v>10828864.98612071</v>
      </c>
      <c r="AA226" s="1208"/>
    </row>
    <row r="227" spans="3:27" x14ac:dyDescent="0.2">
      <c r="C227" s="1363">
        <v>8</v>
      </c>
      <c r="D227" s="1363" t="s">
        <v>631</v>
      </c>
      <c r="E227" s="1363"/>
      <c r="F227" s="1203"/>
      <c r="G227" s="1203"/>
      <c r="H227" s="1204" t="s">
        <v>281</v>
      </c>
      <c r="I227" s="1235"/>
      <c r="J227" s="1339"/>
      <c r="K227" s="1369"/>
      <c r="L227" s="1309">
        <f t="shared" ref="L227:Z227" si="21">L210*$J$208*L211*$M$202</f>
        <v>1554614.9277486913</v>
      </c>
      <c r="M227" s="1309">
        <f t="shared" si="21"/>
        <v>2072819.9036649216</v>
      </c>
      <c r="N227" s="1309">
        <f t="shared" si="21"/>
        <v>2072819.9036649216</v>
      </c>
      <c r="O227" s="1309">
        <f t="shared" si="21"/>
        <v>2072819.9036649216</v>
      </c>
      <c r="P227" s="1309">
        <f t="shared" si="21"/>
        <v>2072819.9036649216</v>
      </c>
      <c r="Q227" s="1309">
        <f t="shared" si="21"/>
        <v>2072819.9036649216</v>
      </c>
      <c r="R227" s="1309">
        <f t="shared" si="21"/>
        <v>2072819.9036649216</v>
      </c>
      <c r="S227" s="1309">
        <f t="shared" si="21"/>
        <v>2072819.9036649216</v>
      </c>
      <c r="T227" s="1309">
        <f t="shared" si="21"/>
        <v>2072819.9036649216</v>
      </c>
      <c r="U227" s="1309">
        <f t="shared" si="21"/>
        <v>2072819.9036649216</v>
      </c>
      <c r="V227" s="1309">
        <f t="shared" si="21"/>
        <v>2072819.9036649216</v>
      </c>
      <c r="W227" s="1309">
        <f t="shared" si="21"/>
        <v>2072819.9036649216</v>
      </c>
      <c r="X227" s="1309">
        <f t="shared" si="21"/>
        <v>2072819.9036649216</v>
      </c>
      <c r="Y227" s="1309">
        <f t="shared" si="21"/>
        <v>2072819.9036649216</v>
      </c>
      <c r="Z227" s="1309">
        <f t="shared" si="21"/>
        <v>2072819.9036649216</v>
      </c>
      <c r="AA227" s="1208"/>
    </row>
    <row r="228" spans="3:27" x14ac:dyDescent="0.2">
      <c r="C228" s="1363"/>
      <c r="D228" s="1363"/>
      <c r="E228" s="1363"/>
      <c r="F228" s="1203"/>
      <c r="G228" s="1203"/>
      <c r="H228" s="1204"/>
      <c r="I228" s="1235"/>
      <c r="J228" s="1339"/>
      <c r="K228" s="1369"/>
      <c r="L228" s="1370">
        <f t="shared" ref="L228:Z228" si="22">SUM(L222:L227)</f>
        <v>77176263.667339221</v>
      </c>
      <c r="M228" s="1371">
        <f t="shared" si="22"/>
        <v>102901684.88978563</v>
      </c>
      <c r="N228" s="1371">
        <f t="shared" si="22"/>
        <v>102901684.88978563</v>
      </c>
      <c r="O228" s="1371">
        <f t="shared" si="22"/>
        <v>102901684.88978563</v>
      </c>
      <c r="P228" s="1371">
        <f t="shared" si="22"/>
        <v>102901684.88978563</v>
      </c>
      <c r="Q228" s="1371">
        <f t="shared" si="22"/>
        <v>102901684.88978563</v>
      </c>
      <c r="R228" s="1371">
        <f t="shared" si="22"/>
        <v>102901684.88978563</v>
      </c>
      <c r="S228" s="1371">
        <f t="shared" si="22"/>
        <v>102901684.88978563</v>
      </c>
      <c r="T228" s="1371">
        <f t="shared" si="22"/>
        <v>102901684.88978563</v>
      </c>
      <c r="U228" s="1371">
        <f t="shared" si="22"/>
        <v>102901684.88978563</v>
      </c>
      <c r="V228" s="1371">
        <f t="shared" si="22"/>
        <v>102901684.88978563</v>
      </c>
      <c r="W228" s="1371">
        <f t="shared" si="22"/>
        <v>102901684.88978563</v>
      </c>
      <c r="X228" s="1371">
        <f t="shared" si="22"/>
        <v>102901684.88978563</v>
      </c>
      <c r="Y228" s="1371">
        <f t="shared" si="22"/>
        <v>102901684.88978563</v>
      </c>
      <c r="Z228" s="1372">
        <f t="shared" si="22"/>
        <v>102901684.88978563</v>
      </c>
      <c r="AA228" s="1208"/>
    </row>
    <row r="229" spans="3:27" x14ac:dyDescent="0.2">
      <c r="C229" s="1363"/>
      <c r="D229" s="1363"/>
      <c r="E229" s="1363"/>
      <c r="F229" s="1203"/>
      <c r="G229" s="1203"/>
      <c r="H229" s="1220" t="s">
        <v>282</v>
      </c>
      <c r="I229" s="1243"/>
      <c r="J229" s="1203"/>
      <c r="K229" s="1369"/>
      <c r="AA229" s="1208"/>
    </row>
    <row r="230" spans="3:27" x14ac:dyDescent="0.2">
      <c r="C230" s="1363"/>
      <c r="D230" s="1363"/>
      <c r="E230" s="1363"/>
      <c r="F230" s="1203"/>
      <c r="G230" s="1203"/>
      <c r="H230" s="1368" t="s">
        <v>452</v>
      </c>
      <c r="I230" s="1243"/>
      <c r="J230" s="1203"/>
      <c r="K230" s="1369"/>
      <c r="L230" s="1309">
        <f>-$M$150*$J$209*L210*L212</f>
        <v>0</v>
      </c>
      <c r="M230" s="1309">
        <f>-$M$150*$J$209*M210*M212</f>
        <v>0</v>
      </c>
      <c r="N230" s="1309">
        <f t="shared" ref="N230:Z230" si="23">-$M$149*$J$209*N210*N212</f>
        <v>0</v>
      </c>
      <c r="O230" s="1309">
        <f t="shared" si="23"/>
        <v>0</v>
      </c>
      <c r="P230" s="1309">
        <f t="shared" si="23"/>
        <v>0</v>
      </c>
      <c r="Q230" s="1309">
        <f t="shared" si="23"/>
        <v>0</v>
      </c>
      <c r="R230" s="1309">
        <f t="shared" si="23"/>
        <v>0</v>
      </c>
      <c r="S230" s="1309">
        <f t="shared" si="23"/>
        <v>0</v>
      </c>
      <c r="T230" s="1309">
        <f t="shared" si="23"/>
        <v>0</v>
      </c>
      <c r="U230" s="1309">
        <f t="shared" si="23"/>
        <v>0</v>
      </c>
      <c r="V230" s="1309">
        <f t="shared" si="23"/>
        <v>0</v>
      </c>
      <c r="W230" s="1309">
        <f t="shared" si="23"/>
        <v>0</v>
      </c>
      <c r="X230" s="1309">
        <f t="shared" si="23"/>
        <v>0</v>
      </c>
      <c r="Y230" s="1309">
        <f t="shared" si="23"/>
        <v>0</v>
      </c>
      <c r="Z230" s="1309">
        <f t="shared" si="23"/>
        <v>0</v>
      </c>
      <c r="AA230" s="1208"/>
    </row>
    <row r="231" spans="3:27" x14ac:dyDescent="0.2">
      <c r="C231" s="1363"/>
      <c r="D231" s="1363"/>
      <c r="E231" s="1363"/>
      <c r="F231" s="1203"/>
      <c r="G231" s="1203"/>
      <c r="H231" s="1368" t="s">
        <v>453</v>
      </c>
      <c r="I231" s="1243"/>
      <c r="J231" s="1203"/>
      <c r="K231" s="1369"/>
      <c r="L231" s="1309">
        <f>-$M$151*$J$209*L210*L212</f>
        <v>0</v>
      </c>
      <c r="M231" s="1309">
        <f>-$M$151*$J$209*M210*M212</f>
        <v>0</v>
      </c>
      <c r="N231" s="1309">
        <f t="shared" ref="N231:Z231" si="24">-$M$150*$J$209*N210*N212</f>
        <v>0</v>
      </c>
      <c r="O231" s="1309">
        <f t="shared" si="24"/>
        <v>0</v>
      </c>
      <c r="P231" s="1309">
        <f t="shared" si="24"/>
        <v>0</v>
      </c>
      <c r="Q231" s="1309">
        <f t="shared" si="24"/>
        <v>0</v>
      </c>
      <c r="R231" s="1309">
        <f t="shared" si="24"/>
        <v>0</v>
      </c>
      <c r="S231" s="1309">
        <f t="shared" si="24"/>
        <v>0</v>
      </c>
      <c r="T231" s="1309">
        <f t="shared" si="24"/>
        <v>0</v>
      </c>
      <c r="U231" s="1309">
        <f t="shared" si="24"/>
        <v>0</v>
      </c>
      <c r="V231" s="1309">
        <f t="shared" si="24"/>
        <v>0</v>
      </c>
      <c r="W231" s="1309">
        <f t="shared" si="24"/>
        <v>0</v>
      </c>
      <c r="X231" s="1309">
        <f t="shared" si="24"/>
        <v>0</v>
      </c>
      <c r="Y231" s="1309">
        <f t="shared" si="24"/>
        <v>0</v>
      </c>
      <c r="Z231" s="1309">
        <f t="shared" si="24"/>
        <v>0</v>
      </c>
      <c r="AA231" s="1208"/>
    </row>
    <row r="232" spans="3:27" x14ac:dyDescent="0.2">
      <c r="C232" s="1363"/>
      <c r="D232" s="1363"/>
      <c r="E232" s="1363"/>
      <c r="F232" s="1203"/>
      <c r="G232" s="1203"/>
      <c r="H232" s="1204" t="s">
        <v>392</v>
      </c>
      <c r="I232" s="1243"/>
      <c r="J232" s="1203"/>
      <c r="K232" s="1369"/>
      <c r="L232" s="1309">
        <f>-$M$152*$J$209*L210*L212</f>
        <v>0</v>
      </c>
      <c r="M232" s="1309">
        <f>-$M$152*$J$209*M210*M212</f>
        <v>0</v>
      </c>
      <c r="N232" s="1309">
        <f t="shared" ref="N232:Z232" si="25">-$M$151*$J$209*N210*N212</f>
        <v>0</v>
      </c>
      <c r="O232" s="1309">
        <f t="shared" si="25"/>
        <v>0</v>
      </c>
      <c r="P232" s="1309">
        <f t="shared" si="25"/>
        <v>0</v>
      </c>
      <c r="Q232" s="1309">
        <f t="shared" si="25"/>
        <v>0</v>
      </c>
      <c r="R232" s="1309">
        <f t="shared" si="25"/>
        <v>0</v>
      </c>
      <c r="S232" s="1309">
        <f t="shared" si="25"/>
        <v>0</v>
      </c>
      <c r="T232" s="1309">
        <f t="shared" si="25"/>
        <v>0</v>
      </c>
      <c r="U232" s="1309">
        <f t="shared" si="25"/>
        <v>0</v>
      </c>
      <c r="V232" s="1309">
        <f t="shared" si="25"/>
        <v>0</v>
      </c>
      <c r="W232" s="1309">
        <f t="shared" si="25"/>
        <v>0</v>
      </c>
      <c r="X232" s="1309">
        <f t="shared" si="25"/>
        <v>0</v>
      </c>
      <c r="Y232" s="1309">
        <f t="shared" si="25"/>
        <v>0</v>
      </c>
      <c r="Z232" s="1309">
        <f t="shared" si="25"/>
        <v>0</v>
      </c>
      <c r="AA232" s="1208"/>
    </row>
    <row r="233" spans="3:27" x14ac:dyDescent="0.2">
      <c r="C233" s="1363">
        <v>7</v>
      </c>
      <c r="D233" s="1363" t="s">
        <v>184</v>
      </c>
      <c r="E233" s="1363"/>
      <c r="F233" s="1203"/>
      <c r="G233" s="1203"/>
      <c r="H233" s="1204" t="s">
        <v>454</v>
      </c>
      <c r="I233" s="1243"/>
      <c r="J233" s="1203"/>
      <c r="K233" s="1369"/>
      <c r="L233" s="1309">
        <f>-$M$153*$J$209*L210*L212</f>
        <v>-324865.94958362129</v>
      </c>
      <c r="M233" s="1309">
        <f t="shared" ref="M233:Z233" si="26">-$M$153*$J$209*M210*M212</f>
        <v>-433154.5994448284</v>
      </c>
      <c r="N233" s="1309">
        <f t="shared" si="26"/>
        <v>-433154.5994448284</v>
      </c>
      <c r="O233" s="1309">
        <f t="shared" si="26"/>
        <v>-433154.5994448284</v>
      </c>
      <c r="P233" s="1309">
        <f t="shared" si="26"/>
        <v>-433154.5994448284</v>
      </c>
      <c r="Q233" s="1309">
        <f t="shared" si="26"/>
        <v>-433154.5994448284</v>
      </c>
      <c r="R233" s="1309">
        <f t="shared" si="26"/>
        <v>-433154.5994448284</v>
      </c>
      <c r="S233" s="1309">
        <f t="shared" si="26"/>
        <v>-433154.5994448284</v>
      </c>
      <c r="T233" s="1309">
        <f t="shared" si="26"/>
        <v>-433154.5994448284</v>
      </c>
      <c r="U233" s="1309">
        <f t="shared" si="26"/>
        <v>-433154.5994448284</v>
      </c>
      <c r="V233" s="1309">
        <f t="shared" si="26"/>
        <v>-433154.5994448284</v>
      </c>
      <c r="W233" s="1309">
        <f t="shared" si="26"/>
        <v>-433154.5994448284</v>
      </c>
      <c r="X233" s="1309">
        <f t="shared" si="26"/>
        <v>-433154.5994448284</v>
      </c>
      <c r="Y233" s="1309">
        <f t="shared" si="26"/>
        <v>-433154.5994448284</v>
      </c>
      <c r="Z233" s="1309">
        <f t="shared" si="26"/>
        <v>-433154.5994448284</v>
      </c>
      <c r="AA233" s="1208"/>
    </row>
    <row r="234" spans="3:27" x14ac:dyDescent="0.2">
      <c r="C234" s="1363">
        <v>7</v>
      </c>
      <c r="D234" s="1363" t="s">
        <v>184</v>
      </c>
      <c r="E234" s="1363"/>
      <c r="F234" s="1203"/>
      <c r="G234" s="1203"/>
      <c r="H234" s="1313" t="s">
        <v>280</v>
      </c>
      <c r="I234" s="1243"/>
      <c r="J234" s="1203"/>
      <c r="K234" s="1369"/>
      <c r="L234" s="1309">
        <f>-$M$159*$J$209*L210*L212</f>
        <v>-5695593.75</v>
      </c>
      <c r="M234" s="1309">
        <f t="shared" ref="M234:Z234" si="27">-$M$159*$J$209*M210*M212</f>
        <v>-7594125</v>
      </c>
      <c r="N234" s="1309">
        <f t="shared" si="27"/>
        <v>-7594125</v>
      </c>
      <c r="O234" s="1309">
        <f t="shared" si="27"/>
        <v>-7594125</v>
      </c>
      <c r="P234" s="1309">
        <f t="shared" si="27"/>
        <v>-7594125</v>
      </c>
      <c r="Q234" s="1309">
        <f t="shared" si="27"/>
        <v>-7594125</v>
      </c>
      <c r="R234" s="1309">
        <f t="shared" si="27"/>
        <v>-7594125</v>
      </c>
      <c r="S234" s="1309">
        <f t="shared" si="27"/>
        <v>-7594125</v>
      </c>
      <c r="T234" s="1309">
        <f t="shared" si="27"/>
        <v>-7594125</v>
      </c>
      <c r="U234" s="1309">
        <f t="shared" si="27"/>
        <v>-7594125</v>
      </c>
      <c r="V234" s="1309">
        <f t="shared" si="27"/>
        <v>-7594125</v>
      </c>
      <c r="W234" s="1309">
        <f t="shared" si="27"/>
        <v>-7594125</v>
      </c>
      <c r="X234" s="1309">
        <f t="shared" si="27"/>
        <v>-7594125</v>
      </c>
      <c r="Y234" s="1309">
        <f t="shared" si="27"/>
        <v>-7594125</v>
      </c>
      <c r="Z234" s="1309">
        <f t="shared" si="27"/>
        <v>-7594125</v>
      </c>
      <c r="AA234" s="1208"/>
    </row>
    <row r="235" spans="3:27" x14ac:dyDescent="0.2">
      <c r="C235" s="1363"/>
      <c r="D235" s="1363"/>
      <c r="E235" s="1363"/>
      <c r="F235" s="1203"/>
      <c r="G235" s="1203"/>
      <c r="H235" s="1220" t="s">
        <v>283</v>
      </c>
      <c r="I235" s="1243"/>
      <c r="J235" s="1298"/>
      <c r="K235" s="1373"/>
      <c r="L235" s="1370">
        <f t="shared" ref="L235:Z235" si="28">SUM(L228:L234)</f>
        <v>71155803.967755601</v>
      </c>
      <c r="M235" s="1371">
        <f t="shared" si="28"/>
        <v>94874405.290340811</v>
      </c>
      <c r="N235" s="1371">
        <f t="shared" si="28"/>
        <v>94874405.290340811</v>
      </c>
      <c r="O235" s="1371">
        <f t="shared" si="28"/>
        <v>94874405.290340811</v>
      </c>
      <c r="P235" s="1371">
        <f t="shared" si="28"/>
        <v>94874405.290340811</v>
      </c>
      <c r="Q235" s="1371">
        <f t="shared" si="28"/>
        <v>94874405.290340811</v>
      </c>
      <c r="R235" s="1371">
        <f t="shared" si="28"/>
        <v>94874405.290340811</v>
      </c>
      <c r="S235" s="1371">
        <f t="shared" si="28"/>
        <v>94874405.290340811</v>
      </c>
      <c r="T235" s="1371">
        <f t="shared" si="28"/>
        <v>94874405.290340811</v>
      </c>
      <c r="U235" s="1371">
        <f t="shared" si="28"/>
        <v>94874405.290340811</v>
      </c>
      <c r="V235" s="1371">
        <f t="shared" si="28"/>
        <v>94874405.290340811</v>
      </c>
      <c r="W235" s="1371">
        <f t="shared" si="28"/>
        <v>94874405.290340811</v>
      </c>
      <c r="X235" s="1371">
        <f t="shared" si="28"/>
        <v>94874405.290340811</v>
      </c>
      <c r="Y235" s="1371">
        <f t="shared" si="28"/>
        <v>94874405.290340811</v>
      </c>
      <c r="Z235" s="1372">
        <f t="shared" si="28"/>
        <v>94874405.290340811</v>
      </c>
      <c r="AA235" s="1374"/>
    </row>
    <row r="236" spans="3:27" x14ac:dyDescent="0.2">
      <c r="C236" s="1363"/>
      <c r="D236" s="1363"/>
      <c r="E236" s="1363"/>
      <c r="F236" s="1203"/>
      <c r="G236" s="1203"/>
      <c r="H236" s="1220" t="s">
        <v>284</v>
      </c>
      <c r="I236" s="1243"/>
      <c r="J236" s="1298"/>
      <c r="K236" s="1373"/>
      <c r="L236" s="1309"/>
      <c r="M236" s="1309"/>
      <c r="N236" s="1309"/>
      <c r="O236" s="1309"/>
      <c r="P236" s="1309"/>
      <c r="Q236" s="1309"/>
      <c r="R236" s="1309"/>
      <c r="S236" s="1309"/>
      <c r="T236" s="1309"/>
      <c r="U236" s="1309"/>
      <c r="V236" s="1309"/>
      <c r="W236" s="1309"/>
      <c r="X236" s="1309"/>
      <c r="Y236" s="1309"/>
      <c r="Z236" s="1375"/>
      <c r="AA236" s="1212"/>
    </row>
    <row r="237" spans="3:27" x14ac:dyDescent="0.2">
      <c r="C237" s="1363">
        <v>1</v>
      </c>
      <c r="D237" s="1363" t="str">
        <f>H237</f>
        <v>Feedstock</v>
      </c>
      <c r="E237" s="1363"/>
      <c r="F237" s="1203"/>
      <c r="G237" s="1203"/>
      <c r="H237" s="1204" t="s">
        <v>285</v>
      </c>
      <c r="I237" s="1243"/>
      <c r="J237" s="1298"/>
      <c r="K237" s="1373"/>
      <c r="L237" s="1309">
        <f>-L210*$M$37*$L$212*$J$209</f>
        <v>-27310656.988535263</v>
      </c>
      <c r="M237" s="1309">
        <f t="shared" ref="M237:Z237" si="29">-M210*$M$37*$L$212*$J$209</f>
        <v>-36414209.318047017</v>
      </c>
      <c r="N237" s="1309">
        <f t="shared" si="29"/>
        <v>-36414209.318047017</v>
      </c>
      <c r="O237" s="1309">
        <f t="shared" si="29"/>
        <v>-36414209.318047017</v>
      </c>
      <c r="P237" s="1309">
        <f t="shared" si="29"/>
        <v>-36414209.318047017</v>
      </c>
      <c r="Q237" s="1309">
        <f t="shared" si="29"/>
        <v>-36414209.318047017</v>
      </c>
      <c r="R237" s="1309">
        <f t="shared" si="29"/>
        <v>-36414209.318047017</v>
      </c>
      <c r="S237" s="1309">
        <f t="shared" si="29"/>
        <v>-36414209.318047017</v>
      </c>
      <c r="T237" s="1309">
        <f t="shared" si="29"/>
        <v>-36414209.318047017</v>
      </c>
      <c r="U237" s="1309">
        <f t="shared" si="29"/>
        <v>-36414209.318047017</v>
      </c>
      <c r="V237" s="1309">
        <f t="shared" si="29"/>
        <v>-36414209.318047017</v>
      </c>
      <c r="W237" s="1309">
        <f t="shared" si="29"/>
        <v>-36414209.318047017</v>
      </c>
      <c r="X237" s="1309">
        <f t="shared" si="29"/>
        <v>-36414209.318047017</v>
      </c>
      <c r="Y237" s="1309">
        <f t="shared" si="29"/>
        <v>-36414209.318047017</v>
      </c>
      <c r="Z237" s="1309">
        <f t="shared" si="29"/>
        <v>-36414209.318047017</v>
      </c>
      <c r="AA237" s="1309"/>
    </row>
    <row r="238" spans="3:27" x14ac:dyDescent="0.2">
      <c r="C238" s="1363">
        <v>2</v>
      </c>
      <c r="D238" s="1363" t="str">
        <f>H238</f>
        <v>Chemicals</v>
      </c>
      <c r="E238" s="1363"/>
      <c r="F238" s="1203"/>
      <c r="G238" s="1203"/>
      <c r="H238" s="1204" t="s">
        <v>86</v>
      </c>
      <c r="I238" s="1243"/>
      <c r="J238" s="1298"/>
      <c r="K238" s="1373"/>
      <c r="L238" s="1309">
        <f t="shared" ref="L238:Z238" si="30">-L$210*$M$109*L$212*$J$209</f>
        <v>-2035482.8558044969</v>
      </c>
      <c r="M238" s="1309">
        <f t="shared" si="30"/>
        <v>-2713977.1410726625</v>
      </c>
      <c r="N238" s="1309">
        <f t="shared" si="30"/>
        <v>-2713977.1410726625</v>
      </c>
      <c r="O238" s="1309">
        <f t="shared" si="30"/>
        <v>-2713977.1410726625</v>
      </c>
      <c r="P238" s="1309">
        <f t="shared" si="30"/>
        <v>-2713977.1410726625</v>
      </c>
      <c r="Q238" s="1309">
        <f t="shared" si="30"/>
        <v>-2713977.1410726625</v>
      </c>
      <c r="R238" s="1309">
        <f t="shared" si="30"/>
        <v>-2713977.1410726625</v>
      </c>
      <c r="S238" s="1309">
        <f t="shared" si="30"/>
        <v>-2713977.1410726625</v>
      </c>
      <c r="T238" s="1309">
        <f t="shared" si="30"/>
        <v>-2713977.1410726625</v>
      </c>
      <c r="U238" s="1309">
        <f t="shared" si="30"/>
        <v>-2713977.1410726625</v>
      </c>
      <c r="V238" s="1309">
        <f t="shared" si="30"/>
        <v>-2713977.1410726625</v>
      </c>
      <c r="W238" s="1309">
        <f t="shared" si="30"/>
        <v>-2713977.1410726625</v>
      </c>
      <c r="X238" s="1309">
        <f t="shared" si="30"/>
        <v>-2713977.1410726625</v>
      </c>
      <c r="Y238" s="1309">
        <f t="shared" si="30"/>
        <v>-2713977.1410726625</v>
      </c>
      <c r="Z238" s="1309">
        <f t="shared" si="30"/>
        <v>-2713977.1410726625</v>
      </c>
      <c r="AA238" s="1220"/>
    </row>
    <row r="239" spans="3:27" x14ac:dyDescent="0.2">
      <c r="C239" s="1363">
        <v>3</v>
      </c>
      <c r="D239" s="1363" t="s">
        <v>129</v>
      </c>
      <c r="E239" s="1363"/>
      <c r="F239" s="1203"/>
      <c r="G239" s="1203"/>
      <c r="H239" s="1204" t="s">
        <v>139</v>
      </c>
      <c r="I239" s="1243"/>
      <c r="J239" s="1298"/>
      <c r="K239" s="1373"/>
      <c r="L239" s="1309">
        <f t="shared" ref="L239:Z239" si="31">-L$210*$M$132*L$212*$J$209</f>
        <v>-2047500</v>
      </c>
      <c r="M239" s="1309">
        <f t="shared" si="31"/>
        <v>-2730000</v>
      </c>
      <c r="N239" s="1309">
        <f t="shared" si="31"/>
        <v>-2730000</v>
      </c>
      <c r="O239" s="1309">
        <f t="shared" si="31"/>
        <v>-2730000</v>
      </c>
      <c r="P239" s="1309">
        <f t="shared" si="31"/>
        <v>-2730000</v>
      </c>
      <c r="Q239" s="1309">
        <f t="shared" si="31"/>
        <v>-2730000</v>
      </c>
      <c r="R239" s="1309">
        <f t="shared" si="31"/>
        <v>-2730000</v>
      </c>
      <c r="S239" s="1309">
        <f t="shared" si="31"/>
        <v>-2730000</v>
      </c>
      <c r="T239" s="1309">
        <f t="shared" si="31"/>
        <v>-2730000</v>
      </c>
      <c r="U239" s="1309">
        <f t="shared" si="31"/>
        <v>-2730000</v>
      </c>
      <c r="V239" s="1309">
        <f t="shared" si="31"/>
        <v>-2730000</v>
      </c>
      <c r="W239" s="1309">
        <f t="shared" si="31"/>
        <v>-2730000</v>
      </c>
      <c r="X239" s="1309">
        <f t="shared" si="31"/>
        <v>-2730000</v>
      </c>
      <c r="Y239" s="1309">
        <f t="shared" si="31"/>
        <v>-2730000</v>
      </c>
      <c r="Z239" s="1309">
        <f t="shared" si="31"/>
        <v>-2730000</v>
      </c>
      <c r="AA239" s="1220"/>
    </row>
    <row r="240" spans="3:27" x14ac:dyDescent="0.2">
      <c r="C240" s="1363">
        <v>3</v>
      </c>
      <c r="D240" s="1363" t="s">
        <v>129</v>
      </c>
      <c r="E240" s="1363"/>
      <c r="F240" s="1203"/>
      <c r="G240" s="1203"/>
      <c r="H240" s="1204" t="s">
        <v>286</v>
      </c>
      <c r="I240" s="1243"/>
      <c r="J240" s="1298"/>
      <c r="K240" s="1373"/>
      <c r="L240" s="1309">
        <f t="shared" ref="L240:Z240" si="32">-L$210*SUM($M$145,$M$118)*L$212*$J$209</f>
        <v>-2263490.4386661565</v>
      </c>
      <c r="M240" s="1309">
        <f t="shared" si="32"/>
        <v>-3017987.2515548752</v>
      </c>
      <c r="N240" s="1309">
        <f t="shared" si="32"/>
        <v>-3017987.2515548752</v>
      </c>
      <c r="O240" s="1309">
        <f t="shared" si="32"/>
        <v>-3017987.2515548752</v>
      </c>
      <c r="P240" s="1309">
        <f t="shared" si="32"/>
        <v>-3017987.2515548752</v>
      </c>
      <c r="Q240" s="1309">
        <f t="shared" si="32"/>
        <v>-3017987.2515548752</v>
      </c>
      <c r="R240" s="1309">
        <f t="shared" si="32"/>
        <v>-3017987.2515548752</v>
      </c>
      <c r="S240" s="1309">
        <f t="shared" si="32"/>
        <v>-3017987.2515548752</v>
      </c>
      <c r="T240" s="1309">
        <f t="shared" si="32"/>
        <v>-3017987.2515548752</v>
      </c>
      <c r="U240" s="1309">
        <f t="shared" si="32"/>
        <v>-3017987.2515548752</v>
      </c>
      <c r="V240" s="1309">
        <f t="shared" si="32"/>
        <v>-3017987.2515548752</v>
      </c>
      <c r="W240" s="1309">
        <f t="shared" si="32"/>
        <v>-3017987.2515548752</v>
      </c>
      <c r="X240" s="1309">
        <f t="shared" si="32"/>
        <v>-3017987.2515548752</v>
      </c>
      <c r="Y240" s="1309">
        <f t="shared" si="32"/>
        <v>-3017987.2515548752</v>
      </c>
      <c r="Z240" s="1309">
        <f t="shared" si="32"/>
        <v>-3017987.2515548752</v>
      </c>
      <c r="AA240" s="1220"/>
    </row>
    <row r="241" spans="1:27" x14ac:dyDescent="0.2">
      <c r="C241" s="1363">
        <v>4</v>
      </c>
      <c r="D241" s="1363" t="s">
        <v>218</v>
      </c>
      <c r="E241" s="1363"/>
      <c r="F241" s="1203"/>
      <c r="G241" s="1203"/>
      <c r="H241" s="1204" t="s">
        <v>218</v>
      </c>
      <c r="I241" s="1243"/>
      <c r="J241" s="1298"/>
      <c r="K241" s="1373"/>
      <c r="L241" s="1309">
        <f t="shared" ref="L241:Z241" si="33">-L$210*$M$168*L$212*$J$209</f>
        <v>-2393550</v>
      </c>
      <c r="M241" s="1309">
        <f t="shared" si="33"/>
        <v>-3191400</v>
      </c>
      <c r="N241" s="1309">
        <f t="shared" si="33"/>
        <v>-3191400</v>
      </c>
      <c r="O241" s="1309">
        <f t="shared" si="33"/>
        <v>-3191400</v>
      </c>
      <c r="P241" s="1309">
        <f t="shared" si="33"/>
        <v>-3191400</v>
      </c>
      <c r="Q241" s="1309">
        <f t="shared" si="33"/>
        <v>-3191400</v>
      </c>
      <c r="R241" s="1309">
        <f t="shared" si="33"/>
        <v>-3191400</v>
      </c>
      <c r="S241" s="1309">
        <f t="shared" si="33"/>
        <v>-3191400</v>
      </c>
      <c r="T241" s="1309">
        <f t="shared" si="33"/>
        <v>-3191400</v>
      </c>
      <c r="U241" s="1309">
        <f t="shared" si="33"/>
        <v>-3191400</v>
      </c>
      <c r="V241" s="1309">
        <f t="shared" si="33"/>
        <v>-3191400</v>
      </c>
      <c r="W241" s="1309">
        <f t="shared" si="33"/>
        <v>-3191400</v>
      </c>
      <c r="X241" s="1309">
        <f t="shared" si="33"/>
        <v>-3191400</v>
      </c>
      <c r="Y241" s="1309">
        <f t="shared" si="33"/>
        <v>-3191400</v>
      </c>
      <c r="Z241" s="1309">
        <f t="shared" si="33"/>
        <v>-3191400</v>
      </c>
      <c r="AA241" s="1220"/>
    </row>
    <row r="242" spans="1:27" x14ac:dyDescent="0.2">
      <c r="C242" s="1363">
        <v>5</v>
      </c>
      <c r="D242" s="1363" t="s">
        <v>287</v>
      </c>
      <c r="E242" s="1363"/>
      <c r="F242" s="1203"/>
      <c r="G242" s="1203"/>
      <c r="H242" s="1204" t="s">
        <v>190</v>
      </c>
      <c r="I242" s="1243"/>
      <c r="J242" s="1298"/>
      <c r="K242" s="1373"/>
      <c r="L242" s="1309">
        <f>-$M$184*$L$212*$J$209*L210</f>
        <v>-2182500</v>
      </c>
      <c r="M242" s="1309">
        <f t="shared" ref="M242:Z242" si="34">-$M$184*$L$212*$J$209*M210</f>
        <v>-2910000</v>
      </c>
      <c r="N242" s="1309">
        <f t="shared" si="34"/>
        <v>-2910000</v>
      </c>
      <c r="O242" s="1309">
        <f t="shared" si="34"/>
        <v>-2910000</v>
      </c>
      <c r="P242" s="1309">
        <f t="shared" si="34"/>
        <v>-2910000</v>
      </c>
      <c r="Q242" s="1309">
        <f t="shared" si="34"/>
        <v>-2910000</v>
      </c>
      <c r="R242" s="1309">
        <f t="shared" si="34"/>
        <v>-2910000</v>
      </c>
      <c r="S242" s="1309">
        <f t="shared" si="34"/>
        <v>-2910000</v>
      </c>
      <c r="T242" s="1309">
        <f t="shared" si="34"/>
        <v>-2910000</v>
      </c>
      <c r="U242" s="1309">
        <f t="shared" si="34"/>
        <v>-2910000</v>
      </c>
      <c r="V242" s="1309">
        <f t="shared" si="34"/>
        <v>-2910000</v>
      </c>
      <c r="W242" s="1309">
        <f t="shared" si="34"/>
        <v>-2910000</v>
      </c>
      <c r="X242" s="1309">
        <f t="shared" si="34"/>
        <v>-2910000</v>
      </c>
      <c r="Y242" s="1309">
        <f t="shared" si="34"/>
        <v>-2910000</v>
      </c>
      <c r="Z242" s="1309">
        <f t="shared" si="34"/>
        <v>-2910000</v>
      </c>
      <c r="AA242" s="1220"/>
    </row>
    <row r="243" spans="1:27" x14ac:dyDescent="0.2">
      <c r="C243" s="1363">
        <v>6</v>
      </c>
      <c r="D243" s="1363" t="s">
        <v>448</v>
      </c>
      <c r="E243" s="1363"/>
      <c r="F243" s="1203"/>
      <c r="G243" s="1203"/>
      <c r="H243" s="1204" t="s">
        <v>288</v>
      </c>
      <c r="I243" s="1243"/>
      <c r="J243" s="1298"/>
      <c r="K243" s="1373"/>
      <c r="L243" s="1309">
        <f>-L$210*$M194*L$212*$J$209</f>
        <v>-931192.5</v>
      </c>
      <c r="M243" s="1309">
        <f t="shared" ref="M243:Z243" si="35">-M$210*$M194*M$212*$J$209</f>
        <v>-1241590</v>
      </c>
      <c r="N243" s="1309">
        <f t="shared" si="35"/>
        <v>-1241590</v>
      </c>
      <c r="O243" s="1309">
        <f t="shared" si="35"/>
        <v>-1241590</v>
      </c>
      <c r="P243" s="1309">
        <f t="shared" si="35"/>
        <v>-1241590</v>
      </c>
      <c r="Q243" s="1309">
        <f t="shared" si="35"/>
        <v>-1241590</v>
      </c>
      <c r="R243" s="1309">
        <f t="shared" si="35"/>
        <v>-1241590</v>
      </c>
      <c r="S243" s="1309">
        <f t="shared" si="35"/>
        <v>-1241590</v>
      </c>
      <c r="T243" s="1309">
        <f t="shared" si="35"/>
        <v>-1241590</v>
      </c>
      <c r="U243" s="1309">
        <f t="shared" si="35"/>
        <v>-1241590</v>
      </c>
      <c r="V243" s="1309">
        <f t="shared" si="35"/>
        <v>-1241590</v>
      </c>
      <c r="W243" s="1309">
        <f t="shared" si="35"/>
        <v>-1241590</v>
      </c>
      <c r="X243" s="1309">
        <f t="shared" si="35"/>
        <v>-1241590</v>
      </c>
      <c r="Y243" s="1309">
        <f t="shared" si="35"/>
        <v>-1241590</v>
      </c>
      <c r="Z243" s="1309">
        <f t="shared" si="35"/>
        <v>-1241590</v>
      </c>
      <c r="AA243" s="1220"/>
    </row>
    <row r="244" spans="1:27" x14ac:dyDescent="0.2">
      <c r="C244" s="1363"/>
      <c r="D244" s="1363"/>
      <c r="E244" s="1363"/>
      <c r="F244" s="1203"/>
      <c r="G244" s="1203"/>
      <c r="H244" s="1204" t="s">
        <v>289</v>
      </c>
      <c r="I244" s="1243"/>
      <c r="J244" s="1298"/>
      <c r="K244" s="1373"/>
      <c r="L244" s="1309"/>
      <c r="M244" s="1309"/>
      <c r="N244" s="1309"/>
      <c r="O244" s="1309"/>
      <c r="P244" s="1309"/>
      <c r="Q244" s="1309"/>
      <c r="R244" s="1309"/>
      <c r="S244" s="1309"/>
      <c r="T244" s="1309"/>
      <c r="U244" s="1309"/>
      <c r="V244" s="1309"/>
      <c r="W244" s="1309"/>
      <c r="X244" s="1309"/>
      <c r="Y244" s="1309"/>
      <c r="Z244" s="1375"/>
      <c r="AA244" s="1220"/>
    </row>
    <row r="245" spans="1:27" x14ac:dyDescent="0.2">
      <c r="C245" s="1363"/>
      <c r="D245" s="1363"/>
      <c r="E245" s="1363"/>
      <c r="F245" s="1203"/>
      <c r="G245" s="1203"/>
      <c r="H245" s="1313" t="s">
        <v>247</v>
      </c>
      <c r="I245" s="1243"/>
      <c r="J245" s="1298"/>
      <c r="K245" s="1373"/>
      <c r="L245" s="1212"/>
      <c r="M245" s="1220"/>
      <c r="N245" s="1265"/>
      <c r="O245" s="1265"/>
      <c r="P245" s="1265"/>
      <c r="Q245" s="1265"/>
      <c r="R245" s="1265"/>
      <c r="S245" s="1265"/>
      <c r="T245" s="1265"/>
      <c r="U245" s="1265"/>
      <c r="V245" s="1265"/>
      <c r="W245" s="1265"/>
      <c r="X245" s="1265"/>
      <c r="Y245" s="1265"/>
      <c r="Z245" s="1223"/>
      <c r="AA245" s="1220"/>
    </row>
    <row r="246" spans="1:27" x14ac:dyDescent="0.2">
      <c r="A246" s="1107" t="s">
        <v>715</v>
      </c>
      <c r="B246" s="1107" t="s">
        <v>275</v>
      </c>
      <c r="C246" s="1363">
        <v>4</v>
      </c>
      <c r="D246" s="1363" t="s">
        <v>218</v>
      </c>
      <c r="E246" s="1363"/>
      <c r="F246" s="1203"/>
      <c r="G246" s="1203"/>
      <c r="H246" s="1204" t="s">
        <v>275</v>
      </c>
      <c r="I246" s="1243"/>
      <c r="J246" s="1298"/>
      <c r="K246" s="1373"/>
      <c r="L246" s="1309">
        <f>-L267*10^6</f>
        <v>-1471800</v>
      </c>
      <c r="M246" s="1309">
        <f t="shared" ref="M246:Z246" si="36">-M267*10^6</f>
        <v>-1471800</v>
      </c>
      <c r="N246" s="1309">
        <f t="shared" si="36"/>
        <v>-1471800</v>
      </c>
      <c r="O246" s="1309">
        <f t="shared" si="36"/>
        <v>-1471800</v>
      </c>
      <c r="P246" s="1309">
        <f t="shared" si="36"/>
        <v>-1471800</v>
      </c>
      <c r="Q246" s="1309">
        <f t="shared" si="36"/>
        <v>-1471800</v>
      </c>
      <c r="R246" s="1309">
        <f t="shared" si="36"/>
        <v>-1471800</v>
      </c>
      <c r="S246" s="1309">
        <f t="shared" si="36"/>
        <v>-1471800</v>
      </c>
      <c r="T246" s="1309">
        <f t="shared" si="36"/>
        <v>-1471800</v>
      </c>
      <c r="U246" s="1309">
        <f t="shared" si="36"/>
        <v>-1471800</v>
      </c>
      <c r="V246" s="1309">
        <f t="shared" si="36"/>
        <v>-1471800</v>
      </c>
      <c r="W246" s="1309">
        <f t="shared" si="36"/>
        <v>-1471800</v>
      </c>
      <c r="X246" s="1309">
        <f t="shared" si="36"/>
        <v>-1471800</v>
      </c>
      <c r="Y246" s="1309">
        <f t="shared" si="36"/>
        <v>-1471800</v>
      </c>
      <c r="Z246" s="1309">
        <f t="shared" si="36"/>
        <v>-1471800</v>
      </c>
      <c r="AA246" s="1220"/>
    </row>
    <row r="247" spans="1:27" x14ac:dyDescent="0.2">
      <c r="C247" s="1363"/>
      <c r="D247" s="1363"/>
      <c r="E247" s="1363"/>
      <c r="F247" s="1203"/>
      <c r="G247" s="1203"/>
      <c r="H247" s="1220" t="s">
        <v>290</v>
      </c>
      <c r="I247" s="1243"/>
      <c r="J247" s="1298"/>
      <c r="K247" s="1373"/>
      <c r="L247" s="1376">
        <f t="shared" ref="L247:Z247" si="37">SUM(L235:L245)</f>
        <v>31991431.184749685</v>
      </c>
      <c r="M247" s="1376">
        <f t="shared" si="37"/>
        <v>42655241.579666257</v>
      </c>
      <c r="N247" s="1376">
        <f t="shared" si="37"/>
        <v>42655241.579666257</v>
      </c>
      <c r="O247" s="1376">
        <f t="shared" si="37"/>
        <v>42655241.579666257</v>
      </c>
      <c r="P247" s="1376">
        <f t="shared" si="37"/>
        <v>42655241.579666257</v>
      </c>
      <c r="Q247" s="1376">
        <f t="shared" si="37"/>
        <v>42655241.579666257</v>
      </c>
      <c r="R247" s="1376">
        <f t="shared" si="37"/>
        <v>42655241.579666257</v>
      </c>
      <c r="S247" s="1376">
        <f t="shared" si="37"/>
        <v>42655241.579666257</v>
      </c>
      <c r="T247" s="1376">
        <f t="shared" si="37"/>
        <v>42655241.579666257</v>
      </c>
      <c r="U247" s="1376">
        <f t="shared" si="37"/>
        <v>42655241.579666257</v>
      </c>
      <c r="V247" s="1376">
        <f t="shared" si="37"/>
        <v>42655241.579666257</v>
      </c>
      <c r="W247" s="1376">
        <f t="shared" si="37"/>
        <v>42655241.579666257</v>
      </c>
      <c r="X247" s="1376">
        <f t="shared" si="37"/>
        <v>42655241.579666257</v>
      </c>
      <c r="Y247" s="1376">
        <f t="shared" si="37"/>
        <v>42655241.579666257</v>
      </c>
      <c r="Z247" s="1376">
        <f t="shared" si="37"/>
        <v>42655241.579666257</v>
      </c>
      <c r="AA247" s="1220"/>
    </row>
    <row r="248" spans="1:27" x14ac:dyDescent="0.2">
      <c r="C248" s="1363"/>
      <c r="D248" s="1363"/>
      <c r="E248" s="1363"/>
      <c r="F248" s="1203"/>
      <c r="G248" s="1203"/>
      <c r="H248" s="1192"/>
      <c r="I248" s="1243"/>
      <c r="J248" s="1203"/>
      <c r="K248" s="1369"/>
      <c r="L248" s="1216"/>
      <c r="M248" s="1192"/>
      <c r="N248" s="1211"/>
      <c r="O248" s="1211"/>
      <c r="P248" s="1211"/>
      <c r="Q248" s="1211"/>
      <c r="R248" s="1211"/>
      <c r="S248" s="1211"/>
      <c r="T248" s="1211"/>
      <c r="U248" s="1211"/>
      <c r="V248" s="1211"/>
      <c r="W248" s="1211"/>
      <c r="X248" s="1211"/>
      <c r="Y248" s="1211"/>
      <c r="Z248" s="1209"/>
    </row>
    <row r="249" spans="1:27" x14ac:dyDescent="0.2">
      <c r="F249" s="1203"/>
      <c r="G249" s="1196">
        <v>14</v>
      </c>
      <c r="H249" s="1275" t="s">
        <v>291</v>
      </c>
      <c r="I249" s="1276" t="s">
        <v>21</v>
      </c>
      <c r="J249" s="1360" t="s">
        <v>249</v>
      </c>
      <c r="K249" s="1361" t="s">
        <v>250</v>
      </c>
      <c r="L249" s="1198" t="s">
        <v>251</v>
      </c>
      <c r="M249" s="1198" t="s">
        <v>252</v>
      </c>
      <c r="N249" s="1362" t="s">
        <v>253</v>
      </c>
      <c r="O249" s="1362" t="s">
        <v>254</v>
      </c>
      <c r="P249" s="1362" t="s">
        <v>255</v>
      </c>
      <c r="Q249" s="1362" t="s">
        <v>256</v>
      </c>
      <c r="R249" s="1362" t="s">
        <v>257</v>
      </c>
      <c r="S249" s="1362" t="s">
        <v>258</v>
      </c>
      <c r="T249" s="1362" t="s">
        <v>259</v>
      </c>
      <c r="U249" s="1362" t="s">
        <v>260</v>
      </c>
      <c r="V249" s="1362" t="s">
        <v>261</v>
      </c>
      <c r="W249" s="1362" t="s">
        <v>262</v>
      </c>
      <c r="X249" s="1362" t="s">
        <v>263</v>
      </c>
      <c r="Y249" s="1362" t="s">
        <v>264</v>
      </c>
      <c r="Z249" s="1200" t="s">
        <v>265</v>
      </c>
    </row>
    <row r="250" spans="1:27" x14ac:dyDescent="0.2">
      <c r="E250" s="1107" t="s">
        <v>484</v>
      </c>
      <c r="F250" s="1192"/>
      <c r="G250" s="1203"/>
      <c r="H250" s="1204" t="s">
        <v>455</v>
      </c>
      <c r="I250" s="1326">
        <v>0</v>
      </c>
      <c r="J250" s="1377">
        <f>J$216*$I250*$J$212*$J$215*($J$15/$J$213)^$J$214</f>
        <v>0</v>
      </c>
      <c r="K250" s="1378">
        <f>K$216*$I250*$J$212*$J$215*($J$15/$J$213)^$J$214</f>
        <v>0</v>
      </c>
      <c r="L250" s="1216"/>
      <c r="M250" s="1192"/>
      <c r="N250" s="1211"/>
      <c r="O250" s="1211"/>
      <c r="P250" s="1211"/>
      <c r="Q250" s="1211"/>
      <c r="R250" s="1211"/>
      <c r="S250" s="1211"/>
      <c r="T250" s="1211"/>
      <c r="U250" s="1211"/>
      <c r="V250" s="1211"/>
      <c r="W250" s="1211"/>
      <c r="X250" s="1211"/>
      <c r="Y250" s="1211"/>
      <c r="Z250" s="1209"/>
    </row>
    <row r="251" spans="1:27" x14ac:dyDescent="0.2">
      <c r="E251" s="1107">
        <v>0</v>
      </c>
      <c r="F251" s="1192"/>
      <c r="G251" s="1203"/>
      <c r="H251" s="1204" t="s">
        <v>456</v>
      </c>
      <c r="I251" s="1326">
        <v>0</v>
      </c>
      <c r="J251" s="1377">
        <f t="shared" ref="J251:K261" si="38">J$216*$I251*$J$212*$J$215*($J$15/$J$213)^$J$214</f>
        <v>0</v>
      </c>
      <c r="K251" s="1378">
        <f t="shared" si="38"/>
        <v>0</v>
      </c>
      <c r="L251" s="1216"/>
      <c r="M251" s="1192"/>
      <c r="N251" s="1211"/>
      <c r="O251" s="1211"/>
      <c r="P251" s="1211"/>
      <c r="Q251" s="1211"/>
      <c r="R251" s="1211"/>
      <c r="S251" s="1211"/>
      <c r="T251" s="1211"/>
      <c r="U251" s="1211"/>
      <c r="V251" s="1211"/>
      <c r="W251" s="1211"/>
      <c r="X251" s="1211"/>
      <c r="Y251" s="1211"/>
      <c r="Z251" s="1209"/>
    </row>
    <row r="252" spans="1:27" x14ac:dyDescent="0.2">
      <c r="E252" s="1107">
        <v>0</v>
      </c>
      <c r="F252" s="1192"/>
      <c r="G252" s="1203"/>
      <c r="H252" s="1204" t="s">
        <v>457</v>
      </c>
      <c r="I252" s="1326">
        <v>0</v>
      </c>
      <c r="J252" s="1377">
        <f t="shared" si="38"/>
        <v>0</v>
      </c>
      <c r="K252" s="1378">
        <f t="shared" si="38"/>
        <v>0</v>
      </c>
      <c r="L252" s="1216"/>
      <c r="M252" s="1192"/>
      <c r="N252" s="1211"/>
      <c r="O252" s="1211"/>
      <c r="P252" s="1211"/>
      <c r="Q252" s="1211"/>
      <c r="R252" s="1211"/>
      <c r="S252" s="1211"/>
      <c r="T252" s="1211"/>
      <c r="U252" s="1211"/>
      <c r="V252" s="1211"/>
      <c r="W252" s="1211"/>
      <c r="X252" s="1211"/>
      <c r="Y252" s="1211"/>
      <c r="Z252" s="1209"/>
    </row>
    <row r="253" spans="1:27" x14ac:dyDescent="0.2">
      <c r="E253" s="1107">
        <v>1</v>
      </c>
      <c r="F253" s="1192"/>
      <c r="G253" s="1203"/>
      <c r="H253" s="1204" t="s">
        <v>458</v>
      </c>
      <c r="I253" s="1326">
        <v>8</v>
      </c>
      <c r="J253" s="1377">
        <f t="shared" si="38"/>
        <v>3.2</v>
      </c>
      <c r="K253" s="1378">
        <f t="shared" si="38"/>
        <v>4.8</v>
      </c>
      <c r="L253" s="1216"/>
      <c r="M253" s="1192"/>
      <c r="N253" s="1211"/>
      <c r="O253" s="1211"/>
      <c r="P253" s="1211"/>
      <c r="Q253" s="1211"/>
      <c r="R253" s="1211"/>
      <c r="S253" s="1211"/>
      <c r="T253" s="1211"/>
      <c r="U253" s="1211"/>
      <c r="V253" s="1211"/>
      <c r="W253" s="1211"/>
      <c r="X253" s="1211"/>
      <c r="Y253" s="1211"/>
      <c r="Z253" s="1209"/>
    </row>
    <row r="254" spans="1:27" x14ac:dyDescent="0.2">
      <c r="E254" s="1107">
        <v>1</v>
      </c>
      <c r="F254" s="1192"/>
      <c r="G254" s="1203"/>
      <c r="H254" s="1204" t="s">
        <v>293</v>
      </c>
      <c r="I254" s="1326">
        <v>18</v>
      </c>
      <c r="J254" s="1377">
        <f t="shared" si="38"/>
        <v>7.2</v>
      </c>
      <c r="K254" s="1378">
        <f t="shared" si="38"/>
        <v>10.799999999999999</v>
      </c>
      <c r="L254" s="1216"/>
      <c r="M254" s="1192"/>
      <c r="N254" s="1211"/>
      <c r="O254" s="1211"/>
      <c r="P254" s="1211"/>
      <c r="Q254" s="1211"/>
      <c r="R254" s="1211"/>
      <c r="S254" s="1211"/>
      <c r="T254" s="1211"/>
      <c r="U254" s="1211"/>
      <c r="V254" s="1211"/>
      <c r="W254" s="1211"/>
      <c r="X254" s="1211"/>
      <c r="Y254" s="1211"/>
      <c r="Z254" s="1209"/>
    </row>
    <row r="255" spans="1:27" x14ac:dyDescent="0.2">
      <c r="E255" s="1107">
        <v>1</v>
      </c>
      <c r="F255" s="1192"/>
      <c r="G255" s="1203"/>
      <c r="H255" s="1204" t="s">
        <v>294</v>
      </c>
      <c r="I255" s="1326">
        <v>23</v>
      </c>
      <c r="J255" s="1377">
        <f t="shared" si="38"/>
        <v>9.2000000000000011</v>
      </c>
      <c r="K255" s="1378">
        <f t="shared" si="38"/>
        <v>13.799999999999999</v>
      </c>
      <c r="L255" s="1216"/>
      <c r="M255" s="1192"/>
      <c r="N255" s="1211"/>
      <c r="O255" s="1211"/>
      <c r="P255" s="1211"/>
      <c r="Q255" s="1211"/>
      <c r="R255" s="1211"/>
      <c r="S255" s="1211"/>
      <c r="T255" s="1211"/>
      <c r="U255" s="1211"/>
      <c r="V255" s="1211"/>
      <c r="W255" s="1211"/>
      <c r="X255" s="1211"/>
      <c r="Y255" s="1211"/>
      <c r="Z255" s="1209"/>
    </row>
    <row r="256" spans="1:27" x14ac:dyDescent="0.2">
      <c r="E256" s="1107">
        <v>1</v>
      </c>
      <c r="F256" s="1192"/>
      <c r="G256" s="1203"/>
      <c r="H256" s="1204" t="s">
        <v>295</v>
      </c>
      <c r="I256" s="1326">
        <v>5</v>
      </c>
      <c r="J256" s="1377">
        <f t="shared" si="38"/>
        <v>2</v>
      </c>
      <c r="K256" s="1378">
        <f t="shared" si="38"/>
        <v>3</v>
      </c>
      <c r="L256" s="1216"/>
      <c r="M256" s="1192"/>
      <c r="N256" s="1211"/>
      <c r="O256" s="1211"/>
      <c r="P256" s="1211"/>
      <c r="Q256" s="1211"/>
      <c r="R256" s="1211"/>
      <c r="S256" s="1211"/>
      <c r="T256" s="1211"/>
      <c r="U256" s="1211"/>
      <c r="V256" s="1211"/>
      <c r="W256" s="1211"/>
      <c r="X256" s="1211"/>
      <c r="Y256" s="1211"/>
      <c r="Z256" s="1209"/>
    </row>
    <row r="257" spans="3:27" x14ac:dyDescent="0.2">
      <c r="E257" s="1107">
        <v>1</v>
      </c>
      <c r="F257" s="1192"/>
      <c r="G257" s="1203"/>
      <c r="H257" s="1204" t="s">
        <v>459</v>
      </c>
      <c r="I257" s="1326">
        <v>14</v>
      </c>
      <c r="J257" s="1377">
        <f t="shared" si="38"/>
        <v>5.6000000000000005</v>
      </c>
      <c r="K257" s="1378">
        <f t="shared" si="38"/>
        <v>8.4</v>
      </c>
      <c r="L257" s="1216"/>
      <c r="M257" s="1192"/>
      <c r="N257" s="1211"/>
      <c r="O257" s="1211"/>
      <c r="P257" s="1211"/>
      <c r="Q257" s="1211"/>
      <c r="R257" s="1211"/>
      <c r="S257" s="1211"/>
      <c r="T257" s="1211"/>
      <c r="U257" s="1211"/>
      <c r="V257" s="1211"/>
      <c r="W257" s="1211"/>
      <c r="X257" s="1211"/>
      <c r="Y257" s="1211"/>
      <c r="Z257" s="1209"/>
    </row>
    <row r="258" spans="3:27" x14ac:dyDescent="0.2">
      <c r="E258" s="1107">
        <v>1</v>
      </c>
      <c r="F258" s="1192"/>
      <c r="G258" s="1203"/>
      <c r="H258" s="1204" t="s">
        <v>460</v>
      </c>
      <c r="I258" s="1326">
        <v>0</v>
      </c>
      <c r="J258" s="1377">
        <f t="shared" si="38"/>
        <v>0</v>
      </c>
      <c r="K258" s="1378">
        <f t="shared" si="38"/>
        <v>0</v>
      </c>
      <c r="L258" s="1216"/>
      <c r="M258" s="1192"/>
      <c r="N258" s="1211"/>
      <c r="O258" s="1211"/>
      <c r="P258" s="1211"/>
      <c r="Q258" s="1211"/>
      <c r="R258" s="1211"/>
      <c r="S258" s="1211"/>
      <c r="T258" s="1211"/>
      <c r="U258" s="1211"/>
      <c r="V258" s="1211"/>
      <c r="W258" s="1211"/>
      <c r="X258" s="1211"/>
      <c r="Y258" s="1211"/>
      <c r="Z258" s="1209"/>
    </row>
    <row r="259" spans="3:27" x14ac:dyDescent="0.2">
      <c r="E259" s="1107">
        <v>1</v>
      </c>
      <c r="F259" s="1192"/>
      <c r="G259" s="1203"/>
      <c r="H259" s="1204" t="s">
        <v>167</v>
      </c>
      <c r="I259" s="1326">
        <v>13</v>
      </c>
      <c r="J259" s="1377">
        <f t="shared" si="38"/>
        <v>5.2</v>
      </c>
      <c r="K259" s="1378">
        <f t="shared" si="38"/>
        <v>7.8</v>
      </c>
      <c r="L259" s="1216"/>
      <c r="M259" s="1192"/>
      <c r="N259" s="1211"/>
      <c r="O259" s="1211"/>
      <c r="P259" s="1211"/>
      <c r="Q259" s="1211"/>
      <c r="R259" s="1211"/>
      <c r="S259" s="1211"/>
      <c r="T259" s="1211"/>
      <c r="U259" s="1211"/>
      <c r="V259" s="1211"/>
      <c r="W259" s="1211"/>
      <c r="X259" s="1211"/>
      <c r="Y259" s="1211"/>
      <c r="Z259" s="1209"/>
    </row>
    <row r="260" spans="3:27" x14ac:dyDescent="0.2">
      <c r="E260" s="1107">
        <v>1</v>
      </c>
      <c r="F260" s="1192"/>
      <c r="G260" s="1203"/>
      <c r="H260" s="1204" t="s">
        <v>461</v>
      </c>
      <c r="I260" s="1326">
        <v>10</v>
      </c>
      <c r="J260" s="1377">
        <f t="shared" si="38"/>
        <v>4</v>
      </c>
      <c r="K260" s="1378">
        <f t="shared" si="38"/>
        <v>6</v>
      </c>
      <c r="L260" s="1216"/>
      <c r="M260" s="1192"/>
      <c r="N260" s="1211"/>
      <c r="O260" s="1211"/>
      <c r="P260" s="1211"/>
      <c r="Q260" s="1211"/>
      <c r="R260" s="1211"/>
      <c r="S260" s="1211"/>
      <c r="T260" s="1211"/>
      <c r="U260" s="1211"/>
      <c r="V260" s="1211"/>
      <c r="W260" s="1211"/>
      <c r="X260" s="1211"/>
      <c r="Y260" s="1211"/>
      <c r="Z260" s="1209"/>
    </row>
    <row r="261" spans="3:27" x14ac:dyDescent="0.2">
      <c r="E261" s="1107">
        <v>1</v>
      </c>
      <c r="F261" s="1192"/>
      <c r="G261" s="1203"/>
      <c r="H261" s="1204" t="s">
        <v>462</v>
      </c>
      <c r="I261" s="1326">
        <v>5</v>
      </c>
      <c r="J261" s="1377">
        <f t="shared" si="38"/>
        <v>2</v>
      </c>
      <c r="K261" s="1378">
        <f t="shared" si="38"/>
        <v>3</v>
      </c>
      <c r="L261" s="1216"/>
      <c r="M261" s="1192"/>
      <c r="N261" s="1211"/>
      <c r="O261" s="1211"/>
      <c r="P261" s="1211"/>
      <c r="Q261" s="1211"/>
      <c r="R261" s="1211"/>
      <c r="S261" s="1211"/>
      <c r="T261" s="1211"/>
      <c r="U261" s="1211"/>
      <c r="V261" s="1211"/>
      <c r="W261" s="1211"/>
      <c r="X261" s="1211"/>
      <c r="Y261" s="1211"/>
      <c r="Z261" s="1209"/>
    </row>
    <row r="262" spans="3:27" x14ac:dyDescent="0.2">
      <c r="E262" s="1107">
        <v>1</v>
      </c>
      <c r="F262" s="1192"/>
      <c r="G262" s="1203"/>
      <c r="H262" s="1204" t="s">
        <v>298</v>
      </c>
      <c r="I262" s="1205">
        <v>0.125</v>
      </c>
      <c r="J262" s="1377">
        <f>SUM(J250:J261)*$I262</f>
        <v>4.8000000000000007</v>
      </c>
      <c r="K262" s="1378">
        <f>SUM(K250:K261)*$I262</f>
        <v>7.1999999999999993</v>
      </c>
      <c r="L262" s="1204" t="s">
        <v>367</v>
      </c>
      <c r="N262" s="1211"/>
      <c r="O262" s="1211"/>
      <c r="P262" s="1211"/>
      <c r="Q262" s="1211"/>
      <c r="R262" s="1211"/>
      <c r="S262" s="1211"/>
      <c r="T262" s="1211"/>
      <c r="U262" s="1211"/>
      <c r="V262" s="1211"/>
      <c r="W262" s="1211"/>
      <c r="X262" s="1211"/>
      <c r="Y262" s="1211"/>
      <c r="Z262" s="1209"/>
    </row>
    <row r="263" spans="3:27" x14ac:dyDescent="0.2">
      <c r="F263" s="1192"/>
      <c r="G263" s="1203"/>
      <c r="H263" s="1204" t="s">
        <v>368</v>
      </c>
      <c r="I263" s="1205">
        <v>0.1</v>
      </c>
      <c r="J263" s="1377">
        <f>SUM(J250:J262)*$I263</f>
        <v>4.32</v>
      </c>
      <c r="K263" s="1378">
        <f>SUM(K250:K262)*$I263</f>
        <v>6.48</v>
      </c>
      <c r="L263" s="1221" t="s">
        <v>369</v>
      </c>
      <c r="M263" s="1204"/>
      <c r="N263" s="1211"/>
      <c r="O263" s="1211"/>
      <c r="P263" s="1211"/>
      <c r="Q263" s="1211"/>
      <c r="R263" s="1211"/>
      <c r="S263" s="1211"/>
      <c r="T263" s="1211"/>
      <c r="U263" s="1211"/>
      <c r="V263" s="1211"/>
      <c r="W263" s="1211"/>
      <c r="X263" s="1211"/>
      <c r="Y263" s="1211"/>
      <c r="Z263" s="1209"/>
    </row>
    <row r="264" spans="3:27" x14ac:dyDescent="0.2">
      <c r="F264" s="1192"/>
      <c r="G264" s="1203"/>
      <c r="H264" s="1204" t="s">
        <v>370</v>
      </c>
      <c r="I264" s="1326">
        <v>5</v>
      </c>
      <c r="J264" s="1377">
        <f>I264</f>
        <v>5</v>
      </c>
      <c r="K264" s="1378"/>
      <c r="L264" s="1267" t="s">
        <v>371</v>
      </c>
      <c r="M264" s="1192"/>
      <c r="N264" s="1211"/>
      <c r="O264" s="1211"/>
      <c r="P264" s="1211"/>
      <c r="Q264" s="1211"/>
      <c r="R264" s="1211"/>
      <c r="S264" s="1211"/>
      <c r="T264" s="1211"/>
      <c r="U264" s="1211"/>
      <c r="V264" s="1211"/>
      <c r="W264" s="1211"/>
      <c r="X264" s="1211"/>
      <c r="Y264" s="1211"/>
      <c r="Z264" s="1209"/>
    </row>
    <row r="265" spans="3:27" x14ac:dyDescent="0.2">
      <c r="F265" s="1192"/>
      <c r="G265" s="1203"/>
      <c r="H265" s="1204" t="s">
        <v>372</v>
      </c>
      <c r="I265" s="1326">
        <v>10</v>
      </c>
      <c r="J265" s="1377">
        <f>J$216*$I265*$J$212*$J$215</f>
        <v>4</v>
      </c>
      <c r="K265" s="1378">
        <f>K$216*$I265*$J$212*$J$215</f>
        <v>6</v>
      </c>
      <c r="L265" s="1355" t="s">
        <v>653</v>
      </c>
      <c r="M265" s="1192"/>
      <c r="N265" s="1211"/>
      <c r="O265" s="1211"/>
      <c r="P265" s="1211"/>
      <c r="Q265" s="1211"/>
      <c r="R265" s="1211"/>
      <c r="S265" s="1211"/>
      <c r="T265" s="1211"/>
      <c r="U265" s="1211"/>
      <c r="V265" s="1211"/>
      <c r="W265" s="1211"/>
      <c r="X265" s="1211"/>
      <c r="Y265" s="1211"/>
      <c r="Z265" s="1209"/>
    </row>
    <row r="266" spans="3:27" x14ac:dyDescent="0.2">
      <c r="F266" s="1192"/>
      <c r="G266" s="1203"/>
      <c r="H266" s="1204" t="s">
        <v>299</v>
      </c>
      <c r="I266" s="1379">
        <v>0.1</v>
      </c>
      <c r="J266" s="1377">
        <f>SUM(J250:J265)*$I266</f>
        <v>5.652000000000001</v>
      </c>
      <c r="K266" s="1378">
        <f>SUM(K250:K265)*$I266</f>
        <v>7.7280000000000006</v>
      </c>
      <c r="L266" s="1216"/>
      <c r="M266" s="1192"/>
      <c r="N266" s="1211"/>
      <c r="O266" s="1211"/>
      <c r="P266" s="1211"/>
      <c r="Q266" s="1211"/>
      <c r="R266" s="1211"/>
      <c r="S266" s="1211"/>
      <c r="T266" s="1211"/>
      <c r="U266" s="1211"/>
      <c r="V266" s="1211"/>
      <c r="W266" s="1211"/>
      <c r="X266" s="1211"/>
      <c r="Y266" s="1211"/>
      <c r="Z266" s="1209"/>
    </row>
    <row r="267" spans="3:27" x14ac:dyDescent="0.2">
      <c r="C267" s="1363">
        <v>4</v>
      </c>
      <c r="D267" s="1363" t="s">
        <v>218</v>
      </c>
      <c r="F267" s="1192"/>
      <c r="G267" s="1203"/>
      <c r="H267" s="1313" t="s">
        <v>275</v>
      </c>
      <c r="I267" s="1235" t="s">
        <v>300</v>
      </c>
      <c r="J267" s="1380"/>
      <c r="K267" s="1381"/>
      <c r="L267" s="1382">
        <f>L212*L217*SUM($J$268:$K$268)</f>
        <v>1.4718</v>
      </c>
      <c r="M267" s="1382">
        <f t="shared" ref="M267:Z267" si="39">M212*M217*SUM($J$268:$K$268)</f>
        <v>1.4718</v>
      </c>
      <c r="N267" s="1382">
        <f t="shared" si="39"/>
        <v>1.4718</v>
      </c>
      <c r="O267" s="1382">
        <f t="shared" si="39"/>
        <v>1.4718</v>
      </c>
      <c r="P267" s="1382">
        <f t="shared" si="39"/>
        <v>1.4718</v>
      </c>
      <c r="Q267" s="1208">
        <f t="shared" si="39"/>
        <v>1.4718</v>
      </c>
      <c r="R267" s="1208">
        <f t="shared" si="39"/>
        <v>1.4718</v>
      </c>
      <c r="S267" s="1208">
        <f t="shared" si="39"/>
        <v>1.4718</v>
      </c>
      <c r="T267" s="1208">
        <f t="shared" si="39"/>
        <v>1.4718</v>
      </c>
      <c r="U267" s="1208">
        <f t="shared" si="39"/>
        <v>1.4718</v>
      </c>
      <c r="V267" s="1208">
        <f t="shared" si="39"/>
        <v>1.4718</v>
      </c>
      <c r="W267" s="1208">
        <f t="shared" si="39"/>
        <v>1.4718</v>
      </c>
      <c r="X267" s="1208">
        <f t="shared" si="39"/>
        <v>1.4718</v>
      </c>
      <c r="Y267" s="1208">
        <f t="shared" si="39"/>
        <v>1.4718</v>
      </c>
      <c r="Z267" s="1383">
        <f t="shared" si="39"/>
        <v>1.4718</v>
      </c>
      <c r="AA267" s="1382">
        <f>AA212*AA217*SUM($J$229:Z268)</f>
        <v>0</v>
      </c>
    </row>
    <row r="268" spans="3:27" x14ac:dyDescent="0.2">
      <c r="F268" s="1192"/>
      <c r="G268" s="1203"/>
      <c r="H268" s="1220" t="s">
        <v>301</v>
      </c>
      <c r="I268" s="1243"/>
      <c r="J268" s="1384">
        <f t="shared" ref="J268:Z268" si="40">SUM(J250:J267)</f>
        <v>62.172000000000004</v>
      </c>
      <c r="K268" s="1385">
        <f t="shared" si="40"/>
        <v>85.007999999999996</v>
      </c>
      <c r="L268" s="1384">
        <f t="shared" si="40"/>
        <v>1.4718</v>
      </c>
      <c r="M268" s="1384">
        <f t="shared" si="40"/>
        <v>1.4718</v>
      </c>
      <c r="N268" s="1273">
        <f t="shared" si="40"/>
        <v>1.4718</v>
      </c>
      <c r="O268" s="1273">
        <f t="shared" si="40"/>
        <v>1.4718</v>
      </c>
      <c r="P268" s="1273">
        <f t="shared" si="40"/>
        <v>1.4718</v>
      </c>
      <c r="Q268" s="1273">
        <f t="shared" si="40"/>
        <v>1.4718</v>
      </c>
      <c r="R268" s="1273">
        <f t="shared" si="40"/>
        <v>1.4718</v>
      </c>
      <c r="S268" s="1273">
        <f t="shared" si="40"/>
        <v>1.4718</v>
      </c>
      <c r="T268" s="1273">
        <f t="shared" si="40"/>
        <v>1.4718</v>
      </c>
      <c r="U268" s="1273">
        <f t="shared" si="40"/>
        <v>1.4718</v>
      </c>
      <c r="V268" s="1273">
        <f t="shared" si="40"/>
        <v>1.4718</v>
      </c>
      <c r="W268" s="1273">
        <f t="shared" si="40"/>
        <v>1.4718</v>
      </c>
      <c r="X268" s="1273">
        <f t="shared" si="40"/>
        <v>1.4718</v>
      </c>
      <c r="Y268" s="1273">
        <f t="shared" si="40"/>
        <v>1.4718</v>
      </c>
      <c r="Z268" s="1218">
        <f t="shared" si="40"/>
        <v>1.4718</v>
      </c>
    </row>
    <row r="269" spans="3:27" x14ac:dyDescent="0.2">
      <c r="F269" s="1192"/>
      <c r="G269" s="1203"/>
      <c r="H269" s="1192"/>
      <c r="I269" s="1243"/>
      <c r="J269" s="1203"/>
      <c r="K269" s="1369"/>
      <c r="L269" s="1216"/>
      <c r="M269" s="1192"/>
      <c r="N269" s="1211"/>
      <c r="O269" s="1211"/>
      <c r="P269" s="1211"/>
      <c r="Q269" s="1211"/>
      <c r="R269" s="1211"/>
      <c r="S269" s="1211"/>
      <c r="T269" s="1211"/>
      <c r="U269" s="1211"/>
      <c r="V269" s="1211"/>
      <c r="W269" s="1211"/>
      <c r="X269" s="1211"/>
      <c r="Y269" s="1211"/>
      <c r="Z269" s="1209"/>
    </row>
    <row r="270" spans="3:27" x14ac:dyDescent="0.2">
      <c r="F270" s="1192"/>
      <c r="G270" s="1224"/>
      <c r="H270" s="1225"/>
      <c r="I270" s="1226"/>
      <c r="J270" s="1224"/>
      <c r="K270" s="1386"/>
      <c r="L270" s="1227"/>
      <c r="M270" s="1225"/>
      <c r="N270" s="1229"/>
      <c r="O270" s="1229"/>
      <c r="P270" s="1229"/>
      <c r="Q270" s="1229"/>
      <c r="R270" s="1229"/>
      <c r="S270" s="1229"/>
      <c r="T270" s="1229"/>
      <c r="U270" s="1229"/>
      <c r="V270" s="1229"/>
      <c r="W270" s="1229"/>
      <c r="X270" s="1229"/>
      <c r="Y270" s="1229"/>
      <c r="Z270" s="1228"/>
    </row>
    <row r="271" spans="3:27" x14ac:dyDescent="0.2">
      <c r="F271" s="1192"/>
      <c r="G271" s="1192"/>
      <c r="K271" s="1192"/>
      <c r="L271" s="1216"/>
      <c r="M271" s="1192"/>
      <c r="N271" s="1211"/>
      <c r="O271" s="1211"/>
      <c r="P271" s="1211"/>
      <c r="Q271" s="1211"/>
      <c r="R271" s="1211"/>
      <c r="S271" s="1211"/>
      <c r="T271" s="1211"/>
    </row>
    <row r="272" spans="3:27" x14ac:dyDescent="0.2">
      <c r="F272" s="1203"/>
      <c r="G272" s="1203"/>
      <c r="H272" s="1192"/>
      <c r="I272" s="1243"/>
      <c r="J272" s="1192"/>
      <c r="K272" s="1192"/>
      <c r="L272" s="1216"/>
      <c r="M272" s="1192"/>
      <c r="N272" s="1209"/>
      <c r="O272" s="1211"/>
      <c r="P272" s="1211"/>
      <c r="Q272" s="1211"/>
      <c r="R272" s="1211"/>
      <c r="S272" s="1211"/>
      <c r="T272" s="1209"/>
    </row>
    <row r="273" spans="3:28" x14ac:dyDescent="0.2">
      <c r="F273" s="1203"/>
      <c r="G273" s="1203"/>
      <c r="H273" s="1192"/>
      <c r="I273" s="1243"/>
      <c r="J273" s="1192"/>
      <c r="K273" s="1192"/>
      <c r="L273" s="1216"/>
      <c r="M273" s="1192"/>
      <c r="N273" s="1209"/>
      <c r="O273" s="1211"/>
      <c r="P273" s="1211"/>
      <c r="Q273" s="1211"/>
      <c r="R273" s="1211"/>
      <c r="S273" s="1211"/>
      <c r="T273" s="1209"/>
    </row>
    <row r="274" spans="3:28" s="1191" customFormat="1" x14ac:dyDescent="0.2">
      <c r="C274" s="1107"/>
      <c r="D274" s="1107"/>
      <c r="E274" s="1107"/>
      <c r="F274" s="1203"/>
      <c r="G274" s="1203"/>
      <c r="H274" s="1192"/>
      <c r="I274" s="1243"/>
      <c r="J274" s="1192"/>
      <c r="K274" s="1192"/>
      <c r="L274" s="1216"/>
      <c r="M274" s="1192"/>
      <c r="N274" s="1209"/>
      <c r="O274" s="1211"/>
      <c r="P274" s="1211"/>
      <c r="Q274" s="1211"/>
      <c r="R274" s="1211"/>
      <c r="S274" s="1211"/>
      <c r="T274" s="1209"/>
      <c r="AA274" s="1107"/>
      <c r="AB274" s="1107"/>
    </row>
    <row r="275" spans="3:28" s="1191" customFormat="1" x14ac:dyDescent="0.2">
      <c r="C275" s="1107"/>
      <c r="D275" s="1107"/>
      <c r="E275" s="1107"/>
      <c r="F275" s="1203"/>
      <c r="G275" s="1203"/>
      <c r="H275" s="1192"/>
      <c r="I275" s="1243"/>
      <c r="J275" s="1192"/>
      <c r="K275" s="1192"/>
      <c r="L275" s="1216"/>
      <c r="M275" s="1192"/>
      <c r="N275" s="1209"/>
      <c r="O275" s="1211"/>
      <c r="P275" s="1211"/>
      <c r="Q275" s="1211"/>
      <c r="R275" s="1211"/>
      <c r="S275" s="1211"/>
      <c r="T275" s="1209"/>
      <c r="AA275" s="1107"/>
      <c r="AB275" s="1107"/>
    </row>
    <row r="276" spans="3:28" s="1191" customFormat="1" x14ac:dyDescent="0.2">
      <c r="C276" s="1107"/>
      <c r="D276" s="1107"/>
      <c r="E276" s="1107"/>
      <c r="F276" s="1203"/>
      <c r="G276" s="1203"/>
      <c r="H276" s="1192"/>
      <c r="I276" s="1243"/>
      <c r="J276" s="1192"/>
      <c r="K276" s="1192"/>
      <c r="L276" s="1216"/>
      <c r="M276" s="1192"/>
      <c r="N276" s="1209"/>
      <c r="O276" s="1211"/>
      <c r="P276" s="1211"/>
      <c r="Q276" s="1211"/>
      <c r="R276" s="1211"/>
      <c r="S276" s="1211"/>
      <c r="T276" s="1209"/>
      <c r="AA276" s="1107"/>
      <c r="AB276" s="1107"/>
    </row>
    <row r="277" spans="3:28" s="1191" customFormat="1" x14ac:dyDescent="0.2">
      <c r="F277" s="1203"/>
      <c r="G277" s="1203"/>
      <c r="H277" s="1192"/>
      <c r="I277" s="1243"/>
      <c r="J277" s="1192"/>
      <c r="K277" s="1192"/>
      <c r="L277" s="1216"/>
      <c r="M277" s="1192"/>
      <c r="N277" s="1209"/>
      <c r="O277" s="1211"/>
      <c r="P277" s="1211"/>
      <c r="Q277" s="1211"/>
      <c r="R277" s="1211"/>
      <c r="S277" s="1211"/>
      <c r="T277" s="1209"/>
    </row>
    <row r="278" spans="3:28" s="1191" customFormat="1" x14ac:dyDescent="0.2">
      <c r="F278" s="1203"/>
      <c r="G278" s="1203"/>
      <c r="H278" s="1192"/>
      <c r="I278" s="1243"/>
      <c r="J278" s="1192"/>
      <c r="K278" s="1192"/>
      <c r="L278" s="1216"/>
      <c r="M278" s="1192"/>
      <c r="N278" s="1209"/>
      <c r="O278" s="1211"/>
      <c r="P278" s="1211"/>
      <c r="Q278" s="1211"/>
      <c r="R278" s="1211"/>
      <c r="S278" s="1211"/>
      <c r="T278" s="1209"/>
    </row>
    <row r="279" spans="3:28" s="1191" customFormat="1" x14ac:dyDescent="0.2">
      <c r="F279" s="1203"/>
      <c r="G279" s="1203"/>
      <c r="H279" s="1192"/>
      <c r="I279" s="1243"/>
      <c r="J279" s="1192"/>
      <c r="K279" s="1192"/>
      <c r="L279" s="1216"/>
      <c r="M279" s="1192"/>
      <c r="N279" s="1209"/>
      <c r="O279" s="1211"/>
      <c r="P279" s="1211"/>
      <c r="Q279" s="1211"/>
      <c r="R279" s="1211"/>
      <c r="S279" s="1211"/>
      <c r="T279" s="1209"/>
    </row>
    <row r="280" spans="3:28" s="1191" customFormat="1" x14ac:dyDescent="0.2">
      <c r="F280" s="1203"/>
      <c r="G280" s="1203"/>
      <c r="H280" s="1192"/>
      <c r="I280" s="1243"/>
      <c r="J280" s="1192"/>
      <c r="K280" s="1192"/>
      <c r="L280" s="1216"/>
      <c r="M280" s="1192"/>
      <c r="N280" s="1209"/>
      <c r="O280" s="1211"/>
      <c r="P280" s="1211"/>
      <c r="Q280" s="1211"/>
      <c r="R280" s="1211"/>
      <c r="S280" s="1211"/>
      <c r="T280" s="1209"/>
    </row>
    <row r="281" spans="3:28" s="1191" customFormat="1" x14ac:dyDescent="0.2">
      <c r="F281" s="1203"/>
      <c r="G281" s="1203"/>
      <c r="H281" s="1192"/>
      <c r="I281" s="1243"/>
      <c r="J281" s="1192"/>
      <c r="K281" s="1192"/>
      <c r="L281" s="1216"/>
      <c r="M281" s="1192"/>
      <c r="N281" s="1209"/>
      <c r="O281" s="1211"/>
      <c r="P281" s="1211"/>
      <c r="Q281" s="1211"/>
      <c r="R281" s="1211"/>
      <c r="S281" s="1211"/>
      <c r="T281" s="1209"/>
    </row>
    <row r="282" spans="3:28" s="1191" customFormat="1" x14ac:dyDescent="0.2">
      <c r="F282" s="1203"/>
      <c r="G282" s="1203"/>
      <c r="H282" s="1192"/>
      <c r="I282" s="1243"/>
      <c r="J282" s="1192"/>
      <c r="K282" s="1192"/>
      <c r="L282" s="1216"/>
      <c r="M282" s="1192"/>
      <c r="N282" s="1209"/>
      <c r="O282" s="1211"/>
      <c r="P282" s="1211"/>
      <c r="Q282" s="1211"/>
      <c r="R282" s="1211"/>
      <c r="S282" s="1211"/>
      <c r="T282" s="1209"/>
    </row>
    <row r="283" spans="3:28" s="1191" customFormat="1" x14ac:dyDescent="0.2">
      <c r="F283" s="1203"/>
      <c r="G283" s="1203"/>
      <c r="H283" s="1192"/>
      <c r="I283" s="1243"/>
      <c r="J283" s="1192"/>
      <c r="K283" s="1192"/>
      <c r="L283" s="1216"/>
      <c r="M283" s="1192"/>
      <c r="N283" s="1209"/>
      <c r="O283" s="1211"/>
      <c r="P283" s="1211"/>
      <c r="Q283" s="1211"/>
      <c r="R283" s="1211"/>
      <c r="S283" s="1211"/>
      <c r="T283" s="1209"/>
    </row>
    <row r="284" spans="3:28" s="1191" customFormat="1" x14ac:dyDescent="0.2">
      <c r="F284" s="1203"/>
      <c r="G284" s="1203"/>
      <c r="H284" s="1192"/>
      <c r="I284" s="1243"/>
      <c r="J284" s="1192"/>
      <c r="K284" s="1192"/>
      <c r="L284" s="1216"/>
      <c r="M284" s="1192"/>
      <c r="N284" s="1209"/>
      <c r="O284" s="1211"/>
      <c r="P284" s="1211"/>
      <c r="Q284" s="1211"/>
      <c r="R284" s="1211"/>
      <c r="S284" s="1211"/>
      <c r="T284" s="1209"/>
    </row>
    <row r="285" spans="3:28" s="1191" customFormat="1" x14ac:dyDescent="0.2">
      <c r="F285" s="1203"/>
      <c r="G285" s="1203"/>
      <c r="H285" s="1192"/>
      <c r="I285" s="1243"/>
      <c r="J285" s="1192"/>
      <c r="K285" s="1192"/>
      <c r="L285" s="1216"/>
      <c r="M285" s="1192"/>
      <c r="N285" s="1209"/>
      <c r="O285" s="1211"/>
      <c r="P285" s="1211"/>
      <c r="Q285" s="1211"/>
      <c r="R285" s="1211"/>
      <c r="S285" s="1211"/>
      <c r="T285" s="1209"/>
    </row>
    <row r="286" spans="3:28" s="1191" customFormat="1" x14ac:dyDescent="0.2">
      <c r="F286" s="1203"/>
      <c r="G286" s="1203"/>
      <c r="H286" s="1192"/>
      <c r="I286" s="1243"/>
      <c r="J286" s="1192"/>
      <c r="K286" s="1192"/>
      <c r="L286" s="1216"/>
      <c r="M286" s="1192"/>
      <c r="N286" s="1209"/>
      <c r="O286" s="1211"/>
      <c r="P286" s="1211"/>
      <c r="Q286" s="1211"/>
      <c r="R286" s="1211"/>
      <c r="S286" s="1211"/>
      <c r="T286" s="1209"/>
    </row>
    <row r="287" spans="3:28" s="1191" customFormat="1" x14ac:dyDescent="0.2">
      <c r="F287" s="1203"/>
      <c r="G287" s="1203"/>
      <c r="H287" s="1192"/>
      <c r="I287" s="1243"/>
      <c r="J287" s="1192"/>
      <c r="K287" s="1192"/>
      <c r="L287" s="1216"/>
      <c r="M287" s="1192"/>
      <c r="N287" s="1209"/>
      <c r="O287" s="1211"/>
      <c r="P287" s="1211"/>
      <c r="Q287" s="1211"/>
      <c r="R287" s="1211"/>
      <c r="S287" s="1211"/>
      <c r="T287" s="1209"/>
    </row>
    <row r="288" spans="3:28" s="1191" customFormat="1" x14ac:dyDescent="0.2">
      <c r="F288" s="1203"/>
      <c r="G288" s="1203"/>
      <c r="H288" s="1192"/>
      <c r="I288" s="1243"/>
      <c r="J288" s="1192"/>
      <c r="K288" s="1192"/>
      <c r="L288" s="1216"/>
      <c r="M288" s="1192"/>
      <c r="N288" s="1209"/>
      <c r="O288" s="1211"/>
      <c r="P288" s="1211"/>
      <c r="Q288" s="1211"/>
      <c r="R288" s="1211"/>
      <c r="S288" s="1211"/>
      <c r="T288" s="1209"/>
    </row>
    <row r="289" spans="6:20" s="1191" customFormat="1" x14ac:dyDescent="0.2">
      <c r="F289" s="1203"/>
      <c r="G289" s="1203"/>
      <c r="H289" s="1192"/>
      <c r="I289" s="1243"/>
      <c r="J289" s="1192"/>
      <c r="K289" s="1192"/>
      <c r="L289" s="1216"/>
      <c r="M289" s="1192"/>
      <c r="N289" s="1209"/>
      <c r="O289" s="1211"/>
      <c r="P289" s="1211"/>
      <c r="Q289" s="1211"/>
      <c r="R289" s="1211"/>
      <c r="S289" s="1211"/>
      <c r="T289" s="1209"/>
    </row>
    <row r="290" spans="6:20" s="1191" customFormat="1" x14ac:dyDescent="0.2">
      <c r="F290" s="1203"/>
      <c r="G290" s="1203"/>
      <c r="H290" s="1192"/>
      <c r="I290" s="1243"/>
      <c r="J290" s="1192"/>
      <c r="K290" s="1192"/>
      <c r="L290" s="1216"/>
      <c r="M290" s="1192"/>
      <c r="N290" s="1209"/>
      <c r="O290" s="1211"/>
      <c r="P290" s="1211"/>
      <c r="Q290" s="1211"/>
      <c r="R290" s="1211"/>
      <c r="S290" s="1211"/>
      <c r="T290" s="1209"/>
    </row>
    <row r="291" spans="6:20" s="1191" customFormat="1" x14ac:dyDescent="0.2">
      <c r="F291" s="1203"/>
      <c r="G291" s="1203"/>
      <c r="H291" s="1192"/>
      <c r="I291" s="1243"/>
      <c r="J291" s="1192"/>
      <c r="K291" s="1192"/>
      <c r="L291" s="1216"/>
      <c r="M291" s="1192"/>
      <c r="N291" s="1209"/>
      <c r="O291" s="1211"/>
      <c r="P291" s="1211"/>
      <c r="Q291" s="1211"/>
      <c r="R291" s="1211"/>
      <c r="S291" s="1211"/>
      <c r="T291" s="1209"/>
    </row>
    <row r="292" spans="6:20" s="1191" customFormat="1" x14ac:dyDescent="0.2">
      <c r="F292" s="1203"/>
      <c r="G292" s="1203"/>
      <c r="H292" s="1192"/>
      <c r="I292" s="1243"/>
      <c r="J292" s="1192"/>
      <c r="K292" s="1192"/>
      <c r="L292" s="1216"/>
      <c r="M292" s="1192"/>
      <c r="N292" s="1209"/>
      <c r="O292" s="1211"/>
      <c r="P292" s="1211"/>
      <c r="Q292" s="1211"/>
      <c r="R292" s="1211"/>
      <c r="S292" s="1211"/>
      <c r="T292" s="1209"/>
    </row>
    <row r="293" spans="6:20" s="1191" customFormat="1" x14ac:dyDescent="0.2">
      <c r="F293" s="1203"/>
      <c r="G293" s="1203"/>
      <c r="H293" s="1192"/>
      <c r="I293" s="1243"/>
      <c r="J293" s="1192"/>
      <c r="K293" s="1192"/>
      <c r="L293" s="1216"/>
      <c r="M293" s="1192"/>
      <c r="N293" s="1209"/>
      <c r="O293" s="1211"/>
      <c r="P293" s="1211"/>
      <c r="Q293" s="1211"/>
      <c r="R293" s="1211"/>
      <c r="S293" s="1211"/>
      <c r="T293" s="1209"/>
    </row>
    <row r="294" spans="6:20" s="1191" customFormat="1" x14ac:dyDescent="0.2">
      <c r="F294" s="1203"/>
      <c r="G294" s="1203"/>
      <c r="H294" s="1192"/>
      <c r="I294" s="1243"/>
      <c r="J294" s="1192"/>
      <c r="K294" s="1192"/>
      <c r="L294" s="1216"/>
      <c r="M294" s="1192"/>
      <c r="N294" s="1209"/>
      <c r="O294" s="1211"/>
      <c r="P294" s="1211"/>
      <c r="Q294" s="1211"/>
      <c r="R294" s="1211"/>
      <c r="S294" s="1211"/>
      <c r="T294" s="1209"/>
    </row>
    <row r="295" spans="6:20" s="1191" customFormat="1" x14ac:dyDescent="0.2">
      <c r="F295" s="1203"/>
      <c r="G295" s="1203"/>
      <c r="H295" s="1192"/>
      <c r="I295" s="1243"/>
      <c r="J295" s="1192"/>
      <c r="K295" s="1192"/>
      <c r="L295" s="1216"/>
      <c r="M295" s="1192"/>
      <c r="N295" s="1209"/>
      <c r="O295" s="1211"/>
      <c r="P295" s="1211"/>
      <c r="Q295" s="1211"/>
      <c r="R295" s="1211"/>
      <c r="S295" s="1211"/>
      <c r="T295" s="1209"/>
    </row>
    <row r="296" spans="6:20" s="1191" customFormat="1" x14ac:dyDescent="0.2">
      <c r="F296" s="1203"/>
      <c r="G296" s="1203"/>
      <c r="H296" s="1192"/>
      <c r="I296" s="1243"/>
      <c r="J296" s="1192"/>
      <c r="K296" s="1192"/>
      <c r="L296" s="1216"/>
      <c r="M296" s="1192"/>
      <c r="N296" s="1209"/>
      <c r="O296" s="1211"/>
      <c r="P296" s="1211"/>
      <c r="Q296" s="1211"/>
      <c r="R296" s="1211"/>
      <c r="S296" s="1211"/>
      <c r="T296" s="1209"/>
    </row>
    <row r="297" spans="6:20" s="1191" customFormat="1" x14ac:dyDescent="0.2">
      <c r="F297" s="1203"/>
      <c r="G297" s="1203"/>
      <c r="H297" s="1192"/>
      <c r="I297" s="1243"/>
      <c r="J297" s="1192"/>
      <c r="K297" s="1192"/>
      <c r="L297" s="1216"/>
      <c r="M297" s="1192"/>
      <c r="N297" s="1209"/>
      <c r="O297" s="1211"/>
      <c r="P297" s="1211"/>
      <c r="Q297" s="1211"/>
      <c r="R297" s="1211"/>
      <c r="S297" s="1211"/>
      <c r="T297" s="1209"/>
    </row>
    <row r="298" spans="6:20" s="1191" customFormat="1" x14ac:dyDescent="0.2">
      <c r="F298" s="1203"/>
      <c r="G298" s="1203"/>
      <c r="H298" s="1192"/>
      <c r="I298" s="1243"/>
      <c r="J298" s="1192"/>
      <c r="K298" s="1192"/>
      <c r="L298" s="1216"/>
      <c r="M298" s="1192"/>
      <c r="N298" s="1209"/>
      <c r="O298" s="1211"/>
      <c r="P298" s="1211"/>
      <c r="Q298" s="1211"/>
      <c r="R298" s="1211"/>
      <c r="S298" s="1211"/>
      <c r="T298" s="1209"/>
    </row>
    <row r="299" spans="6:20" s="1191" customFormat="1" x14ac:dyDescent="0.2">
      <c r="F299" s="1203"/>
      <c r="G299" s="1203"/>
      <c r="H299" s="1192"/>
      <c r="I299" s="1243"/>
      <c r="J299" s="1192"/>
      <c r="K299" s="1192"/>
      <c r="L299" s="1216"/>
      <c r="M299" s="1192"/>
      <c r="N299" s="1209"/>
      <c r="O299" s="1211"/>
      <c r="P299" s="1211"/>
      <c r="Q299" s="1211"/>
      <c r="R299" s="1211"/>
      <c r="S299" s="1211"/>
      <c r="T299" s="1209"/>
    </row>
    <row r="300" spans="6:20" s="1191" customFormat="1" x14ac:dyDescent="0.2">
      <c r="F300" s="1203"/>
      <c r="G300" s="1203"/>
      <c r="H300" s="1192"/>
      <c r="I300" s="1243"/>
      <c r="J300" s="1192"/>
      <c r="K300" s="1192"/>
      <c r="L300" s="1216"/>
      <c r="M300" s="1192"/>
      <c r="N300" s="1209"/>
      <c r="O300" s="1211"/>
      <c r="P300" s="1211"/>
      <c r="Q300" s="1211"/>
      <c r="R300" s="1211"/>
      <c r="S300" s="1211"/>
      <c r="T300" s="1209"/>
    </row>
    <row r="301" spans="6:20" s="1191" customFormat="1" x14ac:dyDescent="0.2">
      <c r="F301" s="1203"/>
      <c r="G301" s="1203"/>
      <c r="H301" s="1192"/>
      <c r="I301" s="1243"/>
      <c r="J301" s="1192"/>
      <c r="K301" s="1192"/>
      <c r="L301" s="1216"/>
      <c r="M301" s="1192"/>
      <c r="N301" s="1209"/>
      <c r="O301" s="1211"/>
      <c r="P301" s="1211"/>
      <c r="Q301" s="1211"/>
      <c r="R301" s="1211"/>
      <c r="S301" s="1211"/>
      <c r="T301" s="1209"/>
    </row>
    <row r="302" spans="6:20" s="1191" customFormat="1" x14ac:dyDescent="0.2">
      <c r="F302" s="1203"/>
      <c r="G302" s="1203"/>
      <c r="H302" s="1192"/>
      <c r="I302" s="1243"/>
      <c r="J302" s="1192"/>
      <c r="K302" s="1192"/>
      <c r="L302" s="1216"/>
      <c r="M302" s="1192"/>
      <c r="N302" s="1209"/>
      <c r="O302" s="1211"/>
      <c r="P302" s="1211"/>
      <c r="Q302" s="1211"/>
      <c r="R302" s="1211"/>
      <c r="S302" s="1211"/>
      <c r="T302" s="1209"/>
    </row>
    <row r="303" spans="6:20" s="1191" customFormat="1" x14ac:dyDescent="0.2">
      <c r="F303" s="1203"/>
      <c r="G303" s="1203"/>
      <c r="H303" s="1192"/>
      <c r="I303" s="1243"/>
      <c r="J303" s="1192"/>
      <c r="K303" s="1192"/>
      <c r="L303" s="1216"/>
      <c r="M303" s="1192"/>
      <c r="N303" s="1209"/>
      <c r="O303" s="1211"/>
      <c r="P303" s="1211"/>
      <c r="Q303" s="1211"/>
      <c r="R303" s="1211"/>
      <c r="S303" s="1211"/>
      <c r="T303" s="1209"/>
    </row>
    <row r="304" spans="6:20" s="1191" customFormat="1" x14ac:dyDescent="0.2">
      <c r="F304" s="1203"/>
      <c r="G304" s="1196" t="s">
        <v>217</v>
      </c>
      <c r="H304" s="1275"/>
      <c r="I304" s="1276"/>
      <c r="J304" s="1198"/>
      <c r="K304" s="1198"/>
      <c r="L304" s="1199"/>
      <c r="M304" s="1198"/>
      <c r="N304" s="1202"/>
      <c r="O304" s="1277"/>
      <c r="P304" s="1187"/>
      <c r="Q304" s="1187"/>
      <c r="R304" s="1187"/>
      <c r="S304" s="1187"/>
      <c r="T304" s="1202"/>
    </row>
    <row r="305" spans="6:20" s="1191" customFormat="1" x14ac:dyDescent="0.2">
      <c r="F305" s="1192"/>
      <c r="G305" s="1203"/>
      <c r="H305" s="1204"/>
      <c r="I305" s="1243"/>
      <c r="J305" s="1192"/>
      <c r="K305" s="1192"/>
      <c r="L305" s="1216"/>
      <c r="M305" s="1192"/>
      <c r="N305" s="1209"/>
      <c r="O305" s="1387"/>
      <c r="P305" s="1211"/>
      <c r="Q305" s="1211"/>
      <c r="R305" s="1211"/>
      <c r="S305" s="1211"/>
      <c r="T305" s="1209"/>
    </row>
    <row r="306" spans="6:20" s="1191" customFormat="1" x14ac:dyDescent="0.2">
      <c r="F306" s="1192"/>
      <c r="G306" s="1203"/>
      <c r="H306" s="1204"/>
      <c r="I306" s="1243"/>
      <c r="J306" s="1192"/>
      <c r="K306" s="1192"/>
      <c r="L306" s="1216"/>
      <c r="M306" s="1192"/>
      <c r="N306" s="1209"/>
      <c r="O306" s="1387"/>
      <c r="P306" s="1211"/>
      <c r="Q306" s="1211"/>
      <c r="R306" s="1211"/>
      <c r="S306" s="1211"/>
      <c r="T306" s="1209"/>
    </row>
    <row r="307" spans="6:20" s="1191" customFormat="1" x14ac:dyDescent="0.2">
      <c r="F307" s="1192"/>
      <c r="G307" s="1203"/>
      <c r="H307" s="1204"/>
      <c r="I307" s="1243"/>
      <c r="J307" s="1192"/>
      <c r="K307" s="1192"/>
      <c r="L307" s="1216"/>
      <c r="M307" s="1192"/>
      <c r="N307" s="1209"/>
      <c r="O307" s="1387"/>
      <c r="P307" s="1211"/>
      <c r="Q307" s="1211"/>
      <c r="R307" s="1211"/>
      <c r="S307" s="1211"/>
      <c r="T307" s="1209"/>
    </row>
    <row r="308" spans="6:20" s="1191" customFormat="1" x14ac:dyDescent="0.2">
      <c r="F308" s="1192"/>
      <c r="G308" s="1203"/>
      <c r="H308" s="1204"/>
      <c r="I308" s="1243"/>
      <c r="J308" s="1192"/>
      <c r="K308" s="1192"/>
      <c r="L308" s="1216"/>
      <c r="M308" s="1192"/>
      <c r="N308" s="1209"/>
      <c r="O308" s="1387"/>
      <c r="P308" s="1211"/>
      <c r="Q308" s="1211"/>
      <c r="R308" s="1211"/>
      <c r="S308" s="1211"/>
      <c r="T308" s="1209"/>
    </row>
    <row r="309" spans="6:20" s="1191" customFormat="1" x14ac:dyDescent="0.2">
      <c r="F309" s="1192"/>
      <c r="G309" s="1203"/>
      <c r="H309" s="1204"/>
      <c r="I309" s="1243"/>
      <c r="J309" s="1192"/>
      <c r="K309" s="1192"/>
      <c r="L309" s="1216"/>
      <c r="M309" s="1192"/>
      <c r="N309" s="1209"/>
      <c r="O309" s="1387"/>
      <c r="P309" s="1211"/>
      <c r="Q309" s="1211"/>
      <c r="R309" s="1211"/>
      <c r="S309" s="1211"/>
      <c r="T309" s="1209"/>
    </row>
    <row r="310" spans="6:20" s="1191" customFormat="1" x14ac:dyDescent="0.2">
      <c r="F310" s="1192"/>
      <c r="G310" s="1203"/>
      <c r="H310" s="1204"/>
      <c r="I310" s="1243"/>
      <c r="J310" s="1192"/>
      <c r="K310" s="1192"/>
      <c r="L310" s="1216"/>
      <c r="M310" s="1192"/>
      <c r="N310" s="1209"/>
      <c r="O310" s="1387"/>
      <c r="P310" s="1211"/>
      <c r="Q310" s="1211"/>
      <c r="R310" s="1211"/>
      <c r="S310" s="1211"/>
      <c r="T310" s="1209"/>
    </row>
    <row r="311" spans="6:20" s="1191" customFormat="1" x14ac:dyDescent="0.2">
      <c r="F311" s="1192"/>
      <c r="G311" s="1203"/>
      <c r="H311" s="1204"/>
      <c r="I311" s="1243"/>
      <c r="J311" s="1192"/>
      <c r="K311" s="1192"/>
      <c r="L311" s="1216"/>
      <c r="M311" s="1192"/>
      <c r="N311" s="1209"/>
      <c r="O311" s="1387"/>
      <c r="P311" s="1211"/>
      <c r="Q311" s="1211"/>
      <c r="R311" s="1211"/>
      <c r="S311" s="1211"/>
      <c r="T311" s="1209"/>
    </row>
    <row r="312" spans="6:20" s="1191" customFormat="1" x14ac:dyDescent="0.2">
      <c r="F312" s="1192"/>
      <c r="G312" s="1203"/>
      <c r="H312" s="1204"/>
      <c r="I312" s="1243"/>
      <c r="J312" s="1192"/>
      <c r="K312" s="1192"/>
      <c r="L312" s="1216"/>
      <c r="M312" s="1192"/>
      <c r="N312" s="1209"/>
      <c r="O312" s="1387"/>
      <c r="P312" s="1211"/>
      <c r="Q312" s="1211"/>
      <c r="R312" s="1211"/>
      <c r="S312" s="1211"/>
      <c r="T312" s="1209"/>
    </row>
    <row r="313" spans="6:20" s="1191" customFormat="1" x14ac:dyDescent="0.2">
      <c r="F313" s="1192"/>
      <c r="G313" s="1203"/>
      <c r="H313" s="1204"/>
      <c r="I313" s="1243"/>
      <c r="J313" s="1192"/>
      <c r="K313" s="1192"/>
      <c r="L313" s="1216"/>
      <c r="M313" s="1192"/>
      <c r="N313" s="1209"/>
      <c r="O313" s="1387"/>
      <c r="P313" s="1211"/>
      <c r="Q313" s="1211"/>
      <c r="R313" s="1211"/>
      <c r="S313" s="1211"/>
      <c r="T313" s="1209"/>
    </row>
    <row r="314" spans="6:20" s="1191" customFormat="1" x14ac:dyDescent="0.2">
      <c r="F314" s="1192"/>
      <c r="G314" s="1203"/>
      <c r="H314" s="1204"/>
      <c r="I314" s="1243"/>
      <c r="J314" s="1192"/>
      <c r="K314" s="1192"/>
      <c r="L314" s="1216"/>
      <c r="M314" s="1192"/>
      <c r="N314" s="1209"/>
      <c r="O314" s="1387"/>
      <c r="P314" s="1211"/>
      <c r="Q314" s="1211"/>
      <c r="R314" s="1211"/>
      <c r="S314" s="1211"/>
      <c r="T314" s="1209"/>
    </row>
    <row r="315" spans="6:20" s="1191" customFormat="1" x14ac:dyDescent="0.2">
      <c r="F315" s="1192"/>
      <c r="G315" s="1203"/>
      <c r="H315" s="1204"/>
      <c r="I315" s="1243"/>
      <c r="J315" s="1192"/>
      <c r="K315" s="1192"/>
      <c r="L315" s="1216"/>
      <c r="M315" s="1192"/>
      <c r="N315" s="1209"/>
      <c r="O315" s="1387"/>
      <c r="P315" s="1211"/>
      <c r="Q315" s="1211"/>
      <c r="R315" s="1211"/>
      <c r="S315" s="1211"/>
      <c r="T315" s="1209"/>
    </row>
    <row r="316" spans="6:20" s="1191" customFormat="1" x14ac:dyDescent="0.2">
      <c r="F316" s="1192"/>
      <c r="G316" s="1203"/>
      <c r="H316" s="1220"/>
      <c r="I316" s="1243"/>
      <c r="J316" s="1192"/>
      <c r="K316" s="1192"/>
      <c r="L316" s="1216"/>
      <c r="M316" s="1192"/>
      <c r="N316" s="1209"/>
      <c r="O316" s="1387"/>
      <c r="P316" s="1211"/>
      <c r="Q316" s="1211"/>
      <c r="R316" s="1211"/>
      <c r="S316" s="1211"/>
      <c r="T316" s="1209"/>
    </row>
    <row r="317" spans="6:20" s="1191" customFormat="1" x14ac:dyDescent="0.2">
      <c r="F317" s="1192"/>
      <c r="G317" s="1224"/>
      <c r="H317" s="1225"/>
      <c r="I317" s="1226"/>
      <c r="J317" s="1225"/>
      <c r="K317" s="1225"/>
      <c r="L317" s="1227"/>
      <c r="M317" s="1225"/>
      <c r="N317" s="1228"/>
      <c r="O317" s="1388"/>
      <c r="P317" s="1229"/>
      <c r="Q317" s="1229"/>
      <c r="R317" s="1229"/>
      <c r="S317" s="1229"/>
      <c r="T317" s="1228"/>
    </row>
    <row r="318" spans="6:20" s="1191" customFormat="1" x14ac:dyDescent="0.2">
      <c r="F318" s="1192"/>
      <c r="G318" s="1192"/>
      <c r="H318" s="1107"/>
      <c r="I318" s="1189"/>
      <c r="J318" s="1107"/>
      <c r="K318" s="1192"/>
      <c r="L318" s="1216"/>
      <c r="M318" s="1192"/>
      <c r="N318" s="1211"/>
      <c r="O318" s="1211"/>
      <c r="P318" s="1211"/>
      <c r="Q318" s="1211"/>
      <c r="R318" s="1211"/>
      <c r="S318" s="1211"/>
      <c r="T318" s="1211"/>
    </row>
    <row r="320" spans="6:20" s="1191" customFormat="1" ht="23.25" x14ac:dyDescent="0.35">
      <c r="F320" s="1107"/>
      <c r="G320" s="1107"/>
      <c r="H320" s="1194"/>
      <c r="I320" s="1189"/>
      <c r="J320" s="1107"/>
      <c r="K320" s="1107"/>
      <c r="L320" s="1190"/>
      <c r="M320" s="1107"/>
    </row>
    <row r="322" spans="6:21" s="1191" customFormat="1" ht="18" x14ac:dyDescent="0.25">
      <c r="F322" s="1107"/>
      <c r="G322" s="1389" t="s">
        <v>0</v>
      </c>
      <c r="H322" s="1390"/>
      <c r="I322" s="1391"/>
      <c r="J322" s="1392"/>
      <c r="K322" s="1392"/>
      <c r="L322" s="1393"/>
      <c r="M322" s="1195"/>
      <c r="N322" s="1187"/>
      <c r="O322" s="1187"/>
      <c r="P322" s="1187"/>
      <c r="Q322" s="1187"/>
      <c r="R322" s="1187"/>
      <c r="S322" s="1187"/>
      <c r="T322" s="1202"/>
    </row>
    <row r="323" spans="6:21" s="1191" customFormat="1" x14ac:dyDescent="0.2">
      <c r="F323" s="1107"/>
      <c r="G323" s="1203"/>
      <c r="H323" s="1394"/>
      <c r="I323" s="1232"/>
      <c r="J323" s="1232"/>
      <c r="K323" s="1394"/>
      <c r="L323" s="1233"/>
      <c r="M323" s="1395"/>
      <c r="N323" s="1211"/>
      <c r="O323" s="1211"/>
      <c r="P323" s="1211"/>
      <c r="Q323" s="1211"/>
      <c r="R323" s="1211"/>
      <c r="S323" s="1211"/>
      <c r="T323" s="1209"/>
    </row>
    <row r="324" spans="6:21" s="1191" customFormat="1" x14ac:dyDescent="0.2">
      <c r="F324" s="1107"/>
      <c r="G324" s="1203"/>
      <c r="H324" s="1204"/>
      <c r="I324" s="1243"/>
      <c r="J324" s="1243"/>
      <c r="K324" s="1192"/>
      <c r="L324" s="1216"/>
      <c r="M324" s="1203"/>
      <c r="N324" s="1211"/>
      <c r="O324" s="1211"/>
      <c r="P324" s="1211"/>
      <c r="Q324" s="1211"/>
      <c r="R324" s="1211"/>
      <c r="S324" s="1211"/>
      <c r="T324" s="1209"/>
    </row>
    <row r="325" spans="6:21" s="1191" customFormat="1" x14ac:dyDescent="0.2">
      <c r="G325" s="1203"/>
      <c r="H325" s="1204"/>
      <c r="I325" s="1243"/>
      <c r="J325" s="1243"/>
      <c r="K325" s="1204"/>
      <c r="L325" s="1216"/>
      <c r="M325" s="1339"/>
      <c r="N325" s="1211"/>
      <c r="O325" s="1211"/>
      <c r="P325" s="1211"/>
      <c r="Q325" s="1211"/>
      <c r="R325" s="1211"/>
      <c r="S325" s="1211"/>
      <c r="T325" s="1209"/>
    </row>
    <row r="326" spans="6:21" s="1191" customFormat="1" x14ac:dyDescent="0.2">
      <c r="G326" s="1203"/>
      <c r="H326" s="1204"/>
      <c r="I326" s="1243"/>
      <c r="J326" s="1243"/>
      <c r="K326" s="1338"/>
      <c r="L326" s="1216"/>
      <c r="M326" s="1339"/>
      <c r="N326" s="1236"/>
      <c r="O326" s="1210"/>
      <c r="P326" s="1210"/>
      <c r="Q326" s="1236"/>
      <c r="R326" s="1210"/>
      <c r="S326" s="1211"/>
      <c r="T326" s="1209"/>
    </row>
    <row r="327" spans="6:21" s="1191" customFormat="1" x14ac:dyDescent="0.2">
      <c r="G327" s="1203"/>
      <c r="H327" s="1204"/>
      <c r="I327" s="1243"/>
      <c r="J327" s="1243"/>
      <c r="K327" s="1192"/>
      <c r="L327" s="1216"/>
      <c r="M327" s="1203"/>
      <c r="N327" s="1211"/>
      <c r="O327" s="1211"/>
      <c r="P327" s="1211"/>
      <c r="Q327" s="1211"/>
      <c r="R327" s="1211"/>
      <c r="S327" s="1211"/>
      <c r="T327" s="1209"/>
    </row>
    <row r="328" spans="6:21" s="1191" customFormat="1" x14ac:dyDescent="0.2">
      <c r="G328" s="1203"/>
      <c r="H328" s="1204"/>
      <c r="I328" s="1243"/>
      <c r="J328" s="1243"/>
      <c r="K328" s="1204"/>
      <c r="L328" s="1216"/>
      <c r="M328" s="1339"/>
      <c r="N328" s="1211"/>
      <c r="O328" s="1211"/>
      <c r="P328" s="1211"/>
      <c r="Q328" s="1211"/>
      <c r="R328" s="1211"/>
      <c r="S328" s="1211"/>
      <c r="T328" s="1209"/>
    </row>
    <row r="329" spans="6:21" s="1191" customFormat="1" x14ac:dyDescent="0.2">
      <c r="G329" s="1203"/>
      <c r="H329" s="1204"/>
      <c r="I329" s="1243"/>
      <c r="J329" s="1243"/>
      <c r="K329" s="1204"/>
      <c r="L329" s="1216"/>
      <c r="M329" s="1339"/>
      <c r="N329" s="1211"/>
      <c r="O329" s="1211"/>
      <c r="P329" s="1211"/>
      <c r="Q329" s="1211"/>
      <c r="R329" s="1211"/>
      <c r="S329" s="1211"/>
      <c r="T329" s="1209"/>
    </row>
    <row r="330" spans="6:21" s="1191" customFormat="1" ht="18" x14ac:dyDescent="0.25">
      <c r="G330" s="1389" t="s">
        <v>18</v>
      </c>
      <c r="H330" s="1390"/>
      <c r="I330" s="1391"/>
      <c r="J330" s="1392"/>
      <c r="K330" s="1392"/>
      <c r="L330" s="1393"/>
      <c r="M330" s="1195"/>
      <c r="N330" s="1187"/>
      <c r="O330" s="1187"/>
      <c r="P330" s="1187"/>
      <c r="Q330" s="1187"/>
      <c r="R330" s="1187"/>
      <c r="S330" s="1187"/>
      <c r="T330" s="1202"/>
    </row>
    <row r="331" spans="6:21" s="1191" customFormat="1" x14ac:dyDescent="0.2">
      <c r="G331" s="1203"/>
      <c r="H331" s="1394"/>
      <c r="I331" s="1232"/>
      <c r="J331" s="1232"/>
      <c r="K331" s="1394"/>
      <c r="L331" s="1233"/>
      <c r="M331" s="1395"/>
      <c r="N331" s="1211"/>
      <c r="O331" s="1211"/>
      <c r="P331" s="1211"/>
      <c r="Q331" s="1211"/>
      <c r="R331" s="1211"/>
      <c r="S331" s="1211"/>
      <c r="T331" s="1209"/>
    </row>
    <row r="332" spans="6:21" s="1191" customFormat="1" x14ac:dyDescent="0.2">
      <c r="G332" s="1203"/>
      <c r="H332" s="1204"/>
      <c r="I332" s="1243"/>
      <c r="J332" s="1243"/>
      <c r="K332" s="1338"/>
      <c r="L332" s="1216"/>
      <c r="M332" s="1339"/>
      <c r="N332" s="1211"/>
      <c r="O332" s="1210"/>
      <c r="P332" s="1211"/>
      <c r="Q332" s="1210"/>
      <c r="R332" s="1211"/>
      <c r="S332" s="1396"/>
      <c r="T332" s="1210"/>
      <c r="U332" s="1208"/>
    </row>
    <row r="333" spans="6:21" s="1191" customFormat="1" x14ac:dyDescent="0.2">
      <c r="G333" s="1389"/>
      <c r="H333" s="1204"/>
      <c r="I333" s="1243"/>
      <c r="J333" s="1243"/>
      <c r="K333" s="1338"/>
      <c r="L333" s="1216"/>
      <c r="M333" s="1339"/>
      <c r="N333" s="1211"/>
      <c r="O333" s="1210"/>
      <c r="P333" s="1211"/>
      <c r="Q333" s="1210"/>
      <c r="R333" s="1211"/>
      <c r="S333" s="1396"/>
      <c r="T333" s="1210"/>
      <c r="U333" s="1208"/>
    </row>
    <row r="334" spans="6:21" s="1191" customFormat="1" x14ac:dyDescent="0.2">
      <c r="G334" s="1203"/>
      <c r="H334" s="1192"/>
      <c r="I334" s="1243"/>
      <c r="J334" s="1243"/>
      <c r="K334" s="1192"/>
      <c r="L334" s="1216"/>
      <c r="M334" s="1203"/>
      <c r="N334" s="1211"/>
      <c r="O334" s="1211"/>
      <c r="P334" s="1211"/>
      <c r="Q334" s="1211"/>
      <c r="R334" s="1211"/>
      <c r="S334" s="1211"/>
      <c r="T334" s="1209"/>
    </row>
    <row r="335" spans="6:21" s="1191" customFormat="1" ht="18" x14ac:dyDescent="0.25">
      <c r="G335" s="1389" t="s">
        <v>69</v>
      </c>
      <c r="H335" s="1390"/>
      <c r="I335" s="1391"/>
      <c r="J335" s="1391"/>
      <c r="K335" s="1392"/>
      <c r="L335" s="1393"/>
      <c r="M335" s="1195"/>
      <c r="N335" s="1187"/>
      <c r="O335" s="1187"/>
      <c r="P335" s="1187"/>
      <c r="Q335" s="1187"/>
      <c r="R335" s="1187"/>
      <c r="S335" s="1187"/>
      <c r="T335" s="1202"/>
    </row>
    <row r="336" spans="6:21" s="1191" customFormat="1" x14ac:dyDescent="0.2">
      <c r="G336" s="1203"/>
      <c r="H336" s="1394"/>
      <c r="I336" s="1232"/>
      <c r="J336" s="1232"/>
      <c r="K336" s="1394"/>
      <c r="L336" s="1233"/>
      <c r="M336" s="1395"/>
      <c r="N336" s="1211"/>
      <c r="O336" s="1211"/>
      <c r="P336" s="1211"/>
      <c r="Q336" s="1211"/>
      <c r="R336" s="1211"/>
      <c r="S336" s="1211"/>
      <c r="T336" s="1209"/>
    </row>
    <row r="337" spans="7:20" s="1191" customFormat="1" x14ac:dyDescent="0.2">
      <c r="G337" s="1203"/>
      <c r="H337" s="1394"/>
      <c r="I337" s="1232"/>
      <c r="J337" s="1232"/>
      <c r="K337" s="1394"/>
      <c r="L337" s="1233"/>
      <c r="M337" s="1395"/>
      <c r="N337" s="1211"/>
      <c r="O337" s="1211"/>
      <c r="P337" s="1211"/>
      <c r="Q337" s="1211"/>
      <c r="R337" s="1211"/>
      <c r="S337" s="1211"/>
      <c r="T337" s="1209"/>
    </row>
    <row r="338" spans="7:20" s="1191" customFormat="1" x14ac:dyDescent="0.2">
      <c r="G338" s="1203"/>
      <c r="H338" s="1204"/>
      <c r="I338" s="1243"/>
      <c r="J338" s="1243"/>
      <c r="K338" s="1204"/>
      <c r="L338" s="1216"/>
      <c r="M338" s="1339"/>
      <c r="N338" s="1211"/>
      <c r="O338" s="1211"/>
      <c r="P338" s="1211"/>
      <c r="Q338" s="1211"/>
      <c r="R338" s="1211"/>
      <c r="S338" s="1211"/>
      <c r="T338" s="1209"/>
    </row>
    <row r="339" spans="7:20" s="1191" customFormat="1" x14ac:dyDescent="0.2">
      <c r="G339" s="1203"/>
      <c r="H339" s="1204"/>
      <c r="I339" s="1243"/>
      <c r="J339" s="1243"/>
      <c r="K339" s="1204"/>
      <c r="L339" s="1216"/>
      <c r="M339" s="1339"/>
      <c r="N339" s="1211"/>
      <c r="O339" s="1211"/>
      <c r="P339" s="1211"/>
      <c r="Q339" s="1211"/>
      <c r="R339" s="1211"/>
      <c r="S339" s="1211"/>
      <c r="T339" s="1209"/>
    </row>
    <row r="340" spans="7:20" s="1191" customFormat="1" x14ac:dyDescent="0.2">
      <c r="G340" s="1203"/>
      <c r="H340" s="1204"/>
      <c r="I340" s="1243"/>
      <c r="J340" s="1243"/>
      <c r="K340" s="1204"/>
      <c r="L340" s="1216"/>
      <c r="M340" s="1339"/>
      <c r="N340" s="1211"/>
      <c r="O340" s="1211"/>
      <c r="P340" s="1211"/>
      <c r="Q340" s="1211"/>
      <c r="R340" s="1211"/>
      <c r="S340" s="1211"/>
      <c r="T340" s="1209"/>
    </row>
    <row r="341" spans="7:20" s="1191" customFormat="1" x14ac:dyDescent="0.2">
      <c r="G341" s="1203"/>
      <c r="H341" s="1204"/>
      <c r="I341" s="1243"/>
      <c r="J341" s="1243"/>
      <c r="K341" s="1204"/>
      <c r="L341" s="1216"/>
      <c r="M341" s="1339"/>
      <c r="N341" s="1211"/>
      <c r="O341" s="1211"/>
      <c r="P341" s="1211"/>
      <c r="Q341" s="1211"/>
      <c r="R341" s="1211"/>
      <c r="S341" s="1211"/>
      <c r="T341" s="1209"/>
    </row>
    <row r="342" spans="7:20" s="1191" customFormat="1" x14ac:dyDescent="0.2">
      <c r="G342" s="1203"/>
      <c r="H342" s="1204"/>
      <c r="I342" s="1243"/>
      <c r="J342" s="1243"/>
      <c r="K342" s="1204"/>
      <c r="L342" s="1216"/>
      <c r="M342" s="1339"/>
      <c r="N342" s="1211"/>
      <c r="O342" s="1211"/>
      <c r="P342" s="1211"/>
      <c r="Q342" s="1211"/>
      <c r="R342" s="1211"/>
      <c r="S342" s="1211"/>
      <c r="T342" s="1209"/>
    </row>
    <row r="343" spans="7:20" s="1191" customFormat="1" x14ac:dyDescent="0.2">
      <c r="G343" s="1203"/>
      <c r="H343" s="1204"/>
      <c r="I343" s="1243"/>
      <c r="J343" s="1243"/>
      <c r="K343" s="1204"/>
      <c r="L343" s="1216"/>
      <c r="M343" s="1339"/>
      <c r="N343" s="1211"/>
      <c r="O343" s="1211"/>
      <c r="P343" s="1211"/>
      <c r="Q343" s="1211"/>
      <c r="R343" s="1211"/>
      <c r="S343" s="1211"/>
      <c r="T343" s="1209"/>
    </row>
    <row r="344" spans="7:20" s="1191" customFormat="1" x14ac:dyDescent="0.2">
      <c r="G344" s="1203"/>
      <c r="H344" s="1204"/>
      <c r="I344" s="1243"/>
      <c r="J344" s="1243"/>
      <c r="K344" s="1204"/>
      <c r="L344" s="1216"/>
      <c r="M344" s="1339"/>
      <c r="N344" s="1211"/>
      <c r="O344" s="1211"/>
      <c r="P344" s="1211"/>
      <c r="Q344" s="1211"/>
      <c r="R344" s="1211"/>
      <c r="S344" s="1211"/>
      <c r="T344" s="1209"/>
    </row>
    <row r="345" spans="7:20" s="1191" customFormat="1" x14ac:dyDescent="0.2">
      <c r="G345" s="1203"/>
      <c r="H345" s="1204"/>
      <c r="I345" s="1243"/>
      <c r="J345" s="1243"/>
      <c r="K345" s="1204"/>
      <c r="L345" s="1216"/>
      <c r="M345" s="1339"/>
      <c r="N345" s="1211"/>
      <c r="O345" s="1211"/>
      <c r="P345" s="1211"/>
      <c r="Q345" s="1211"/>
      <c r="R345" s="1211"/>
      <c r="S345" s="1211"/>
      <c r="T345" s="1209"/>
    </row>
    <row r="346" spans="7:20" s="1191" customFormat="1" x14ac:dyDescent="0.2">
      <c r="G346" s="1203"/>
      <c r="H346" s="1204"/>
      <c r="I346" s="1243"/>
      <c r="J346" s="1243"/>
      <c r="K346" s="1204"/>
      <c r="L346" s="1216"/>
      <c r="M346" s="1339"/>
      <c r="N346" s="1211"/>
      <c r="O346" s="1211"/>
      <c r="P346" s="1211"/>
      <c r="Q346" s="1211"/>
      <c r="R346" s="1211"/>
      <c r="S346" s="1211"/>
      <c r="T346" s="1209"/>
    </row>
    <row r="347" spans="7:20" s="1191" customFormat="1" x14ac:dyDescent="0.2">
      <c r="G347" s="1203"/>
      <c r="H347" s="1204"/>
      <c r="I347" s="1243"/>
      <c r="J347" s="1243"/>
      <c r="K347" s="1204"/>
      <c r="L347" s="1216"/>
      <c r="M347" s="1339"/>
      <c r="N347" s="1211"/>
      <c r="O347" s="1211"/>
      <c r="P347" s="1211"/>
      <c r="Q347" s="1211"/>
      <c r="R347" s="1211"/>
      <c r="S347" s="1211"/>
      <c r="T347" s="1209"/>
    </row>
    <row r="348" spans="7:20" s="1191" customFormat="1" x14ac:dyDescent="0.2">
      <c r="G348" s="1203"/>
      <c r="H348" s="1204"/>
      <c r="I348" s="1243"/>
      <c r="J348" s="1243"/>
      <c r="K348" s="1204"/>
      <c r="L348" s="1216"/>
      <c r="M348" s="1339"/>
      <c r="N348" s="1211"/>
      <c r="O348" s="1211"/>
      <c r="P348" s="1211"/>
      <c r="Q348" s="1211"/>
      <c r="R348" s="1211"/>
      <c r="S348" s="1211"/>
      <c r="T348" s="1209"/>
    </row>
    <row r="349" spans="7:20" s="1191" customFormat="1" x14ac:dyDescent="0.2">
      <c r="G349" s="1203"/>
      <c r="H349" s="1204"/>
      <c r="I349" s="1243"/>
      <c r="J349" s="1243"/>
      <c r="K349" s="1204"/>
      <c r="L349" s="1216"/>
      <c r="M349" s="1339"/>
      <c r="N349" s="1211"/>
      <c r="O349" s="1211"/>
      <c r="P349" s="1211"/>
      <c r="Q349" s="1211"/>
      <c r="R349" s="1211"/>
      <c r="S349" s="1211"/>
      <c r="T349" s="1209"/>
    </row>
    <row r="350" spans="7:20" s="1191" customFormat="1" x14ac:dyDescent="0.2">
      <c r="G350" s="1203"/>
      <c r="H350" s="1204"/>
      <c r="I350" s="1243"/>
      <c r="J350" s="1243"/>
      <c r="K350" s="1204"/>
      <c r="L350" s="1216"/>
      <c r="M350" s="1203"/>
      <c r="N350" s="1211"/>
      <c r="O350" s="1211"/>
      <c r="P350" s="1211"/>
      <c r="Q350" s="1211"/>
      <c r="R350" s="1211"/>
      <c r="S350" s="1211"/>
      <c r="T350" s="1209"/>
    </row>
    <row r="351" spans="7:20" s="1191" customFormat="1" x14ac:dyDescent="0.2">
      <c r="G351" s="1203"/>
      <c r="H351" s="1192"/>
      <c r="I351" s="1243"/>
      <c r="J351" s="1243"/>
      <c r="K351" s="1192"/>
      <c r="L351" s="1216"/>
      <c r="M351" s="1203"/>
      <c r="N351" s="1211"/>
      <c r="O351" s="1211"/>
      <c r="P351" s="1211"/>
      <c r="Q351" s="1211"/>
      <c r="R351" s="1211"/>
      <c r="S351" s="1211"/>
      <c r="T351" s="1209"/>
    </row>
    <row r="352" spans="7:20" s="1191" customFormat="1" x14ac:dyDescent="0.2">
      <c r="G352" s="1203"/>
      <c r="H352" s="1192"/>
      <c r="I352" s="1243"/>
      <c r="J352" s="1243"/>
      <c r="K352" s="1192"/>
      <c r="L352" s="1216"/>
      <c r="M352" s="1203"/>
      <c r="N352" s="1211"/>
      <c r="O352" s="1211"/>
      <c r="P352" s="1211"/>
      <c r="Q352" s="1211"/>
      <c r="R352" s="1211"/>
      <c r="S352" s="1211"/>
      <c r="T352" s="1209"/>
    </row>
    <row r="353" spans="7:20" s="1191" customFormat="1" x14ac:dyDescent="0.2">
      <c r="G353" s="1203"/>
      <c r="H353" s="1192"/>
      <c r="I353" s="1243"/>
      <c r="J353" s="1243"/>
      <c r="K353" s="1192"/>
      <c r="L353" s="1216"/>
      <c r="M353" s="1203"/>
      <c r="N353" s="1211"/>
      <c r="O353" s="1211"/>
      <c r="P353" s="1211"/>
      <c r="Q353" s="1211"/>
      <c r="R353" s="1211"/>
      <c r="S353" s="1211"/>
      <c r="T353" s="1209"/>
    </row>
    <row r="354" spans="7:20" s="1191" customFormat="1" x14ac:dyDescent="0.2">
      <c r="G354" s="1203"/>
      <c r="H354" s="1192"/>
      <c r="I354" s="1243"/>
      <c r="J354" s="1243"/>
      <c r="K354" s="1192"/>
      <c r="L354" s="1216"/>
      <c r="M354" s="1203"/>
      <c r="N354" s="1211"/>
      <c r="O354" s="1211"/>
      <c r="P354" s="1211"/>
      <c r="Q354" s="1211"/>
      <c r="R354" s="1211"/>
      <c r="S354" s="1211"/>
      <c r="T354" s="1209"/>
    </row>
    <row r="355" spans="7:20" s="1191" customFormat="1" x14ac:dyDescent="0.2">
      <c r="G355" s="1203"/>
      <c r="H355" s="1192"/>
      <c r="I355" s="1243"/>
      <c r="J355" s="1243"/>
      <c r="K355" s="1192"/>
      <c r="L355" s="1216"/>
      <c r="M355" s="1203"/>
      <c r="N355" s="1211"/>
      <c r="O355" s="1211"/>
      <c r="P355" s="1211"/>
      <c r="Q355" s="1211"/>
      <c r="R355" s="1211"/>
      <c r="S355" s="1211"/>
      <c r="T355" s="1209"/>
    </row>
    <row r="356" spans="7:20" s="1191" customFormat="1" x14ac:dyDescent="0.2">
      <c r="G356" s="1203"/>
      <c r="H356" s="1192"/>
      <c r="I356" s="1243"/>
      <c r="J356" s="1243"/>
      <c r="K356" s="1192"/>
      <c r="L356" s="1216"/>
      <c r="M356" s="1203"/>
      <c r="N356" s="1211"/>
      <c r="O356" s="1211"/>
      <c r="P356" s="1211"/>
      <c r="Q356" s="1211"/>
      <c r="R356" s="1211"/>
      <c r="S356" s="1211"/>
      <c r="T356" s="1209"/>
    </row>
    <row r="357" spans="7:20" s="1191" customFormat="1" x14ac:dyDescent="0.2">
      <c r="G357" s="1203"/>
      <c r="H357" s="1192"/>
      <c r="I357" s="1243"/>
      <c r="J357" s="1243"/>
      <c r="K357" s="1192"/>
      <c r="L357" s="1216"/>
      <c r="M357" s="1203"/>
      <c r="N357" s="1211"/>
      <c r="O357" s="1211"/>
      <c r="P357" s="1211"/>
      <c r="Q357" s="1211"/>
      <c r="R357" s="1211"/>
      <c r="S357" s="1211"/>
      <c r="T357" s="1209"/>
    </row>
    <row r="358" spans="7:20" s="1191" customFormat="1" ht="18" x14ac:dyDescent="0.25">
      <c r="G358" s="1389" t="s">
        <v>85</v>
      </c>
      <c r="H358" s="1390"/>
      <c r="I358" s="1391"/>
      <c r="J358" s="1391"/>
      <c r="K358" s="1392"/>
      <c r="L358" s="1393"/>
      <c r="M358" s="1195"/>
      <c r="N358" s="1187"/>
      <c r="O358" s="1187"/>
      <c r="P358" s="1187"/>
      <c r="Q358" s="1187"/>
      <c r="R358" s="1187"/>
      <c r="S358" s="1187"/>
      <c r="T358" s="1202"/>
    </row>
    <row r="359" spans="7:20" s="1191" customFormat="1" x14ac:dyDescent="0.2">
      <c r="G359" s="1203"/>
      <c r="H359" s="1394"/>
      <c r="I359" s="1232"/>
      <c r="J359" s="1232"/>
      <c r="K359" s="1394"/>
      <c r="L359" s="1233"/>
      <c r="M359" s="1395"/>
      <c r="N359" s="1211"/>
      <c r="O359" s="1211"/>
      <c r="P359" s="1211"/>
      <c r="Q359" s="1211"/>
      <c r="R359" s="1211"/>
      <c r="S359" s="1211"/>
      <c r="T359" s="1209"/>
    </row>
    <row r="360" spans="7:20" s="1191" customFormat="1" x14ac:dyDescent="0.2">
      <c r="G360" s="1203"/>
      <c r="H360" s="1394"/>
      <c r="I360" s="1232"/>
      <c r="J360" s="1232"/>
      <c r="K360" s="1394"/>
      <c r="L360" s="1233"/>
      <c r="M360" s="1395"/>
      <c r="N360" s="1211"/>
      <c r="O360" s="1211"/>
      <c r="P360" s="1211"/>
      <c r="Q360" s="1211"/>
      <c r="R360" s="1211"/>
      <c r="S360" s="1211"/>
      <c r="T360" s="1209"/>
    </row>
    <row r="361" spans="7:20" s="1191" customFormat="1" x14ac:dyDescent="0.2">
      <c r="G361" s="1203"/>
      <c r="H361" s="1204"/>
      <c r="I361" s="1243"/>
      <c r="J361" s="1243"/>
      <c r="K361" s="1204"/>
      <c r="L361" s="1216"/>
      <c r="M361" s="1339"/>
      <c r="N361" s="1211"/>
      <c r="O361" s="1211"/>
      <c r="P361" s="1211"/>
      <c r="Q361" s="1211"/>
      <c r="R361" s="1211"/>
      <c r="S361" s="1211"/>
      <c r="T361" s="1209"/>
    </row>
    <row r="362" spans="7:20" s="1191" customFormat="1" x14ac:dyDescent="0.2">
      <c r="G362" s="1203"/>
      <c r="H362" s="1204"/>
      <c r="I362" s="1243"/>
      <c r="J362" s="1243"/>
      <c r="K362" s="1204"/>
      <c r="L362" s="1216"/>
      <c r="M362" s="1339"/>
      <c r="N362" s="1211"/>
      <c r="O362" s="1211"/>
      <c r="P362" s="1211"/>
      <c r="Q362" s="1211"/>
      <c r="R362" s="1211"/>
      <c r="S362" s="1211"/>
      <c r="T362" s="1209"/>
    </row>
    <row r="363" spans="7:20" s="1191" customFormat="1" x14ac:dyDescent="0.2">
      <c r="G363" s="1203"/>
      <c r="H363" s="1204"/>
      <c r="I363" s="1243"/>
      <c r="J363" s="1243"/>
      <c r="K363" s="1204"/>
      <c r="L363" s="1216"/>
      <c r="M363" s="1339"/>
      <c r="N363" s="1211"/>
      <c r="O363" s="1211"/>
      <c r="P363" s="1211"/>
      <c r="Q363" s="1211"/>
      <c r="R363" s="1211"/>
      <c r="S363" s="1211"/>
      <c r="T363" s="1209"/>
    </row>
    <row r="364" spans="7:20" s="1191" customFormat="1" x14ac:dyDescent="0.2">
      <c r="G364" s="1203"/>
      <c r="H364" s="1204"/>
      <c r="I364" s="1243"/>
      <c r="J364" s="1243"/>
      <c r="K364" s="1204"/>
      <c r="L364" s="1216"/>
      <c r="M364" s="1339"/>
      <c r="N364" s="1211"/>
      <c r="O364" s="1211"/>
      <c r="P364" s="1211"/>
      <c r="Q364" s="1211"/>
      <c r="R364" s="1211"/>
      <c r="S364" s="1211"/>
      <c r="T364" s="1209"/>
    </row>
    <row r="365" spans="7:20" s="1191" customFormat="1" x14ac:dyDescent="0.2">
      <c r="G365" s="1203"/>
      <c r="H365" s="1204"/>
      <c r="I365" s="1243"/>
      <c r="J365" s="1243"/>
      <c r="K365" s="1204"/>
      <c r="L365" s="1216"/>
      <c r="M365" s="1203"/>
      <c r="N365" s="1211"/>
      <c r="O365" s="1211"/>
      <c r="P365" s="1211"/>
      <c r="Q365" s="1211"/>
      <c r="R365" s="1211"/>
      <c r="S365" s="1211"/>
      <c r="T365" s="1209"/>
    </row>
    <row r="366" spans="7:20" s="1191" customFormat="1" x14ac:dyDescent="0.2">
      <c r="G366" s="1203"/>
      <c r="H366" s="1204"/>
      <c r="I366" s="1243"/>
      <c r="J366" s="1243"/>
      <c r="K366" s="1204"/>
      <c r="L366" s="1216"/>
      <c r="M366" s="1339"/>
      <c r="N366" s="1211"/>
      <c r="O366" s="1211"/>
      <c r="P366" s="1211"/>
      <c r="Q366" s="1211"/>
      <c r="R366" s="1211"/>
      <c r="S366" s="1211"/>
      <c r="T366" s="1209"/>
    </row>
    <row r="367" spans="7:20" s="1191" customFormat="1" x14ac:dyDescent="0.2">
      <c r="G367" s="1203"/>
      <c r="H367" s="1204"/>
      <c r="I367" s="1243"/>
      <c r="J367" s="1243"/>
      <c r="K367" s="1204"/>
      <c r="L367" s="1216"/>
      <c r="M367" s="1339"/>
      <c r="N367" s="1211"/>
      <c r="O367" s="1211"/>
      <c r="P367" s="1211"/>
      <c r="Q367" s="1211"/>
      <c r="R367" s="1211"/>
      <c r="S367" s="1211"/>
      <c r="T367" s="1209"/>
    </row>
    <row r="368" spans="7:20" s="1191" customFormat="1" x14ac:dyDescent="0.2">
      <c r="G368" s="1203"/>
      <c r="H368" s="1204"/>
      <c r="I368" s="1243"/>
      <c r="J368" s="1243"/>
      <c r="K368" s="1204"/>
      <c r="L368" s="1216"/>
      <c r="M368" s="1339"/>
      <c r="N368" s="1211"/>
      <c r="O368" s="1211"/>
      <c r="P368" s="1211"/>
      <c r="Q368" s="1211"/>
      <c r="R368" s="1211"/>
      <c r="S368" s="1211"/>
      <c r="T368" s="1209"/>
    </row>
    <row r="369" spans="7:20" s="1191" customFormat="1" x14ac:dyDescent="0.2">
      <c r="G369" s="1203"/>
      <c r="H369" s="1204"/>
      <c r="I369" s="1243"/>
      <c r="J369" s="1243"/>
      <c r="K369" s="1204"/>
      <c r="L369" s="1216"/>
      <c r="M369" s="1203"/>
      <c r="N369" s="1211"/>
      <c r="O369" s="1211"/>
      <c r="P369" s="1211"/>
      <c r="Q369" s="1211"/>
      <c r="R369" s="1211"/>
      <c r="S369" s="1211"/>
      <c r="T369" s="1209"/>
    </row>
    <row r="370" spans="7:20" s="1191" customFormat="1" x14ac:dyDescent="0.2">
      <c r="G370" s="1203"/>
      <c r="H370" s="1204"/>
      <c r="I370" s="1243"/>
      <c r="J370" s="1243"/>
      <c r="K370" s="1204"/>
      <c r="L370" s="1216"/>
      <c r="M370" s="1203"/>
      <c r="N370" s="1211"/>
      <c r="O370" s="1211"/>
      <c r="P370" s="1211"/>
      <c r="Q370" s="1211"/>
      <c r="R370" s="1211"/>
      <c r="S370" s="1211"/>
      <c r="T370" s="1209"/>
    </row>
    <row r="371" spans="7:20" s="1191" customFormat="1" x14ac:dyDescent="0.2">
      <c r="G371" s="1203"/>
      <c r="H371" s="1204"/>
      <c r="I371" s="1243"/>
      <c r="J371" s="1243"/>
      <c r="K371" s="1204"/>
      <c r="L371" s="1216"/>
      <c r="M371" s="1203"/>
      <c r="N371" s="1211"/>
      <c r="O371" s="1211"/>
      <c r="P371" s="1211"/>
      <c r="Q371" s="1211"/>
      <c r="R371" s="1211"/>
      <c r="S371" s="1211"/>
      <c r="T371" s="1209"/>
    </row>
    <row r="372" spans="7:20" s="1191" customFormat="1" x14ac:dyDescent="0.2">
      <c r="G372" s="1203"/>
      <c r="H372" s="1204"/>
      <c r="I372" s="1243"/>
      <c r="J372" s="1243"/>
      <c r="K372" s="1204"/>
      <c r="L372" s="1216"/>
      <c r="M372" s="1203"/>
      <c r="N372" s="1211"/>
      <c r="O372" s="1211"/>
      <c r="P372" s="1211"/>
      <c r="Q372" s="1211"/>
      <c r="R372" s="1211"/>
      <c r="S372" s="1211"/>
      <c r="T372" s="1209"/>
    </row>
    <row r="373" spans="7:20" s="1191" customFormat="1" x14ac:dyDescent="0.2">
      <c r="G373" s="1203"/>
      <c r="H373" s="1204"/>
      <c r="I373" s="1243"/>
      <c r="J373" s="1243"/>
      <c r="K373" s="1204"/>
      <c r="L373" s="1216"/>
      <c r="M373" s="1203"/>
      <c r="N373" s="1211"/>
      <c r="O373" s="1211"/>
      <c r="P373" s="1211"/>
      <c r="Q373" s="1211"/>
      <c r="R373" s="1211"/>
      <c r="S373" s="1211"/>
      <c r="T373" s="1209"/>
    </row>
    <row r="374" spans="7:20" s="1191" customFormat="1" x14ac:dyDescent="0.2">
      <c r="G374" s="1203"/>
      <c r="H374" s="1204"/>
      <c r="I374" s="1243"/>
      <c r="J374" s="1243"/>
      <c r="K374" s="1204"/>
      <c r="L374" s="1216"/>
      <c r="M374" s="1203"/>
      <c r="N374" s="1211"/>
      <c r="O374" s="1211"/>
      <c r="P374" s="1211"/>
      <c r="Q374" s="1211"/>
      <c r="R374" s="1211"/>
      <c r="S374" s="1211"/>
      <c r="T374" s="1209"/>
    </row>
    <row r="375" spans="7:20" s="1191" customFormat="1" x14ac:dyDescent="0.2">
      <c r="G375" s="1203"/>
      <c r="H375" s="1204"/>
      <c r="I375" s="1243"/>
      <c r="J375" s="1243"/>
      <c r="K375" s="1204"/>
      <c r="L375" s="1216"/>
      <c r="M375" s="1203"/>
      <c r="N375" s="1211"/>
      <c r="O375" s="1211"/>
      <c r="P375" s="1211"/>
      <c r="Q375" s="1211"/>
      <c r="R375" s="1211"/>
      <c r="S375" s="1211"/>
      <c r="T375" s="1209"/>
    </row>
    <row r="376" spans="7:20" s="1191" customFormat="1" x14ac:dyDescent="0.2">
      <c r="G376" s="1203"/>
      <c r="H376" s="1204"/>
      <c r="I376" s="1243"/>
      <c r="J376" s="1243"/>
      <c r="K376" s="1204"/>
      <c r="L376" s="1216"/>
      <c r="M376" s="1203"/>
      <c r="N376" s="1211"/>
      <c r="O376" s="1211"/>
      <c r="P376" s="1211"/>
      <c r="Q376" s="1211"/>
      <c r="R376" s="1211"/>
      <c r="S376" s="1211"/>
      <c r="T376" s="1209"/>
    </row>
    <row r="377" spans="7:20" s="1191" customFormat="1" x14ac:dyDescent="0.2">
      <c r="G377" s="1203"/>
      <c r="H377" s="1204"/>
      <c r="I377" s="1243"/>
      <c r="J377" s="1243"/>
      <c r="K377" s="1204"/>
      <c r="L377" s="1216"/>
      <c r="M377" s="1203"/>
      <c r="N377" s="1211"/>
      <c r="O377" s="1211"/>
      <c r="P377" s="1211"/>
      <c r="Q377" s="1211"/>
      <c r="R377" s="1211"/>
      <c r="S377" s="1211"/>
      <c r="T377" s="1209"/>
    </row>
    <row r="378" spans="7:20" s="1191" customFormat="1" x14ac:dyDescent="0.2">
      <c r="G378" s="1203"/>
      <c r="H378" s="1204"/>
      <c r="I378" s="1243"/>
      <c r="J378" s="1243"/>
      <c r="K378" s="1204"/>
      <c r="L378" s="1216"/>
      <c r="M378" s="1203"/>
      <c r="N378" s="1211"/>
      <c r="O378" s="1211"/>
      <c r="P378" s="1211"/>
      <c r="Q378" s="1211"/>
      <c r="R378" s="1211"/>
      <c r="S378" s="1211"/>
      <c r="T378" s="1209"/>
    </row>
    <row r="379" spans="7:20" s="1191" customFormat="1" x14ac:dyDescent="0.2">
      <c r="G379" s="1203"/>
      <c r="H379" s="1204"/>
      <c r="I379" s="1243"/>
      <c r="J379" s="1243"/>
      <c r="K379" s="1204"/>
      <c r="L379" s="1216"/>
      <c r="M379" s="1203"/>
      <c r="N379" s="1211"/>
      <c r="O379" s="1211"/>
      <c r="P379" s="1211"/>
      <c r="Q379" s="1211"/>
      <c r="R379" s="1211"/>
      <c r="S379" s="1211"/>
      <c r="T379" s="1209"/>
    </row>
    <row r="380" spans="7:20" s="1191" customFormat="1" x14ac:dyDescent="0.2">
      <c r="G380" s="1203"/>
      <c r="H380" s="1204"/>
      <c r="I380" s="1243"/>
      <c r="J380" s="1243"/>
      <c r="K380" s="1204"/>
      <c r="L380" s="1216"/>
      <c r="M380" s="1203"/>
      <c r="N380" s="1211"/>
      <c r="O380" s="1211"/>
      <c r="P380" s="1211"/>
      <c r="Q380" s="1211"/>
      <c r="R380" s="1211"/>
      <c r="S380" s="1211"/>
      <c r="T380" s="1209"/>
    </row>
    <row r="381" spans="7:20" s="1191" customFormat="1" x14ac:dyDescent="0.2">
      <c r="G381" s="1203"/>
      <c r="H381" s="1220"/>
      <c r="I381" s="1243"/>
      <c r="J381" s="1243"/>
      <c r="K381" s="1192"/>
      <c r="L381" s="1216"/>
      <c r="M381" s="1203"/>
      <c r="N381" s="1211"/>
      <c r="O381" s="1211"/>
      <c r="P381" s="1211"/>
      <c r="Q381" s="1211"/>
      <c r="R381" s="1211"/>
      <c r="S381" s="1211"/>
      <c r="T381" s="1209"/>
    </row>
    <row r="382" spans="7:20" s="1191" customFormat="1" x14ac:dyDescent="0.2">
      <c r="G382" s="1203"/>
      <c r="H382" s="1204"/>
      <c r="I382" s="1243"/>
      <c r="J382" s="1243"/>
      <c r="K382" s="1204"/>
      <c r="L382" s="1107"/>
      <c r="M382" s="1397"/>
      <c r="N382" s="1211"/>
      <c r="O382" s="1211"/>
      <c r="P382" s="1211"/>
      <c r="Q382" s="1211"/>
      <c r="R382" s="1211"/>
      <c r="S382" s="1211"/>
      <c r="T382" s="1209"/>
    </row>
    <row r="383" spans="7:20" s="1191" customFormat="1" x14ac:dyDescent="0.2">
      <c r="G383" s="1203"/>
      <c r="H383" s="1204"/>
      <c r="I383" s="1243"/>
      <c r="J383" s="1243"/>
      <c r="K383" s="1204"/>
      <c r="L383" s="1107"/>
      <c r="M383" s="1397"/>
      <c r="N383" s="1211"/>
      <c r="O383" s="1211"/>
      <c r="P383" s="1211"/>
      <c r="Q383" s="1211"/>
      <c r="R383" s="1211"/>
      <c r="S383" s="1211"/>
      <c r="T383" s="1209"/>
    </row>
    <row r="384" spans="7:20" s="1191" customFormat="1" x14ac:dyDescent="0.2">
      <c r="G384" s="1203"/>
      <c r="H384" s="1204"/>
      <c r="I384" s="1243"/>
      <c r="J384" s="1243"/>
      <c r="K384" s="1204"/>
      <c r="L384" s="1107"/>
      <c r="M384" s="1397"/>
      <c r="N384" s="1211"/>
      <c r="O384" s="1211"/>
      <c r="P384" s="1211"/>
      <c r="Q384" s="1211"/>
      <c r="R384" s="1211"/>
      <c r="S384" s="1211"/>
      <c r="T384" s="1209"/>
    </row>
    <row r="385" spans="7:20" s="1191" customFormat="1" x14ac:dyDescent="0.2">
      <c r="G385" s="1203"/>
      <c r="H385" s="1204"/>
      <c r="I385" s="1243"/>
      <c r="J385" s="1243"/>
      <c r="K385" s="1204"/>
      <c r="L385" s="1107"/>
      <c r="M385" s="1397"/>
      <c r="N385" s="1211"/>
      <c r="O385" s="1211"/>
      <c r="P385" s="1211"/>
      <c r="Q385" s="1211"/>
      <c r="R385" s="1211"/>
      <c r="S385" s="1211"/>
      <c r="T385" s="1209"/>
    </row>
    <row r="386" spans="7:20" s="1191" customFormat="1" x14ac:dyDescent="0.2">
      <c r="G386" s="1203"/>
      <c r="H386" s="1204"/>
      <c r="I386" s="1243"/>
      <c r="J386" s="1243"/>
      <c r="K386" s="1204"/>
      <c r="L386" s="1107"/>
      <c r="M386" s="1398"/>
      <c r="N386" s="1211"/>
      <c r="O386" s="1211"/>
      <c r="P386" s="1211"/>
      <c r="Q386" s="1211"/>
      <c r="R386" s="1211"/>
      <c r="S386" s="1211"/>
      <c r="T386" s="1209"/>
    </row>
    <row r="387" spans="7:20" s="1191" customFormat="1" x14ac:dyDescent="0.2">
      <c r="G387" s="1203"/>
      <c r="H387" s="1204"/>
      <c r="I387" s="1243"/>
      <c r="J387" s="1243"/>
      <c r="K387" s="1204"/>
      <c r="L387" s="1107"/>
      <c r="M387" s="1397"/>
      <c r="N387" s="1211"/>
      <c r="O387" s="1211"/>
      <c r="P387" s="1211"/>
      <c r="Q387" s="1211"/>
      <c r="R387" s="1211"/>
      <c r="S387" s="1211"/>
      <c r="T387" s="1209"/>
    </row>
    <row r="388" spans="7:20" s="1191" customFormat="1" x14ac:dyDescent="0.2">
      <c r="G388" s="1203"/>
      <c r="H388" s="1204"/>
      <c r="I388" s="1243"/>
      <c r="J388" s="1243"/>
      <c r="K388" s="1204"/>
      <c r="L388" s="1107"/>
      <c r="M388" s="1398"/>
      <c r="N388" s="1211"/>
      <c r="O388" s="1211"/>
      <c r="P388" s="1211"/>
      <c r="Q388" s="1211"/>
      <c r="R388" s="1211"/>
      <c r="S388" s="1211"/>
      <c r="T388" s="1209"/>
    </row>
    <row r="389" spans="7:20" s="1191" customFormat="1" x14ac:dyDescent="0.2">
      <c r="G389" s="1203"/>
      <c r="H389" s="1204"/>
      <c r="I389" s="1243"/>
      <c r="J389" s="1243"/>
      <c r="K389" s="1204"/>
      <c r="L389" s="1107"/>
      <c r="M389" s="1398"/>
      <c r="N389" s="1211"/>
      <c r="O389" s="1211"/>
      <c r="P389" s="1211"/>
      <c r="Q389" s="1211"/>
      <c r="R389" s="1211"/>
      <c r="S389" s="1211"/>
      <c r="T389" s="1209"/>
    </row>
    <row r="390" spans="7:20" s="1191" customFormat="1" x14ac:dyDescent="0.2">
      <c r="G390" s="1203"/>
      <c r="H390" s="1204"/>
      <c r="I390" s="1243"/>
      <c r="J390" s="1243"/>
      <c r="K390" s="1192"/>
      <c r="L390" s="1107"/>
      <c r="M390" s="1398"/>
      <c r="N390" s="1211"/>
      <c r="O390" s="1211"/>
      <c r="P390" s="1211"/>
      <c r="Q390" s="1211"/>
      <c r="R390" s="1211"/>
      <c r="S390" s="1211"/>
      <c r="T390" s="1209"/>
    </row>
    <row r="391" spans="7:20" s="1191" customFormat="1" x14ac:dyDescent="0.2">
      <c r="G391" s="1203"/>
      <c r="H391" s="1204"/>
      <c r="I391" s="1243"/>
      <c r="J391" s="1243"/>
      <c r="K391" s="1204"/>
      <c r="L391" s="1107"/>
      <c r="M391" s="1398"/>
      <c r="N391" s="1211"/>
      <c r="O391" s="1211"/>
      <c r="P391" s="1211"/>
      <c r="Q391" s="1211"/>
      <c r="R391" s="1211"/>
      <c r="S391" s="1211"/>
      <c r="T391" s="1209"/>
    </row>
    <row r="392" spans="7:20" s="1191" customFormat="1" x14ac:dyDescent="0.2">
      <c r="G392" s="1203"/>
      <c r="H392" s="1204"/>
      <c r="I392" s="1243"/>
      <c r="J392" s="1243"/>
      <c r="K392" s="1204"/>
      <c r="L392" s="1107"/>
      <c r="M392" s="1398"/>
      <c r="N392" s="1211"/>
      <c r="O392" s="1211"/>
      <c r="P392" s="1211"/>
      <c r="Q392" s="1211"/>
      <c r="R392" s="1211"/>
      <c r="S392" s="1211"/>
      <c r="T392" s="1209"/>
    </row>
    <row r="393" spans="7:20" s="1191" customFormat="1" x14ac:dyDescent="0.2">
      <c r="G393" s="1203"/>
      <c r="H393" s="1204"/>
      <c r="I393" s="1243"/>
      <c r="J393" s="1243"/>
      <c r="K393" s="1204"/>
      <c r="L393" s="1107"/>
      <c r="M393" s="1398"/>
      <c r="N393" s="1211"/>
      <c r="O393" s="1211"/>
      <c r="P393" s="1211"/>
      <c r="Q393" s="1211"/>
      <c r="R393" s="1211"/>
      <c r="S393" s="1211"/>
      <c r="T393" s="1209"/>
    </row>
    <row r="394" spans="7:20" s="1191" customFormat="1" x14ac:dyDescent="0.2">
      <c r="G394" s="1203"/>
      <c r="H394" s="1204"/>
      <c r="I394" s="1243"/>
      <c r="J394" s="1243"/>
      <c r="K394" s="1204"/>
      <c r="L394" s="1107"/>
      <c r="M394" s="1398"/>
      <c r="N394" s="1211"/>
      <c r="O394" s="1211"/>
      <c r="P394" s="1211"/>
      <c r="Q394" s="1211"/>
      <c r="R394" s="1211"/>
      <c r="S394" s="1211"/>
      <c r="T394" s="1209"/>
    </row>
    <row r="395" spans="7:20" s="1191" customFormat="1" x14ac:dyDescent="0.2">
      <c r="G395" s="1203"/>
      <c r="H395" s="1204"/>
      <c r="I395" s="1243"/>
      <c r="J395" s="1243"/>
      <c r="K395" s="1204"/>
      <c r="L395" s="1107"/>
      <c r="M395" s="1398"/>
      <c r="N395" s="1211"/>
      <c r="O395" s="1211"/>
      <c r="P395" s="1211"/>
      <c r="Q395" s="1211"/>
      <c r="R395" s="1211"/>
      <c r="S395" s="1211"/>
      <c r="T395" s="1209"/>
    </row>
    <row r="396" spans="7:20" s="1191" customFormat="1" x14ac:dyDescent="0.2">
      <c r="G396" s="1203"/>
      <c r="H396" s="1204"/>
      <c r="I396" s="1243"/>
      <c r="J396" s="1243"/>
      <c r="K396" s="1204"/>
      <c r="L396" s="1107"/>
      <c r="M396" s="1398"/>
      <c r="N396" s="1211"/>
      <c r="O396" s="1211"/>
      <c r="P396" s="1211"/>
      <c r="Q396" s="1211"/>
      <c r="R396" s="1211"/>
      <c r="S396" s="1211"/>
      <c r="T396" s="1209"/>
    </row>
    <row r="397" spans="7:20" s="1191" customFormat="1" x14ac:dyDescent="0.2">
      <c r="G397" s="1203"/>
      <c r="H397" s="1204"/>
      <c r="I397" s="1243"/>
      <c r="J397" s="1243"/>
      <c r="K397" s="1192"/>
      <c r="L397" s="1107"/>
      <c r="M397" s="1398"/>
      <c r="N397" s="1211"/>
      <c r="O397" s="1211"/>
      <c r="P397" s="1211"/>
      <c r="Q397" s="1211"/>
      <c r="R397" s="1211"/>
      <c r="S397" s="1211"/>
      <c r="T397" s="1209"/>
    </row>
    <row r="398" spans="7:20" s="1191" customFormat="1" x14ac:dyDescent="0.2">
      <c r="G398" s="1203"/>
      <c r="H398" s="1192"/>
      <c r="I398" s="1243"/>
      <c r="J398" s="1243"/>
      <c r="K398" s="1204"/>
      <c r="L398" s="1107"/>
      <c r="M398" s="1397"/>
      <c r="N398" s="1211"/>
      <c r="O398" s="1211"/>
      <c r="P398" s="1211"/>
      <c r="Q398" s="1211"/>
      <c r="R398" s="1211"/>
      <c r="S398" s="1211"/>
      <c r="T398" s="1209"/>
    </row>
    <row r="399" spans="7:20" s="1191" customFormat="1" ht="18" x14ac:dyDescent="0.25">
      <c r="G399" s="1389" t="s">
        <v>69</v>
      </c>
      <c r="H399" s="1390"/>
      <c r="I399" s="1391"/>
      <c r="J399" s="1391"/>
      <c r="K399" s="1392"/>
      <c r="L399" s="1393"/>
      <c r="M399" s="1195"/>
      <c r="N399" s="1187"/>
      <c r="O399" s="1187"/>
      <c r="P399" s="1187"/>
      <c r="Q399" s="1187"/>
      <c r="R399" s="1187"/>
      <c r="S399" s="1187"/>
      <c r="T399" s="1202"/>
    </row>
    <row r="400" spans="7:20" s="1191" customFormat="1" x14ac:dyDescent="0.2">
      <c r="G400" s="1203"/>
      <c r="H400" s="1394"/>
      <c r="I400" s="1232"/>
      <c r="J400" s="1232"/>
      <c r="K400" s="1394"/>
      <c r="L400" s="1233"/>
      <c r="M400" s="1395"/>
      <c r="N400" s="1211"/>
      <c r="O400" s="1211"/>
      <c r="P400" s="1211"/>
      <c r="Q400" s="1211"/>
      <c r="R400" s="1211"/>
      <c r="S400" s="1211"/>
      <c r="T400" s="1209"/>
    </row>
    <row r="401" spans="7:20" s="1191" customFormat="1" x14ac:dyDescent="0.2">
      <c r="G401" s="1203"/>
      <c r="H401" s="1220"/>
      <c r="I401" s="1243"/>
      <c r="J401" s="1243"/>
      <c r="K401" s="1192"/>
      <c r="L401" s="1216"/>
      <c r="M401" s="1203"/>
      <c r="N401" s="1211"/>
      <c r="O401" s="1211"/>
      <c r="P401" s="1211"/>
      <c r="Q401" s="1211"/>
      <c r="R401" s="1211"/>
      <c r="S401" s="1211"/>
      <c r="T401" s="1209"/>
    </row>
    <row r="402" spans="7:20" s="1191" customFormat="1" x14ac:dyDescent="0.2">
      <c r="G402" s="1203"/>
      <c r="H402" s="1204"/>
      <c r="I402" s="1243"/>
      <c r="J402" s="1243"/>
      <c r="K402" s="1204"/>
      <c r="L402" s="1192"/>
      <c r="M402" s="1397"/>
      <c r="N402" s="1210"/>
      <c r="O402" s="1211"/>
      <c r="P402" s="1211"/>
      <c r="Q402" s="1211"/>
      <c r="R402" s="1211"/>
      <c r="S402" s="1211"/>
      <c r="T402" s="1209"/>
    </row>
    <row r="403" spans="7:20" s="1191" customFormat="1" x14ac:dyDescent="0.2">
      <c r="G403" s="1203"/>
      <c r="H403" s="1204"/>
      <c r="I403" s="1243"/>
      <c r="J403" s="1243"/>
      <c r="K403" s="1204"/>
      <c r="L403" s="1192"/>
      <c r="M403" s="1397"/>
      <c r="N403" s="1210"/>
      <c r="O403" s="1211"/>
      <c r="P403" s="1211"/>
      <c r="Q403" s="1211"/>
      <c r="R403" s="1211"/>
      <c r="S403" s="1211"/>
      <c r="T403" s="1209"/>
    </row>
    <row r="404" spans="7:20" s="1191" customFormat="1" x14ac:dyDescent="0.2">
      <c r="G404" s="1203"/>
      <c r="H404" s="1204"/>
      <c r="I404" s="1243"/>
      <c r="J404" s="1243"/>
      <c r="K404" s="1204"/>
      <c r="L404" s="1192"/>
      <c r="M404" s="1397"/>
      <c r="N404" s="1210"/>
      <c r="O404" s="1211"/>
      <c r="P404" s="1211"/>
      <c r="Q404" s="1211"/>
      <c r="R404" s="1211"/>
      <c r="S404" s="1211"/>
      <c r="T404" s="1209"/>
    </row>
    <row r="405" spans="7:20" s="1191" customFormat="1" x14ac:dyDescent="0.2">
      <c r="G405" s="1203"/>
      <c r="H405" s="1204"/>
      <c r="I405" s="1243"/>
      <c r="J405" s="1243"/>
      <c r="K405" s="1204"/>
      <c r="L405" s="1192"/>
      <c r="M405" s="1397"/>
      <c r="N405" s="1210"/>
      <c r="O405" s="1211"/>
      <c r="P405" s="1211"/>
      <c r="Q405" s="1211"/>
      <c r="R405" s="1211"/>
      <c r="S405" s="1211"/>
      <c r="T405" s="1209"/>
    </row>
    <row r="406" spans="7:20" s="1191" customFormat="1" x14ac:dyDescent="0.2">
      <c r="G406" s="1203"/>
      <c r="H406" s="1204"/>
      <c r="I406" s="1243"/>
      <c r="J406" s="1243"/>
      <c r="K406" s="1204"/>
      <c r="L406" s="1192"/>
      <c r="M406" s="1397"/>
      <c r="N406" s="1210"/>
      <c r="O406" s="1211"/>
      <c r="P406" s="1211"/>
      <c r="Q406" s="1211"/>
      <c r="R406" s="1211"/>
      <c r="S406" s="1211"/>
      <c r="T406" s="1209"/>
    </row>
    <row r="407" spans="7:20" s="1191" customFormat="1" x14ac:dyDescent="0.2">
      <c r="G407" s="1203"/>
      <c r="H407" s="1204"/>
      <c r="I407" s="1243"/>
      <c r="J407" s="1243"/>
      <c r="K407" s="1204"/>
      <c r="L407" s="1192"/>
      <c r="M407" s="1397"/>
      <c r="N407" s="1210"/>
      <c r="O407" s="1211"/>
      <c r="P407" s="1211"/>
      <c r="Q407" s="1211"/>
      <c r="R407" s="1211"/>
      <c r="S407" s="1211"/>
      <c r="T407" s="1209"/>
    </row>
    <row r="408" spans="7:20" s="1191" customFormat="1" x14ac:dyDescent="0.2">
      <c r="G408" s="1203"/>
      <c r="H408" s="1204"/>
      <c r="I408" s="1243"/>
      <c r="J408" s="1243"/>
      <c r="K408" s="1204"/>
      <c r="L408" s="1192"/>
      <c r="M408" s="1397"/>
      <c r="N408" s="1210"/>
      <c r="O408" s="1211"/>
      <c r="P408" s="1211"/>
      <c r="Q408" s="1211"/>
      <c r="R408" s="1211"/>
      <c r="S408" s="1211"/>
      <c r="T408" s="1209"/>
    </row>
    <row r="409" spans="7:20" s="1191" customFormat="1" x14ac:dyDescent="0.2">
      <c r="G409" s="1203"/>
      <c r="H409" s="1204"/>
      <c r="I409" s="1243"/>
      <c r="J409" s="1243"/>
      <c r="K409" s="1204"/>
      <c r="L409" s="1192"/>
      <c r="M409" s="1397"/>
      <c r="N409" s="1210"/>
      <c r="O409" s="1211"/>
      <c r="P409" s="1211"/>
      <c r="Q409" s="1211"/>
      <c r="R409" s="1211"/>
      <c r="S409" s="1211"/>
      <c r="T409" s="1209"/>
    </row>
    <row r="410" spans="7:20" s="1191" customFormat="1" x14ac:dyDescent="0.2">
      <c r="G410" s="1203"/>
      <c r="H410" s="1204"/>
      <c r="I410" s="1243"/>
      <c r="J410" s="1243"/>
      <c r="K410" s="1204"/>
      <c r="L410" s="1192"/>
      <c r="M410" s="1397"/>
      <c r="N410" s="1210"/>
      <c r="O410" s="1211"/>
      <c r="P410" s="1211"/>
      <c r="Q410" s="1211"/>
      <c r="R410" s="1211"/>
      <c r="S410" s="1211"/>
      <c r="T410" s="1209"/>
    </row>
    <row r="411" spans="7:20" s="1191" customFormat="1" x14ac:dyDescent="0.2">
      <c r="G411" s="1203"/>
      <c r="H411" s="1204"/>
      <c r="I411" s="1243"/>
      <c r="J411" s="1243"/>
      <c r="K411" s="1204"/>
      <c r="L411" s="1192"/>
      <c r="M411" s="1397"/>
      <c r="N411" s="1210"/>
      <c r="O411" s="1211"/>
      <c r="P411" s="1211"/>
      <c r="Q411" s="1211"/>
      <c r="R411" s="1211"/>
      <c r="S411" s="1211"/>
      <c r="T411" s="1209"/>
    </row>
    <row r="412" spans="7:20" s="1191" customFormat="1" x14ac:dyDescent="0.2">
      <c r="G412" s="1203"/>
      <c r="H412" s="1204"/>
      <c r="I412" s="1243"/>
      <c r="J412" s="1243"/>
      <c r="K412" s="1204"/>
      <c r="L412" s="1192"/>
      <c r="M412" s="1397"/>
      <c r="N412" s="1210"/>
      <c r="O412" s="1211"/>
      <c r="P412" s="1211"/>
      <c r="Q412" s="1211"/>
      <c r="R412" s="1211"/>
      <c r="S412" s="1211"/>
      <c r="T412" s="1209"/>
    </row>
    <row r="413" spans="7:20" s="1191" customFormat="1" x14ac:dyDescent="0.2">
      <c r="G413" s="1203"/>
      <c r="H413" s="1192"/>
      <c r="I413" s="1243"/>
      <c r="J413" s="1243"/>
      <c r="K413" s="1192"/>
      <c r="L413" s="1192"/>
      <c r="M413" s="1398"/>
      <c r="N413" s="1211"/>
      <c r="O413" s="1211"/>
      <c r="P413" s="1211"/>
      <c r="Q413" s="1211"/>
      <c r="R413" s="1211"/>
      <c r="S413" s="1211"/>
      <c r="T413" s="1209"/>
    </row>
    <row r="414" spans="7:20" s="1191" customFormat="1" x14ac:dyDescent="0.2">
      <c r="G414" s="1203"/>
      <c r="H414" s="1220"/>
      <c r="I414" s="1243"/>
      <c r="J414" s="1243"/>
      <c r="K414" s="1192"/>
      <c r="L414" s="1192"/>
      <c r="M414" s="1398"/>
      <c r="N414" s="1211"/>
      <c r="O414" s="1309"/>
      <c r="P414" s="1309"/>
      <c r="Q414" s="1309"/>
      <c r="R414" s="1210"/>
      <c r="S414" s="1211"/>
      <c r="T414" s="1209"/>
    </row>
    <row r="415" spans="7:20" s="1191" customFormat="1" x14ac:dyDescent="0.2">
      <c r="G415" s="1203"/>
      <c r="H415" s="1204"/>
      <c r="I415" s="1243"/>
      <c r="J415" s="1243"/>
      <c r="K415" s="1204"/>
      <c r="L415" s="1192"/>
      <c r="M415" s="1397"/>
      <c r="N415" s="1211"/>
      <c r="O415" s="1211"/>
      <c r="P415" s="1211"/>
      <c r="Q415" s="1211"/>
      <c r="R415" s="1211"/>
      <c r="S415" s="1211"/>
      <c r="T415" s="1209"/>
    </row>
    <row r="416" spans="7:20" s="1191" customFormat="1" x14ac:dyDescent="0.2">
      <c r="G416" s="1203"/>
      <c r="H416" s="1204"/>
      <c r="I416" s="1243"/>
      <c r="J416" s="1243"/>
      <c r="K416" s="1204"/>
      <c r="L416" s="1192"/>
      <c r="M416" s="1397"/>
      <c r="N416" s="1211"/>
      <c r="O416" s="1211"/>
      <c r="P416" s="1211"/>
      <c r="Q416" s="1211"/>
      <c r="R416" s="1211"/>
      <c r="S416" s="1211"/>
      <c r="T416" s="1209"/>
    </row>
    <row r="417" spans="7:20" s="1191" customFormat="1" x14ac:dyDescent="0.2">
      <c r="G417" s="1203"/>
      <c r="H417" s="1204"/>
      <c r="I417" s="1243"/>
      <c r="J417" s="1243"/>
      <c r="K417" s="1204"/>
      <c r="L417" s="1192"/>
      <c r="M417" s="1397"/>
      <c r="N417" s="1211"/>
      <c r="O417" s="1211"/>
      <c r="P417" s="1211"/>
      <c r="Q417" s="1211"/>
      <c r="R417" s="1211"/>
      <c r="S417" s="1211"/>
      <c r="T417" s="1209"/>
    </row>
    <row r="418" spans="7:20" s="1191" customFormat="1" x14ac:dyDescent="0.2">
      <c r="G418" s="1203"/>
      <c r="H418" s="1204"/>
      <c r="I418" s="1243"/>
      <c r="J418" s="1243"/>
      <c r="K418" s="1204"/>
      <c r="L418" s="1192"/>
      <c r="M418" s="1397"/>
      <c r="N418" s="1211"/>
      <c r="O418" s="1211"/>
      <c r="P418" s="1211"/>
      <c r="Q418" s="1211"/>
      <c r="R418" s="1211"/>
      <c r="S418" s="1211"/>
      <c r="T418" s="1209"/>
    </row>
    <row r="419" spans="7:20" s="1191" customFormat="1" x14ac:dyDescent="0.2">
      <c r="G419" s="1203"/>
      <c r="H419" s="1204"/>
      <c r="I419" s="1243"/>
      <c r="J419" s="1243"/>
      <c r="K419" s="1204"/>
      <c r="L419" s="1192"/>
      <c r="M419" s="1397"/>
      <c r="N419" s="1211"/>
      <c r="O419" s="1211"/>
      <c r="P419" s="1211"/>
      <c r="Q419" s="1211"/>
      <c r="R419" s="1211"/>
      <c r="S419" s="1211"/>
      <c r="T419" s="1209"/>
    </row>
    <row r="420" spans="7:20" s="1191" customFormat="1" x14ac:dyDescent="0.2">
      <c r="G420" s="1203"/>
      <c r="H420" s="1204"/>
      <c r="I420" s="1243"/>
      <c r="J420" s="1243"/>
      <c r="K420" s="1204"/>
      <c r="L420" s="1192"/>
      <c r="M420" s="1397"/>
      <c r="N420" s="1211"/>
      <c r="O420" s="1211"/>
      <c r="P420" s="1211"/>
      <c r="Q420" s="1211"/>
      <c r="R420" s="1211"/>
      <c r="S420" s="1211"/>
      <c r="T420" s="1209"/>
    </row>
    <row r="421" spans="7:20" s="1191" customFormat="1" x14ac:dyDescent="0.2">
      <c r="G421" s="1203"/>
      <c r="H421" s="1204"/>
      <c r="I421" s="1243"/>
      <c r="J421" s="1243"/>
      <c r="K421" s="1204"/>
      <c r="L421" s="1192"/>
      <c r="M421" s="1397"/>
      <c r="N421" s="1211"/>
      <c r="O421" s="1211"/>
      <c r="P421" s="1211"/>
      <c r="Q421" s="1211"/>
      <c r="R421" s="1211"/>
      <c r="S421" s="1211"/>
      <c r="T421" s="1209"/>
    </row>
    <row r="422" spans="7:20" s="1191" customFormat="1" x14ac:dyDescent="0.2">
      <c r="G422" s="1203"/>
      <c r="H422" s="1204"/>
      <c r="I422" s="1243"/>
      <c r="J422" s="1243"/>
      <c r="K422" s="1204"/>
      <c r="L422" s="1192"/>
      <c r="M422" s="1397"/>
      <c r="N422" s="1211"/>
      <c r="O422" s="1211"/>
      <c r="P422" s="1211"/>
      <c r="Q422" s="1211"/>
      <c r="R422" s="1211"/>
      <c r="S422" s="1211"/>
      <c r="T422" s="1209"/>
    </row>
    <row r="423" spans="7:20" s="1191" customFormat="1" x14ac:dyDescent="0.2">
      <c r="G423" s="1203"/>
      <c r="H423" s="1204"/>
      <c r="I423" s="1243"/>
      <c r="J423" s="1243"/>
      <c r="K423" s="1204"/>
      <c r="L423" s="1192"/>
      <c r="M423" s="1397"/>
      <c r="N423" s="1211"/>
      <c r="O423" s="1211"/>
      <c r="P423" s="1211"/>
      <c r="Q423" s="1211"/>
      <c r="R423" s="1211"/>
      <c r="S423" s="1211"/>
      <c r="T423" s="1209"/>
    </row>
    <row r="424" spans="7:20" s="1191" customFormat="1" x14ac:dyDescent="0.2">
      <c r="G424" s="1203"/>
      <c r="H424" s="1204"/>
      <c r="I424" s="1243"/>
      <c r="J424" s="1243"/>
      <c r="K424" s="1204"/>
      <c r="L424" s="1192"/>
      <c r="M424" s="1397"/>
      <c r="N424" s="1211"/>
      <c r="O424" s="1211"/>
      <c r="P424" s="1211"/>
      <c r="Q424" s="1211"/>
      <c r="R424" s="1211"/>
      <c r="S424" s="1211"/>
      <c r="T424" s="1209"/>
    </row>
    <row r="425" spans="7:20" s="1191" customFormat="1" x14ac:dyDescent="0.2">
      <c r="G425" s="1203"/>
      <c r="H425" s="1192"/>
      <c r="I425" s="1243"/>
      <c r="J425" s="1243"/>
      <c r="K425" s="1192"/>
      <c r="L425" s="1216"/>
      <c r="M425" s="1203"/>
      <c r="N425" s="1211"/>
      <c r="O425" s="1211"/>
      <c r="P425" s="1309"/>
      <c r="Q425" s="1309"/>
      <c r="R425" s="1309"/>
      <c r="S425" s="1211"/>
      <c r="T425" s="1209"/>
    </row>
    <row r="426" spans="7:20" s="1191" customFormat="1" x14ac:dyDescent="0.2">
      <c r="G426" s="1203"/>
      <c r="H426" s="1220"/>
      <c r="I426" s="1243"/>
      <c r="J426" s="1243"/>
      <c r="K426" s="1192"/>
      <c r="L426" s="1216"/>
      <c r="M426" s="1203"/>
      <c r="N426" s="1211"/>
      <c r="O426" s="1211"/>
      <c r="P426" s="1211"/>
      <c r="Q426" s="1211"/>
      <c r="R426" s="1211"/>
      <c r="S426" s="1211"/>
      <c r="T426" s="1209"/>
    </row>
    <row r="427" spans="7:20" s="1191" customFormat="1" x14ac:dyDescent="0.2">
      <c r="G427" s="1203"/>
      <c r="H427" s="1204"/>
      <c r="I427" s="1243"/>
      <c r="J427" s="1243"/>
      <c r="K427" s="1192"/>
      <c r="L427" s="1216"/>
      <c r="M427" s="1203"/>
      <c r="N427" s="1211"/>
      <c r="O427" s="1211"/>
      <c r="P427" s="1211"/>
      <c r="Q427" s="1211"/>
      <c r="R427" s="1211"/>
      <c r="S427" s="1211"/>
      <c r="T427" s="1209"/>
    </row>
    <row r="428" spans="7:20" s="1191" customFormat="1" x14ac:dyDescent="0.2">
      <c r="G428" s="1203"/>
      <c r="H428" s="1204"/>
      <c r="I428" s="1243"/>
      <c r="J428" s="1243"/>
      <c r="K428" s="1192"/>
      <c r="L428" s="1216"/>
      <c r="M428" s="1203"/>
      <c r="N428" s="1211"/>
      <c r="O428" s="1211"/>
      <c r="P428" s="1211"/>
      <c r="Q428" s="1211"/>
      <c r="R428" s="1211"/>
      <c r="S428" s="1211"/>
      <c r="T428" s="1209"/>
    </row>
    <row r="429" spans="7:20" s="1191" customFormat="1" x14ac:dyDescent="0.2">
      <c r="G429" s="1203"/>
      <c r="H429" s="1204"/>
      <c r="I429" s="1243"/>
      <c r="J429" s="1243"/>
      <c r="K429" s="1192"/>
      <c r="L429" s="1216"/>
      <c r="M429" s="1203"/>
      <c r="N429" s="1211"/>
      <c r="O429" s="1211"/>
      <c r="P429" s="1211"/>
      <c r="Q429" s="1211"/>
      <c r="R429" s="1211"/>
      <c r="S429" s="1211"/>
      <c r="T429" s="1209"/>
    </row>
    <row r="430" spans="7:20" s="1191" customFormat="1" x14ac:dyDescent="0.2">
      <c r="G430" s="1203"/>
      <c r="H430" s="1204"/>
      <c r="I430" s="1243"/>
      <c r="J430" s="1243"/>
      <c r="K430" s="1192"/>
      <c r="L430" s="1216"/>
      <c r="M430" s="1203"/>
      <c r="N430" s="1211"/>
      <c r="O430" s="1211"/>
      <c r="P430" s="1211"/>
      <c r="Q430" s="1211"/>
      <c r="R430" s="1211"/>
      <c r="S430" s="1211"/>
      <c r="T430" s="1209"/>
    </row>
    <row r="431" spans="7:20" s="1191" customFormat="1" x14ac:dyDescent="0.2">
      <c r="G431" s="1203"/>
      <c r="H431" s="1204"/>
      <c r="I431" s="1243"/>
      <c r="J431" s="1243"/>
      <c r="K431" s="1192"/>
      <c r="L431" s="1216"/>
      <c r="M431" s="1203"/>
      <c r="N431" s="1211"/>
      <c r="O431" s="1211"/>
      <c r="P431" s="1211"/>
      <c r="Q431" s="1211"/>
      <c r="R431" s="1211"/>
      <c r="S431" s="1211"/>
      <c r="T431" s="1209"/>
    </row>
    <row r="432" spans="7:20" s="1191" customFormat="1" x14ac:dyDescent="0.2">
      <c r="G432" s="1203"/>
      <c r="H432" s="1204"/>
      <c r="I432" s="1243"/>
      <c r="J432" s="1243"/>
      <c r="K432" s="1192"/>
      <c r="L432" s="1216"/>
      <c r="M432" s="1203"/>
      <c r="N432" s="1211"/>
      <c r="O432" s="1211"/>
      <c r="P432" s="1211"/>
      <c r="Q432" s="1211"/>
      <c r="R432" s="1211"/>
      <c r="S432" s="1211"/>
      <c r="T432" s="1209"/>
    </row>
    <row r="433" spans="7:20" s="1191" customFormat="1" x14ac:dyDescent="0.2">
      <c r="G433" s="1203"/>
      <c r="H433" s="1204"/>
      <c r="I433" s="1243"/>
      <c r="J433" s="1243"/>
      <c r="K433" s="1192"/>
      <c r="L433" s="1216"/>
      <c r="M433" s="1203"/>
      <c r="N433" s="1211"/>
      <c r="O433" s="1211"/>
      <c r="P433" s="1211"/>
      <c r="Q433" s="1211"/>
      <c r="R433" s="1211"/>
      <c r="S433" s="1211"/>
      <c r="T433" s="1209"/>
    </row>
    <row r="434" spans="7:20" s="1191" customFormat="1" x14ac:dyDescent="0.2">
      <c r="G434" s="1203"/>
      <c r="H434" s="1204"/>
      <c r="I434" s="1243"/>
      <c r="J434" s="1243"/>
      <c r="K434" s="1192"/>
      <c r="L434" s="1216"/>
      <c r="M434" s="1203"/>
      <c r="N434" s="1211"/>
      <c r="O434" s="1211"/>
      <c r="P434" s="1211"/>
      <c r="Q434" s="1211"/>
      <c r="R434" s="1211"/>
      <c r="S434" s="1211"/>
      <c r="T434" s="1209"/>
    </row>
    <row r="435" spans="7:20" s="1191" customFormat="1" x14ac:dyDescent="0.2">
      <c r="G435" s="1203"/>
      <c r="H435" s="1204"/>
      <c r="I435" s="1243"/>
      <c r="J435" s="1243"/>
      <c r="K435" s="1192"/>
      <c r="L435" s="1216"/>
      <c r="M435" s="1203"/>
      <c r="N435" s="1211"/>
      <c r="O435" s="1211"/>
      <c r="P435" s="1211"/>
      <c r="Q435" s="1211"/>
      <c r="R435" s="1211"/>
      <c r="S435" s="1211"/>
      <c r="T435" s="1209"/>
    </row>
    <row r="436" spans="7:20" s="1191" customFormat="1" x14ac:dyDescent="0.2">
      <c r="G436" s="1203"/>
      <c r="H436" s="1204"/>
      <c r="I436" s="1243"/>
      <c r="J436" s="1243"/>
      <c r="K436" s="1192"/>
      <c r="L436" s="1216"/>
      <c r="M436" s="1203"/>
      <c r="N436" s="1211"/>
      <c r="O436" s="1211"/>
      <c r="P436" s="1211"/>
      <c r="Q436" s="1211"/>
      <c r="R436" s="1211"/>
      <c r="S436" s="1211"/>
      <c r="T436" s="1209"/>
    </row>
    <row r="437" spans="7:20" s="1191" customFormat="1" x14ac:dyDescent="0.2">
      <c r="G437" s="1203"/>
      <c r="H437" s="1192"/>
      <c r="I437" s="1243"/>
      <c r="J437" s="1243"/>
      <c r="K437" s="1192"/>
      <c r="L437" s="1192"/>
      <c r="M437" s="1203"/>
      <c r="N437" s="1211"/>
      <c r="O437" s="1211"/>
      <c r="P437" s="1211"/>
      <c r="Q437" s="1211"/>
      <c r="R437" s="1211"/>
      <c r="S437" s="1211"/>
      <c r="T437" s="1209"/>
    </row>
    <row r="438" spans="7:20" s="1191" customFormat="1" x14ac:dyDescent="0.2">
      <c r="G438" s="1203"/>
      <c r="H438" s="1220"/>
      <c r="I438" s="1243"/>
      <c r="J438" s="1243"/>
      <c r="K438" s="1192"/>
      <c r="L438" s="1216"/>
      <c r="M438" s="1203"/>
      <c r="N438" s="1211"/>
      <c r="O438" s="1210"/>
      <c r="P438" s="1210"/>
      <c r="Q438" s="1210"/>
      <c r="R438" s="1210"/>
      <c r="S438" s="1211"/>
      <c r="T438" s="1209"/>
    </row>
    <row r="439" spans="7:20" s="1191" customFormat="1" x14ac:dyDescent="0.2">
      <c r="G439" s="1203"/>
      <c r="H439" s="1204"/>
      <c r="I439" s="1243"/>
      <c r="J439" s="1243"/>
      <c r="K439" s="1192"/>
      <c r="L439" s="1221"/>
      <c r="M439" s="1397"/>
      <c r="N439" s="1210"/>
      <c r="O439" s="1211"/>
      <c r="P439" s="1211"/>
      <c r="Q439" s="1211"/>
      <c r="R439" s="1211"/>
      <c r="S439" s="1211"/>
      <c r="T439" s="1209"/>
    </row>
    <row r="440" spans="7:20" s="1191" customFormat="1" x14ac:dyDescent="0.2">
      <c r="G440" s="1203"/>
      <c r="H440" s="1204"/>
      <c r="I440" s="1243"/>
      <c r="J440" s="1243"/>
      <c r="K440" s="1192"/>
      <c r="L440" s="1221"/>
      <c r="M440" s="1397"/>
      <c r="N440" s="1210"/>
      <c r="O440" s="1211"/>
      <c r="P440" s="1211"/>
      <c r="Q440" s="1211"/>
      <c r="R440" s="1211"/>
      <c r="S440" s="1211"/>
      <c r="T440" s="1209"/>
    </row>
    <row r="441" spans="7:20" s="1191" customFormat="1" x14ac:dyDescent="0.2">
      <c r="G441" s="1203"/>
      <c r="H441" s="1204"/>
      <c r="I441" s="1243"/>
      <c r="J441" s="1243"/>
      <c r="K441" s="1192"/>
      <c r="L441" s="1221"/>
      <c r="M441" s="1397"/>
      <c r="N441" s="1210"/>
      <c r="O441" s="1211"/>
      <c r="P441" s="1211"/>
      <c r="Q441" s="1211"/>
      <c r="R441" s="1211"/>
      <c r="S441" s="1211"/>
      <c r="T441" s="1209"/>
    </row>
    <row r="442" spans="7:20" s="1191" customFormat="1" x14ac:dyDescent="0.2">
      <c r="G442" s="1203"/>
      <c r="H442" s="1204"/>
      <c r="I442" s="1243"/>
      <c r="J442" s="1243"/>
      <c r="K442" s="1192"/>
      <c r="L442" s="1221"/>
      <c r="M442" s="1397"/>
      <c r="N442" s="1210"/>
      <c r="O442" s="1211"/>
      <c r="P442" s="1211"/>
      <c r="Q442" s="1211"/>
      <c r="R442" s="1211"/>
      <c r="S442" s="1211"/>
      <c r="T442" s="1209"/>
    </row>
    <row r="443" spans="7:20" s="1191" customFormat="1" x14ac:dyDescent="0.2">
      <c r="G443" s="1203"/>
      <c r="H443" s="1204"/>
      <c r="I443" s="1243"/>
      <c r="J443" s="1243"/>
      <c r="K443" s="1204"/>
      <c r="L443" s="1221"/>
      <c r="M443" s="1397"/>
      <c r="N443" s="1210"/>
      <c r="O443" s="1211"/>
      <c r="P443" s="1211"/>
      <c r="Q443" s="1211"/>
      <c r="R443" s="1211"/>
      <c r="S443" s="1211"/>
      <c r="T443" s="1209"/>
    </row>
    <row r="444" spans="7:20" s="1191" customFormat="1" x14ac:dyDescent="0.2">
      <c r="G444" s="1203"/>
      <c r="H444" s="1192"/>
      <c r="I444" s="1243"/>
      <c r="J444" s="1243"/>
      <c r="K444" s="1192"/>
      <c r="L444" s="1216"/>
      <c r="M444" s="1203"/>
      <c r="N444" s="1211"/>
      <c r="O444" s="1211"/>
      <c r="P444" s="1211"/>
      <c r="Q444" s="1211"/>
      <c r="R444" s="1211"/>
      <c r="S444" s="1211"/>
      <c r="T444" s="1209"/>
    </row>
    <row r="445" spans="7:20" s="1191" customFormat="1" x14ac:dyDescent="0.2">
      <c r="G445" s="1203"/>
      <c r="H445" s="1220"/>
      <c r="I445" s="1243"/>
      <c r="J445" s="1243"/>
      <c r="K445" s="1192"/>
      <c r="L445" s="1216"/>
      <c r="M445" s="1203"/>
      <c r="N445" s="1211"/>
      <c r="O445" s="1211"/>
      <c r="P445" s="1211"/>
      <c r="Q445" s="1211"/>
      <c r="R445" s="1211"/>
      <c r="S445" s="1211"/>
      <c r="T445" s="1209"/>
    </row>
    <row r="446" spans="7:20" s="1191" customFormat="1" x14ac:dyDescent="0.2">
      <c r="G446" s="1203"/>
      <c r="H446" s="1204"/>
      <c r="I446" s="1243"/>
      <c r="J446" s="1243"/>
      <c r="K446" s="1204"/>
      <c r="L446" s="1216"/>
      <c r="M446" s="1203"/>
      <c r="N446" s="1211"/>
      <c r="O446" s="1211"/>
      <c r="P446" s="1211"/>
      <c r="Q446" s="1211"/>
      <c r="R446" s="1211"/>
      <c r="S446" s="1211"/>
      <c r="T446" s="1209"/>
    </row>
    <row r="447" spans="7:20" s="1191" customFormat="1" x14ac:dyDescent="0.2">
      <c r="G447" s="1203"/>
      <c r="H447" s="1204"/>
      <c r="I447" s="1243"/>
      <c r="J447" s="1243"/>
      <c r="K447" s="1204"/>
      <c r="L447" s="1216"/>
      <c r="M447" s="1203"/>
      <c r="N447" s="1211"/>
      <c r="O447" s="1211"/>
      <c r="P447" s="1211"/>
      <c r="Q447" s="1211"/>
      <c r="R447" s="1211"/>
      <c r="S447" s="1211"/>
      <c r="T447" s="1209"/>
    </row>
    <row r="448" spans="7:20" s="1191" customFormat="1" x14ac:dyDescent="0.2">
      <c r="G448" s="1203"/>
      <c r="H448" s="1204"/>
      <c r="I448" s="1243"/>
      <c r="J448" s="1243"/>
      <c r="K448" s="1204"/>
      <c r="L448" s="1216"/>
      <c r="M448" s="1203"/>
      <c r="N448" s="1211"/>
      <c r="O448" s="1211"/>
      <c r="P448" s="1211"/>
      <c r="Q448" s="1211"/>
      <c r="R448" s="1211"/>
      <c r="S448" s="1211"/>
      <c r="T448" s="1209"/>
    </row>
    <row r="449" spans="7:20" s="1191" customFormat="1" x14ac:dyDescent="0.2">
      <c r="G449" s="1203"/>
      <c r="H449" s="1204"/>
      <c r="I449" s="1243"/>
      <c r="J449" s="1243"/>
      <c r="K449" s="1204"/>
      <c r="L449" s="1216"/>
      <c r="M449" s="1203"/>
      <c r="N449" s="1211"/>
      <c r="O449" s="1211"/>
      <c r="P449" s="1211"/>
      <c r="Q449" s="1211"/>
      <c r="R449" s="1211"/>
      <c r="S449" s="1211"/>
      <c r="T449" s="1209"/>
    </row>
    <row r="450" spans="7:20" s="1191" customFormat="1" x14ac:dyDescent="0.2">
      <c r="G450" s="1203"/>
      <c r="H450" s="1204"/>
      <c r="I450" s="1243"/>
      <c r="J450" s="1243"/>
      <c r="K450" s="1204"/>
      <c r="L450" s="1216"/>
      <c r="M450" s="1203"/>
      <c r="N450" s="1211"/>
      <c r="O450" s="1211"/>
      <c r="P450" s="1211"/>
      <c r="Q450" s="1211"/>
      <c r="R450" s="1211"/>
      <c r="S450" s="1211"/>
      <c r="T450" s="1209"/>
    </row>
    <row r="451" spans="7:20" s="1191" customFormat="1" x14ac:dyDescent="0.2">
      <c r="G451" s="1203"/>
      <c r="H451" s="1204"/>
      <c r="I451" s="1243"/>
      <c r="J451" s="1243"/>
      <c r="K451" s="1204"/>
      <c r="L451" s="1216"/>
      <c r="M451" s="1203"/>
      <c r="N451" s="1211"/>
      <c r="O451" s="1211"/>
      <c r="P451" s="1211"/>
      <c r="Q451" s="1211"/>
      <c r="R451" s="1211"/>
      <c r="S451" s="1211"/>
      <c r="T451" s="1209"/>
    </row>
    <row r="452" spans="7:20" s="1191" customFormat="1" x14ac:dyDescent="0.2">
      <c r="G452" s="1203"/>
      <c r="H452" s="1204"/>
      <c r="I452" s="1243"/>
      <c r="J452" s="1243"/>
      <c r="K452" s="1204"/>
      <c r="L452" s="1216"/>
      <c r="M452" s="1203"/>
      <c r="N452" s="1211"/>
      <c r="O452" s="1211"/>
      <c r="P452" s="1211"/>
      <c r="Q452" s="1211"/>
      <c r="R452" s="1211"/>
      <c r="S452" s="1211"/>
      <c r="T452" s="1209"/>
    </row>
    <row r="453" spans="7:20" s="1191" customFormat="1" x14ac:dyDescent="0.2">
      <c r="G453" s="1203"/>
      <c r="H453" s="1204"/>
      <c r="I453" s="1243"/>
      <c r="J453" s="1243"/>
      <c r="K453" s="1204"/>
      <c r="L453" s="1216"/>
      <c r="M453" s="1203"/>
      <c r="N453" s="1211"/>
      <c r="O453" s="1211"/>
      <c r="P453" s="1211"/>
      <c r="Q453" s="1211"/>
      <c r="R453" s="1211"/>
      <c r="S453" s="1211"/>
      <c r="T453" s="1209"/>
    </row>
    <row r="454" spans="7:20" s="1191" customFormat="1" x14ac:dyDescent="0.2">
      <c r="G454" s="1203"/>
      <c r="H454" s="1204"/>
      <c r="I454" s="1243"/>
      <c r="J454" s="1243"/>
      <c r="K454" s="1204"/>
      <c r="L454" s="1216"/>
      <c r="M454" s="1203"/>
      <c r="N454" s="1211"/>
      <c r="O454" s="1211"/>
      <c r="P454" s="1211"/>
      <c r="Q454" s="1211"/>
      <c r="R454" s="1211"/>
      <c r="S454" s="1211"/>
      <c r="T454" s="1209"/>
    </row>
    <row r="455" spans="7:20" s="1191" customFormat="1" x14ac:dyDescent="0.2">
      <c r="G455" s="1203"/>
      <c r="H455" s="1204"/>
      <c r="I455" s="1243"/>
      <c r="J455" s="1243"/>
      <c r="K455" s="1204"/>
      <c r="L455" s="1216"/>
      <c r="M455" s="1203"/>
      <c r="N455" s="1211"/>
      <c r="O455" s="1211"/>
      <c r="P455" s="1211"/>
      <c r="Q455" s="1211"/>
      <c r="R455" s="1211"/>
      <c r="S455" s="1211"/>
      <c r="T455" s="1209"/>
    </row>
    <row r="456" spans="7:20" s="1191" customFormat="1" x14ac:dyDescent="0.2">
      <c r="G456" s="1203"/>
      <c r="H456" s="1204"/>
      <c r="I456" s="1243"/>
      <c r="J456" s="1243"/>
      <c r="K456" s="1204"/>
      <c r="L456" s="1216"/>
      <c r="M456" s="1203"/>
      <c r="N456" s="1211"/>
      <c r="O456" s="1211"/>
      <c r="P456" s="1211"/>
      <c r="Q456" s="1211"/>
      <c r="R456" s="1211"/>
      <c r="S456" s="1211"/>
      <c r="T456" s="1209"/>
    </row>
    <row r="457" spans="7:20" s="1191" customFormat="1" x14ac:dyDescent="0.2">
      <c r="G457" s="1203"/>
      <c r="H457" s="1204"/>
      <c r="I457" s="1243"/>
      <c r="J457" s="1243"/>
      <c r="K457" s="1204"/>
      <c r="L457" s="1216"/>
      <c r="M457" s="1203"/>
      <c r="N457" s="1211"/>
      <c r="O457" s="1211"/>
      <c r="P457" s="1211"/>
      <c r="Q457" s="1211"/>
      <c r="R457" s="1211"/>
      <c r="S457" s="1211"/>
      <c r="T457" s="1209"/>
    </row>
    <row r="458" spans="7:20" s="1191" customFormat="1" x14ac:dyDescent="0.2">
      <c r="G458" s="1203"/>
      <c r="H458" s="1204"/>
      <c r="I458" s="1243"/>
      <c r="J458" s="1243"/>
      <c r="K458" s="1204"/>
      <c r="L458" s="1216"/>
      <c r="M458" s="1203"/>
      <c r="N458" s="1211"/>
      <c r="O458" s="1211"/>
      <c r="P458" s="1211"/>
      <c r="Q458" s="1211"/>
      <c r="R458" s="1211"/>
      <c r="S458" s="1211"/>
      <c r="T458" s="1209"/>
    </row>
    <row r="459" spans="7:20" s="1191" customFormat="1" x14ac:dyDescent="0.2">
      <c r="G459" s="1203"/>
      <c r="H459" s="1204"/>
      <c r="I459" s="1243"/>
      <c r="J459" s="1243"/>
      <c r="K459" s="1192"/>
      <c r="L459" s="1216"/>
      <c r="M459" s="1203"/>
      <c r="N459" s="1211"/>
      <c r="O459" s="1211"/>
      <c r="P459" s="1211"/>
      <c r="Q459" s="1211"/>
      <c r="R459" s="1211"/>
      <c r="S459" s="1211"/>
      <c r="T459" s="1209"/>
    </row>
    <row r="460" spans="7:20" s="1191" customFormat="1" x14ac:dyDescent="0.2">
      <c r="G460" s="1203"/>
      <c r="H460" s="1204"/>
      <c r="I460" s="1243"/>
      <c r="J460" s="1243"/>
      <c r="K460" s="1204"/>
      <c r="L460" s="1192"/>
      <c r="M460" s="1397"/>
      <c r="N460" s="1211"/>
      <c r="O460" s="1211"/>
      <c r="P460" s="1211"/>
      <c r="Q460" s="1211"/>
      <c r="R460" s="1211"/>
      <c r="S460" s="1211"/>
      <c r="T460" s="1209"/>
    </row>
    <row r="461" spans="7:20" s="1191" customFormat="1" x14ac:dyDescent="0.2">
      <c r="G461" s="1203"/>
      <c r="H461" s="1204"/>
      <c r="I461" s="1243"/>
      <c r="J461" s="1243"/>
      <c r="K461" s="1192"/>
      <c r="L461" s="1216"/>
      <c r="M461" s="1203"/>
      <c r="N461" s="1211"/>
      <c r="O461" s="1211"/>
      <c r="P461" s="1211"/>
      <c r="Q461" s="1211"/>
      <c r="R461" s="1211"/>
      <c r="S461" s="1211"/>
      <c r="T461" s="1209"/>
    </row>
    <row r="462" spans="7:20" s="1191" customFormat="1" ht="18" x14ac:dyDescent="0.25">
      <c r="G462" s="1389" t="s">
        <v>85</v>
      </c>
      <c r="H462" s="1390"/>
      <c r="I462" s="1391"/>
      <c r="J462" s="1391"/>
      <c r="K462" s="1392"/>
      <c r="L462" s="1399"/>
      <c r="M462" s="1392"/>
      <c r="N462" s="1187"/>
      <c r="O462" s="1187"/>
      <c r="P462" s="1187"/>
      <c r="Q462" s="1187"/>
      <c r="R462" s="1187"/>
      <c r="S462" s="1187"/>
      <c r="T462" s="1202"/>
    </row>
    <row r="463" spans="7:20" s="1191" customFormat="1" x14ac:dyDescent="0.2">
      <c r="G463" s="1203"/>
      <c r="H463" s="1394"/>
      <c r="I463" s="1232"/>
      <c r="J463" s="1232"/>
      <c r="K463" s="1394"/>
      <c r="L463" s="1400"/>
      <c r="M463" s="1394"/>
      <c r="N463" s="1211"/>
      <c r="O463" s="1211"/>
      <c r="P463" s="1211"/>
      <c r="Q463" s="1211"/>
      <c r="R463" s="1211"/>
      <c r="S463" s="1211"/>
      <c r="T463" s="1209"/>
    </row>
    <row r="464" spans="7:20" s="1191" customFormat="1" x14ac:dyDescent="0.2">
      <c r="G464" s="1203"/>
      <c r="H464" s="1220"/>
      <c r="I464" s="1243"/>
      <c r="J464" s="1243"/>
      <c r="K464" s="1192"/>
      <c r="L464" s="1401"/>
      <c r="M464" s="1192"/>
      <c r="N464" s="1211"/>
      <c r="O464" s="1211"/>
      <c r="P464" s="1211"/>
      <c r="Q464" s="1211"/>
      <c r="R464" s="1211"/>
      <c r="S464" s="1211"/>
      <c r="T464" s="1209"/>
    </row>
    <row r="465" spans="7:20" s="1191" customFormat="1" x14ac:dyDescent="0.2">
      <c r="G465" s="1203"/>
      <c r="H465" s="1204"/>
      <c r="I465" s="1243"/>
      <c r="J465" s="1243"/>
      <c r="K465" s="1402"/>
      <c r="L465" s="1401"/>
      <c r="M465" s="1192"/>
      <c r="N465" s="1211"/>
      <c r="O465" s="1211"/>
      <c r="P465" s="1211"/>
      <c r="Q465" s="1211"/>
      <c r="R465" s="1211"/>
      <c r="S465" s="1211"/>
      <c r="T465" s="1209"/>
    </row>
    <row r="466" spans="7:20" s="1191" customFormat="1" x14ac:dyDescent="0.2">
      <c r="G466" s="1203"/>
      <c r="H466" s="1204"/>
      <c r="I466" s="1243"/>
      <c r="J466" s="1243"/>
      <c r="K466" s="1204"/>
      <c r="L466" s="1401"/>
      <c r="M466" s="1192"/>
      <c r="N466" s="1211"/>
      <c r="O466" s="1211"/>
      <c r="P466" s="1211"/>
      <c r="Q466" s="1211"/>
      <c r="R466" s="1211"/>
      <c r="S466" s="1211"/>
      <c r="T466" s="1209"/>
    </row>
    <row r="467" spans="7:20" s="1191" customFormat="1" x14ac:dyDescent="0.2">
      <c r="G467" s="1203"/>
      <c r="H467" s="1204"/>
      <c r="I467" s="1243"/>
      <c r="J467" s="1243"/>
      <c r="K467" s="1204"/>
      <c r="L467" s="1401"/>
      <c r="M467" s="1192"/>
      <c r="N467" s="1211"/>
      <c r="O467" s="1211"/>
      <c r="P467" s="1211"/>
      <c r="Q467" s="1211"/>
      <c r="R467" s="1211"/>
      <c r="S467" s="1211"/>
      <c r="T467" s="1209"/>
    </row>
    <row r="468" spans="7:20" s="1191" customFormat="1" x14ac:dyDescent="0.2">
      <c r="G468" s="1203"/>
      <c r="H468" s="1204"/>
      <c r="I468" s="1243"/>
      <c r="J468" s="1243"/>
      <c r="K468" s="1204"/>
      <c r="L468" s="1401"/>
      <c r="M468" s="1192"/>
      <c r="N468" s="1211"/>
      <c r="O468" s="1211"/>
      <c r="P468" s="1211"/>
      <c r="Q468" s="1211"/>
      <c r="R468" s="1211"/>
      <c r="S468" s="1211"/>
      <c r="T468" s="1209"/>
    </row>
    <row r="469" spans="7:20" s="1191" customFormat="1" x14ac:dyDescent="0.2">
      <c r="G469" s="1203"/>
      <c r="H469" s="1204"/>
      <c r="I469" s="1243"/>
      <c r="J469" s="1243"/>
      <c r="K469" s="1204"/>
      <c r="L469" s="1401"/>
      <c r="M469" s="1192"/>
      <c r="N469" s="1211"/>
      <c r="O469" s="1211"/>
      <c r="P469" s="1211"/>
      <c r="Q469" s="1211"/>
      <c r="R469" s="1211"/>
      <c r="S469" s="1211"/>
      <c r="T469" s="1209"/>
    </row>
    <row r="470" spans="7:20" s="1191" customFormat="1" x14ac:dyDescent="0.2">
      <c r="G470" s="1203"/>
      <c r="H470" s="1204"/>
      <c r="I470" s="1243"/>
      <c r="J470" s="1243"/>
      <c r="K470" s="1204"/>
      <c r="L470" s="1401"/>
      <c r="M470" s="1192"/>
      <c r="N470" s="1211"/>
      <c r="O470" s="1211"/>
      <c r="P470" s="1211"/>
      <c r="Q470" s="1211"/>
      <c r="R470" s="1211"/>
      <c r="S470" s="1211"/>
      <c r="T470" s="1209"/>
    </row>
    <row r="471" spans="7:20" s="1191" customFormat="1" x14ac:dyDescent="0.2">
      <c r="G471" s="1203"/>
      <c r="H471" s="1204"/>
      <c r="I471" s="1243"/>
      <c r="J471" s="1243"/>
      <c r="K471" s="1192"/>
      <c r="L471" s="1401"/>
      <c r="M471" s="1192"/>
      <c r="N471" s="1211"/>
      <c r="O471" s="1211"/>
      <c r="P471" s="1211"/>
      <c r="Q471" s="1211"/>
      <c r="R471" s="1211"/>
      <c r="S471" s="1211"/>
      <c r="T471" s="1209"/>
    </row>
    <row r="472" spans="7:20" s="1191" customFormat="1" x14ac:dyDescent="0.2">
      <c r="G472" s="1203"/>
      <c r="H472" s="1220"/>
      <c r="I472" s="1243"/>
      <c r="J472" s="1243"/>
      <c r="K472" s="1192"/>
      <c r="L472" s="1401"/>
      <c r="M472" s="1192"/>
      <c r="N472" s="1211"/>
      <c r="O472" s="1211"/>
      <c r="P472" s="1211"/>
      <c r="Q472" s="1211"/>
      <c r="R472" s="1211"/>
      <c r="S472" s="1211"/>
      <c r="T472" s="1209"/>
    </row>
    <row r="473" spans="7:20" s="1191" customFormat="1" x14ac:dyDescent="0.2">
      <c r="G473" s="1203"/>
      <c r="H473" s="1204"/>
      <c r="I473" s="1243"/>
      <c r="J473" s="1243"/>
      <c r="K473" s="1204"/>
      <c r="L473" s="1401"/>
      <c r="M473" s="1192"/>
      <c r="N473" s="1211"/>
      <c r="O473" s="1211"/>
      <c r="P473" s="1211"/>
      <c r="Q473" s="1211"/>
      <c r="R473" s="1211"/>
      <c r="S473" s="1211"/>
      <c r="T473" s="1209"/>
    </row>
    <row r="474" spans="7:20" s="1191" customFormat="1" x14ac:dyDescent="0.2">
      <c r="G474" s="1203"/>
      <c r="H474" s="1204"/>
      <c r="I474" s="1243"/>
      <c r="J474" s="1243"/>
      <c r="K474" s="1204"/>
      <c r="L474" s="1401"/>
      <c r="M474" s="1192"/>
      <c r="N474" s="1211"/>
      <c r="O474" s="1211"/>
      <c r="P474" s="1211"/>
      <c r="Q474" s="1211"/>
      <c r="R474" s="1211"/>
      <c r="S474" s="1211"/>
      <c r="T474" s="1209"/>
    </row>
    <row r="475" spans="7:20" s="1191" customFormat="1" x14ac:dyDescent="0.2">
      <c r="G475" s="1203"/>
      <c r="H475" s="1204"/>
      <c r="I475" s="1243"/>
      <c r="J475" s="1235"/>
      <c r="K475" s="1204"/>
      <c r="L475" s="1401"/>
      <c r="M475" s="1192"/>
      <c r="N475" s="1211"/>
      <c r="O475" s="1211"/>
      <c r="P475" s="1211"/>
      <c r="Q475" s="1211"/>
      <c r="R475" s="1211"/>
      <c r="S475" s="1211"/>
      <c r="T475" s="1209"/>
    </row>
    <row r="476" spans="7:20" s="1191" customFormat="1" x14ac:dyDescent="0.2">
      <c r="G476" s="1203"/>
      <c r="H476" s="1204"/>
      <c r="I476" s="1243"/>
      <c r="J476" s="1235"/>
      <c r="K476" s="1204"/>
      <c r="L476" s="1401"/>
      <c r="M476" s="1192"/>
      <c r="N476" s="1211"/>
      <c r="O476" s="1211"/>
      <c r="P476" s="1211"/>
      <c r="Q476" s="1211"/>
      <c r="R476" s="1211"/>
      <c r="S476" s="1211"/>
      <c r="T476" s="1209"/>
    </row>
    <row r="477" spans="7:20" s="1191" customFormat="1" x14ac:dyDescent="0.2">
      <c r="G477" s="1203"/>
      <c r="H477" s="1204"/>
      <c r="I477" s="1243"/>
      <c r="J477" s="1243"/>
      <c r="K477" s="1192"/>
      <c r="L477" s="1401"/>
      <c r="M477" s="1192"/>
      <c r="N477" s="1211"/>
      <c r="O477" s="1211"/>
      <c r="P477" s="1211"/>
      <c r="Q477" s="1211"/>
      <c r="R477" s="1211"/>
      <c r="S477" s="1211"/>
      <c r="T477" s="1209"/>
    </row>
    <row r="478" spans="7:20" s="1191" customFormat="1" x14ac:dyDescent="0.2">
      <c r="G478" s="1203"/>
      <c r="H478" s="1204"/>
      <c r="I478" s="1243"/>
      <c r="J478" s="1243"/>
      <c r="K478" s="1192"/>
      <c r="L478" s="1401"/>
      <c r="M478" s="1192"/>
      <c r="N478" s="1211"/>
      <c r="O478" s="1211"/>
      <c r="P478" s="1211"/>
      <c r="Q478" s="1211"/>
      <c r="R478" s="1211"/>
      <c r="S478" s="1211"/>
      <c r="T478" s="1209"/>
    </row>
    <row r="479" spans="7:20" s="1191" customFormat="1" x14ac:dyDescent="0.2">
      <c r="G479" s="1203"/>
      <c r="H479" s="1204"/>
      <c r="I479" s="1243"/>
      <c r="J479" s="1243"/>
      <c r="K479" s="1192"/>
      <c r="L479" s="1401"/>
      <c r="M479" s="1192"/>
      <c r="N479" s="1211"/>
      <c r="O479" s="1211"/>
      <c r="P479" s="1211"/>
      <c r="Q479" s="1211"/>
      <c r="R479" s="1211"/>
      <c r="S479" s="1211"/>
      <c r="T479" s="1209"/>
    </row>
    <row r="480" spans="7:20" s="1191" customFormat="1" ht="18" x14ac:dyDescent="0.25">
      <c r="G480" s="1389" t="s">
        <v>128</v>
      </c>
      <c r="H480" s="1390"/>
      <c r="I480" s="1391"/>
      <c r="J480" s="1391"/>
      <c r="K480" s="1392"/>
      <c r="L480" s="1399"/>
      <c r="M480" s="1392"/>
      <c r="N480" s="1187"/>
      <c r="O480" s="1187"/>
      <c r="P480" s="1187"/>
      <c r="Q480" s="1187"/>
      <c r="R480" s="1187"/>
      <c r="S480" s="1187"/>
      <c r="T480" s="1202"/>
    </row>
    <row r="481" spans="7:20" s="1191" customFormat="1" x14ac:dyDescent="0.2">
      <c r="G481" s="1203"/>
      <c r="H481" s="1394"/>
      <c r="I481" s="1232"/>
      <c r="J481" s="1232"/>
      <c r="K481" s="1394"/>
      <c r="L481" s="1400"/>
      <c r="M481" s="1394"/>
      <c r="N481" s="1211"/>
      <c r="O481" s="1211"/>
      <c r="P481" s="1211"/>
      <c r="Q481" s="1211"/>
      <c r="R481" s="1211"/>
      <c r="S481" s="1211"/>
      <c r="T481" s="1209"/>
    </row>
    <row r="482" spans="7:20" s="1191" customFormat="1" x14ac:dyDescent="0.2">
      <c r="G482" s="1203"/>
      <c r="H482" s="1204"/>
      <c r="I482" s="1243"/>
      <c r="J482" s="1243"/>
      <c r="K482" s="1204"/>
      <c r="L482" s="1401"/>
      <c r="M482" s="1192"/>
      <c r="N482" s="1211"/>
      <c r="O482" s="1211"/>
      <c r="P482" s="1211"/>
      <c r="Q482" s="1211"/>
      <c r="R482" s="1211"/>
      <c r="S482" s="1211"/>
      <c r="T482" s="1209"/>
    </row>
    <row r="483" spans="7:20" s="1191" customFormat="1" x14ac:dyDescent="0.2">
      <c r="G483" s="1203"/>
      <c r="H483" s="1204"/>
      <c r="I483" s="1243"/>
      <c r="J483" s="1243"/>
      <c r="K483" s="1204"/>
      <c r="L483" s="1401"/>
      <c r="M483" s="1192"/>
      <c r="N483" s="1211"/>
      <c r="O483" s="1211"/>
      <c r="P483" s="1211"/>
      <c r="Q483" s="1211"/>
      <c r="R483" s="1211"/>
      <c r="S483" s="1211"/>
      <c r="T483" s="1209"/>
    </row>
    <row r="484" spans="7:20" s="1191" customFormat="1" x14ac:dyDescent="0.2">
      <c r="G484" s="1203"/>
      <c r="H484" s="1204"/>
      <c r="I484" s="1243"/>
      <c r="J484" s="1243"/>
      <c r="K484" s="1403"/>
      <c r="L484" s="1401"/>
      <c r="M484" s="1204"/>
      <c r="N484" s="1211"/>
      <c r="O484" s="1211"/>
      <c r="P484" s="1211"/>
      <c r="Q484" s="1211"/>
      <c r="R484" s="1211"/>
      <c r="S484" s="1211"/>
      <c r="T484" s="1209"/>
    </row>
    <row r="485" spans="7:20" s="1191" customFormat="1" x14ac:dyDescent="0.2">
      <c r="G485" s="1203"/>
      <c r="H485" s="1204"/>
      <c r="I485" s="1243"/>
      <c r="J485" s="1243"/>
      <c r="K485" s="1204"/>
      <c r="L485" s="1401"/>
      <c r="M485" s="1192"/>
      <c r="N485" s="1211"/>
      <c r="O485" s="1211"/>
      <c r="P485" s="1211"/>
      <c r="Q485" s="1211"/>
      <c r="R485" s="1211"/>
      <c r="S485" s="1211"/>
      <c r="T485" s="1209"/>
    </row>
    <row r="486" spans="7:20" s="1191" customFormat="1" x14ac:dyDescent="0.2">
      <c r="G486" s="1203"/>
      <c r="H486" s="1220"/>
      <c r="I486" s="1243"/>
      <c r="J486" s="1243"/>
      <c r="K486" s="1204"/>
      <c r="L486" s="1401"/>
      <c r="M486" s="1192"/>
      <c r="N486" s="1211"/>
      <c r="O486" s="1211"/>
      <c r="P486" s="1211"/>
      <c r="Q486" s="1211"/>
      <c r="R486" s="1211"/>
      <c r="S486" s="1211"/>
      <c r="T486" s="1209"/>
    </row>
    <row r="487" spans="7:20" s="1191" customFormat="1" x14ac:dyDescent="0.2">
      <c r="G487" s="1203"/>
      <c r="H487" s="1204"/>
      <c r="I487" s="1243"/>
      <c r="J487" s="1243"/>
      <c r="K487" s="1204"/>
      <c r="L487" s="1401"/>
      <c r="M487" s="1192"/>
      <c r="N487" s="1211"/>
      <c r="O487" s="1211"/>
      <c r="P487" s="1211"/>
      <c r="Q487" s="1211"/>
      <c r="R487" s="1211"/>
      <c r="S487" s="1211"/>
      <c r="T487" s="1209"/>
    </row>
    <row r="488" spans="7:20" s="1191" customFormat="1" x14ac:dyDescent="0.2">
      <c r="G488" s="1203"/>
      <c r="H488" s="1204"/>
      <c r="I488" s="1243"/>
      <c r="J488" s="1243"/>
      <c r="K488" s="1204"/>
      <c r="L488" s="1401"/>
      <c r="M488" s="1192"/>
      <c r="N488" s="1211"/>
      <c r="O488" s="1211"/>
      <c r="P488" s="1211"/>
      <c r="Q488" s="1211"/>
      <c r="R488" s="1211"/>
      <c r="S488" s="1211"/>
      <c r="T488" s="1209"/>
    </row>
    <row r="489" spans="7:20" s="1191" customFormat="1" x14ac:dyDescent="0.2">
      <c r="G489" s="1203"/>
      <c r="H489" s="1204"/>
      <c r="I489" s="1243"/>
      <c r="J489" s="1243"/>
      <c r="K489" s="1204"/>
      <c r="L489" s="1401"/>
      <c r="M489" s="1192"/>
      <c r="N489" s="1211"/>
      <c r="O489" s="1211"/>
      <c r="P489" s="1211"/>
      <c r="Q489" s="1211"/>
      <c r="R489" s="1211"/>
      <c r="S489" s="1211"/>
      <c r="T489" s="1209"/>
    </row>
    <row r="490" spans="7:20" s="1191" customFormat="1" x14ac:dyDescent="0.2">
      <c r="G490" s="1203"/>
      <c r="H490" s="1204"/>
      <c r="I490" s="1243"/>
      <c r="J490" s="1243"/>
      <c r="K490" s="1204"/>
      <c r="L490" s="1401"/>
      <c r="M490" s="1192"/>
      <c r="N490" s="1211"/>
      <c r="O490" s="1211"/>
      <c r="P490" s="1211"/>
      <c r="Q490" s="1211"/>
      <c r="R490" s="1211"/>
      <c r="S490" s="1211"/>
      <c r="T490" s="1209"/>
    </row>
    <row r="491" spans="7:20" s="1191" customFormat="1" x14ac:dyDescent="0.2">
      <c r="G491" s="1203"/>
      <c r="H491" s="1204"/>
      <c r="I491" s="1243"/>
      <c r="J491" s="1243"/>
      <c r="K491" s="1204"/>
      <c r="L491" s="1401"/>
      <c r="M491" s="1192"/>
      <c r="N491" s="1211"/>
      <c r="O491" s="1211"/>
      <c r="P491" s="1211"/>
      <c r="Q491" s="1211"/>
      <c r="R491" s="1211"/>
      <c r="S491" s="1211"/>
      <c r="T491" s="1209"/>
    </row>
    <row r="492" spans="7:20" s="1191" customFormat="1" x14ac:dyDescent="0.2">
      <c r="G492" s="1203"/>
      <c r="H492" s="1204"/>
      <c r="I492" s="1243"/>
      <c r="J492" s="1243"/>
      <c r="K492" s="1204"/>
      <c r="L492" s="1404"/>
      <c r="M492" s="1192"/>
      <c r="N492" s="1211"/>
      <c r="O492" s="1211"/>
      <c r="P492" s="1211"/>
      <c r="Q492" s="1211"/>
      <c r="R492" s="1211"/>
      <c r="S492" s="1211"/>
      <c r="T492" s="1209"/>
    </row>
    <row r="493" spans="7:20" s="1191" customFormat="1" x14ac:dyDescent="0.2">
      <c r="G493" s="1203"/>
      <c r="H493" s="1368"/>
      <c r="I493" s="1243"/>
      <c r="J493" s="1243"/>
      <c r="K493" s="1204"/>
      <c r="L493" s="1401"/>
      <c r="M493" s="1204"/>
      <c r="N493" s="1211"/>
      <c r="O493" s="1211"/>
      <c r="P493" s="1211"/>
      <c r="Q493" s="1211"/>
      <c r="R493" s="1211"/>
      <c r="S493" s="1211"/>
      <c r="T493" s="1209"/>
    </row>
    <row r="494" spans="7:20" s="1191" customFormat="1" x14ac:dyDescent="0.2">
      <c r="G494" s="1203"/>
      <c r="H494" s="1204"/>
      <c r="I494" s="1243"/>
      <c r="J494" s="1243"/>
      <c r="K494" s="1204"/>
      <c r="L494" s="1401"/>
      <c r="M494" s="1192"/>
      <c r="N494" s="1211"/>
      <c r="O494" s="1211"/>
      <c r="P494" s="1211"/>
      <c r="Q494" s="1211"/>
      <c r="R494" s="1211"/>
      <c r="S494" s="1211"/>
      <c r="T494" s="1209"/>
    </row>
    <row r="495" spans="7:20" s="1191" customFormat="1" x14ac:dyDescent="0.2">
      <c r="G495" s="1203"/>
      <c r="H495" s="1204"/>
      <c r="I495" s="1243"/>
      <c r="J495" s="1243"/>
      <c r="K495" s="1368"/>
      <c r="L495" s="1401"/>
      <c r="M495" s="1192"/>
      <c r="N495" s="1211"/>
      <c r="O495" s="1211"/>
      <c r="P495" s="1211"/>
      <c r="Q495" s="1211"/>
      <c r="R495" s="1211"/>
      <c r="S495" s="1211"/>
      <c r="T495" s="1209"/>
    </row>
    <row r="496" spans="7:20" s="1191" customFormat="1" x14ac:dyDescent="0.2">
      <c r="G496" s="1203"/>
      <c r="H496" s="1368"/>
      <c r="I496" s="1189"/>
      <c r="J496" s="1243"/>
      <c r="K496" s="1204"/>
      <c r="L496" s="1401"/>
      <c r="M496" s="1192"/>
      <c r="N496" s="1211"/>
      <c r="O496" s="1211"/>
      <c r="P496" s="1211"/>
      <c r="Q496" s="1211"/>
      <c r="R496" s="1211"/>
      <c r="S496" s="1211"/>
      <c r="T496" s="1209"/>
    </row>
    <row r="497" spans="7:20" s="1191" customFormat="1" x14ac:dyDescent="0.2">
      <c r="G497" s="1203"/>
      <c r="H497" s="1368"/>
      <c r="I497" s="1189"/>
      <c r="J497" s="1107"/>
      <c r="K497" s="1107"/>
      <c r="L497" s="1401"/>
      <c r="M497" s="1192"/>
      <c r="N497" s="1211"/>
      <c r="O497" s="1211"/>
      <c r="P497" s="1211"/>
      <c r="Q497" s="1211"/>
      <c r="R497" s="1211"/>
      <c r="S497" s="1211"/>
      <c r="T497" s="1209"/>
    </row>
    <row r="498" spans="7:20" s="1191" customFormat="1" x14ac:dyDescent="0.2">
      <c r="G498" s="1203"/>
      <c r="H498" s="1192"/>
      <c r="I498" s="1243"/>
      <c r="J498" s="1243"/>
      <c r="K498" s="1192"/>
      <c r="L498" s="1401"/>
      <c r="M498" s="1192"/>
      <c r="N498" s="1211"/>
      <c r="O498" s="1211"/>
      <c r="P498" s="1211"/>
      <c r="Q498" s="1211"/>
      <c r="R498" s="1211"/>
      <c r="S498" s="1211"/>
      <c r="T498" s="1209"/>
    </row>
    <row r="499" spans="7:20" s="1191" customFormat="1" ht="18" x14ac:dyDescent="0.25">
      <c r="G499" s="1389" t="s">
        <v>176</v>
      </c>
      <c r="H499" s="1390"/>
      <c r="I499" s="1391"/>
      <c r="J499" s="1391"/>
      <c r="K499" s="1392"/>
      <c r="L499" s="1399"/>
      <c r="M499" s="1392"/>
      <c r="N499" s="1187"/>
      <c r="O499" s="1187"/>
      <c r="P499" s="1187"/>
      <c r="Q499" s="1187"/>
      <c r="R499" s="1187"/>
      <c r="S499" s="1187"/>
      <c r="T499" s="1202"/>
    </row>
    <row r="500" spans="7:20" s="1191" customFormat="1" x14ac:dyDescent="0.2">
      <c r="G500" s="1203"/>
      <c r="H500" s="1394"/>
      <c r="I500" s="1232"/>
      <c r="J500" s="1232"/>
      <c r="K500" s="1394"/>
      <c r="L500" s="1400"/>
      <c r="M500" s="1394"/>
      <c r="N500" s="1211"/>
      <c r="O500" s="1211"/>
      <c r="P500" s="1211"/>
      <c r="Q500" s="1211"/>
      <c r="R500" s="1211"/>
      <c r="S500" s="1211"/>
      <c r="T500" s="1209"/>
    </row>
    <row r="501" spans="7:20" s="1191" customFormat="1" x14ac:dyDescent="0.2">
      <c r="G501" s="1203"/>
      <c r="H501" s="1204"/>
      <c r="I501" s="1243"/>
      <c r="J501" s="1243"/>
      <c r="K501" s="1192"/>
      <c r="L501" s="1401"/>
      <c r="M501" s="1204"/>
      <c r="N501" s="1211"/>
      <c r="O501" s="1211"/>
      <c r="P501" s="1211"/>
      <c r="Q501" s="1211"/>
      <c r="R501" s="1211"/>
      <c r="S501" s="1211"/>
      <c r="T501" s="1209"/>
    </row>
    <row r="502" spans="7:20" s="1191" customFormat="1" x14ac:dyDescent="0.2">
      <c r="G502" s="1203"/>
      <c r="H502" s="1204"/>
      <c r="I502" s="1243"/>
      <c r="J502" s="1243"/>
      <c r="K502" s="1204"/>
      <c r="L502" s="1401"/>
      <c r="M502" s="1192"/>
      <c r="N502" s="1211"/>
      <c r="O502" s="1211"/>
      <c r="P502" s="1211"/>
      <c r="Q502" s="1211"/>
      <c r="R502" s="1211"/>
      <c r="S502" s="1211"/>
      <c r="T502" s="1209"/>
    </row>
    <row r="503" spans="7:20" s="1191" customFormat="1" x14ac:dyDescent="0.2">
      <c r="G503" s="1203"/>
      <c r="H503" s="1204"/>
      <c r="I503" s="1243"/>
      <c r="J503" s="1243"/>
      <c r="K503" s="1192"/>
      <c r="L503" s="1401"/>
      <c r="M503" s="1192"/>
      <c r="N503" s="1211"/>
      <c r="O503" s="1211"/>
      <c r="P503" s="1211"/>
      <c r="Q503" s="1211"/>
      <c r="R503" s="1211"/>
      <c r="S503" s="1211"/>
      <c r="T503" s="1209"/>
    </row>
    <row r="504" spans="7:20" s="1191" customFormat="1" x14ac:dyDescent="0.2">
      <c r="G504" s="1203"/>
      <c r="H504" s="1204"/>
      <c r="I504" s="1189"/>
      <c r="J504" s="1243"/>
      <c r="K504" s="1192"/>
      <c r="L504" s="1401"/>
      <c r="M504" s="1192"/>
      <c r="N504" s="1211"/>
      <c r="O504" s="1211"/>
      <c r="P504" s="1211"/>
      <c r="Q504" s="1211"/>
      <c r="R504" s="1211"/>
      <c r="S504" s="1211"/>
      <c r="T504" s="1209"/>
    </row>
    <row r="505" spans="7:20" s="1191" customFormat="1" x14ac:dyDescent="0.2">
      <c r="G505" s="1203"/>
      <c r="H505" s="1204"/>
      <c r="I505" s="1243"/>
      <c r="J505" s="1243"/>
      <c r="K505" s="1192"/>
      <c r="L505" s="1401"/>
      <c r="M505" s="1192"/>
      <c r="N505" s="1211"/>
      <c r="O505" s="1211"/>
      <c r="P505" s="1211"/>
      <c r="Q505" s="1211"/>
      <c r="R505" s="1211"/>
      <c r="S505" s="1211"/>
      <c r="T505" s="1209"/>
    </row>
    <row r="506" spans="7:20" s="1191" customFormat="1" x14ac:dyDescent="0.2">
      <c r="G506" s="1203"/>
      <c r="H506" s="1204"/>
      <c r="I506" s="1243"/>
      <c r="J506" s="1243"/>
      <c r="K506" s="1192"/>
      <c r="L506" s="1401"/>
      <c r="M506" s="1192"/>
      <c r="N506" s="1211"/>
      <c r="O506" s="1211"/>
      <c r="P506" s="1211"/>
      <c r="Q506" s="1211"/>
      <c r="R506" s="1211"/>
      <c r="S506" s="1211"/>
      <c r="T506" s="1209"/>
    </row>
    <row r="507" spans="7:20" s="1191" customFormat="1" x14ac:dyDescent="0.2">
      <c r="G507" s="1203"/>
      <c r="H507" s="1204"/>
      <c r="I507" s="1243"/>
      <c r="J507" s="1243"/>
      <c r="K507" s="1192"/>
      <c r="L507" s="1401"/>
      <c r="M507" s="1192"/>
      <c r="N507" s="1211"/>
      <c r="O507" s="1211"/>
      <c r="P507" s="1211"/>
      <c r="Q507" s="1211"/>
      <c r="R507" s="1211"/>
      <c r="S507" s="1211"/>
      <c r="T507" s="1209"/>
    </row>
    <row r="508" spans="7:20" s="1191" customFormat="1" x14ac:dyDescent="0.2">
      <c r="G508" s="1203"/>
      <c r="H508" s="1204"/>
      <c r="I508" s="1243"/>
      <c r="J508" s="1243"/>
      <c r="K508" s="1192"/>
      <c r="L508" s="1401"/>
      <c r="M508" s="1192"/>
      <c r="N508" s="1211"/>
      <c r="O508" s="1211"/>
      <c r="P508" s="1211"/>
      <c r="Q508" s="1211"/>
      <c r="R508" s="1211"/>
      <c r="S508" s="1211"/>
      <c r="T508" s="1209"/>
    </row>
    <row r="509" spans="7:20" s="1191" customFormat="1" x14ac:dyDescent="0.2">
      <c r="G509" s="1203"/>
      <c r="H509" s="1204"/>
      <c r="I509" s="1243"/>
      <c r="J509" s="1243"/>
      <c r="K509" s="1192"/>
      <c r="L509" s="1401"/>
      <c r="M509" s="1192"/>
      <c r="N509" s="1211"/>
      <c r="O509" s="1211"/>
      <c r="P509" s="1211"/>
      <c r="Q509" s="1211"/>
      <c r="R509" s="1211"/>
      <c r="S509" s="1211"/>
      <c r="T509" s="1209"/>
    </row>
    <row r="510" spans="7:20" s="1191" customFormat="1" x14ac:dyDescent="0.2">
      <c r="G510" s="1203"/>
      <c r="H510" s="1204"/>
      <c r="I510" s="1243"/>
      <c r="J510" s="1243"/>
      <c r="K510" s="1192"/>
      <c r="L510" s="1401"/>
      <c r="M510" s="1192"/>
      <c r="N510" s="1211"/>
      <c r="O510" s="1211"/>
      <c r="P510" s="1211"/>
      <c r="Q510" s="1211"/>
      <c r="R510" s="1211"/>
      <c r="S510" s="1211"/>
      <c r="T510" s="1209"/>
    </row>
    <row r="511" spans="7:20" s="1191" customFormat="1" x14ac:dyDescent="0.2">
      <c r="G511" s="1203"/>
      <c r="H511" s="1204"/>
      <c r="I511" s="1243"/>
      <c r="J511" s="1243"/>
      <c r="K511" s="1192"/>
      <c r="L511" s="1401"/>
      <c r="M511" s="1192"/>
      <c r="N511" s="1211"/>
      <c r="O511" s="1211"/>
      <c r="P511" s="1211"/>
      <c r="Q511" s="1211"/>
      <c r="R511" s="1211"/>
      <c r="S511" s="1211"/>
      <c r="T511" s="1209"/>
    </row>
    <row r="512" spans="7:20" s="1191" customFormat="1" x14ac:dyDescent="0.2">
      <c r="G512" s="1203"/>
      <c r="H512" s="1204"/>
      <c r="I512" s="1243"/>
      <c r="J512" s="1243"/>
      <c r="K512" s="1192"/>
      <c r="L512" s="1401"/>
      <c r="M512" s="1192"/>
      <c r="N512" s="1211"/>
      <c r="O512" s="1211"/>
      <c r="P512" s="1211"/>
      <c r="Q512" s="1211"/>
      <c r="R512" s="1211"/>
      <c r="S512" s="1211"/>
      <c r="T512" s="1209"/>
    </row>
    <row r="513" spans="7:20" s="1191" customFormat="1" x14ac:dyDescent="0.2">
      <c r="G513" s="1203"/>
      <c r="H513" s="1204"/>
      <c r="I513" s="1243"/>
      <c r="J513" s="1243"/>
      <c r="K513" s="1192"/>
      <c r="L513" s="1401"/>
      <c r="M513" s="1192"/>
      <c r="N513" s="1211"/>
      <c r="O513" s="1211"/>
      <c r="P513" s="1211"/>
      <c r="Q513" s="1211"/>
      <c r="R513" s="1211"/>
      <c r="S513" s="1211"/>
      <c r="T513" s="1209"/>
    </row>
    <row r="514" spans="7:20" s="1191" customFormat="1" x14ac:dyDescent="0.2">
      <c r="G514" s="1203"/>
      <c r="H514" s="1204"/>
      <c r="I514" s="1243"/>
      <c r="J514" s="1243"/>
      <c r="K514" s="1192"/>
      <c r="L514" s="1401"/>
      <c r="M514" s="1192"/>
      <c r="N514" s="1211"/>
      <c r="O514" s="1211"/>
      <c r="P514" s="1211"/>
      <c r="Q514" s="1211"/>
      <c r="R514" s="1211"/>
      <c r="S514" s="1211"/>
      <c r="T514" s="1209"/>
    </row>
    <row r="515" spans="7:20" s="1191" customFormat="1" x14ac:dyDescent="0.2">
      <c r="G515" s="1203"/>
      <c r="H515" s="1204"/>
      <c r="I515" s="1243"/>
      <c r="J515" s="1243"/>
      <c r="K515" s="1204"/>
      <c r="L515" s="1401"/>
      <c r="M515" s="1192"/>
      <c r="N515" s="1211"/>
      <c r="O515" s="1211"/>
      <c r="P515" s="1211"/>
      <c r="Q515" s="1211"/>
      <c r="R515" s="1211"/>
      <c r="S515" s="1211"/>
      <c r="T515" s="1209"/>
    </row>
    <row r="516" spans="7:20" s="1191" customFormat="1" x14ac:dyDescent="0.2">
      <c r="G516" s="1203"/>
      <c r="H516" s="1204"/>
      <c r="I516" s="1243"/>
      <c r="J516" s="1243"/>
      <c r="K516" s="1204"/>
      <c r="L516" s="1401"/>
      <c r="M516" s="1204"/>
      <c r="N516" s="1211"/>
      <c r="O516" s="1211"/>
      <c r="P516" s="1211"/>
      <c r="Q516" s="1211"/>
      <c r="R516" s="1211"/>
      <c r="S516" s="1211"/>
      <c r="T516" s="1209"/>
    </row>
    <row r="517" spans="7:20" s="1191" customFormat="1" x14ac:dyDescent="0.2">
      <c r="G517" s="1203"/>
      <c r="H517" s="1204"/>
      <c r="I517" s="1243"/>
      <c r="J517" s="1243"/>
      <c r="K517" s="1204"/>
      <c r="L517" s="1401"/>
      <c r="M517" s="1204"/>
      <c r="N517" s="1211"/>
      <c r="O517" s="1211"/>
      <c r="P517" s="1211"/>
      <c r="Q517" s="1211"/>
      <c r="R517" s="1211"/>
      <c r="S517" s="1211"/>
      <c r="T517" s="1209"/>
    </row>
    <row r="518" spans="7:20" s="1191" customFormat="1" x14ac:dyDescent="0.2">
      <c r="G518" s="1203"/>
      <c r="H518" s="1204"/>
      <c r="I518" s="1243"/>
      <c r="J518" s="1243"/>
      <c r="K518" s="1204"/>
      <c r="L518" s="1401"/>
      <c r="M518" s="1204"/>
      <c r="N518" s="1211"/>
      <c r="O518" s="1211"/>
      <c r="P518" s="1211"/>
      <c r="Q518" s="1211"/>
      <c r="R518" s="1211"/>
      <c r="S518" s="1211"/>
      <c r="T518" s="1209"/>
    </row>
    <row r="519" spans="7:20" s="1191" customFormat="1" x14ac:dyDescent="0.2">
      <c r="G519" s="1203"/>
      <c r="H519" s="1204"/>
      <c r="I519" s="1243"/>
      <c r="J519" s="1243"/>
      <c r="K519" s="1204"/>
      <c r="L519" s="1401"/>
      <c r="M519" s="1192"/>
      <c r="N519" s="1211"/>
      <c r="O519" s="1211"/>
      <c r="P519" s="1211"/>
      <c r="Q519" s="1211"/>
      <c r="R519" s="1211"/>
      <c r="S519" s="1211"/>
      <c r="T519" s="1209"/>
    </row>
    <row r="520" spans="7:20" s="1191" customFormat="1" x14ac:dyDescent="0.2">
      <c r="G520" s="1203"/>
      <c r="H520" s="1204"/>
      <c r="I520" s="1243"/>
      <c r="J520" s="1243"/>
      <c r="K520" s="1192"/>
      <c r="L520" s="1401"/>
      <c r="M520" s="1192"/>
      <c r="N520" s="1211"/>
      <c r="O520" s="1211"/>
      <c r="P520" s="1211"/>
      <c r="Q520" s="1211"/>
      <c r="R520" s="1211"/>
      <c r="S520" s="1211"/>
      <c r="T520" s="1209"/>
    </row>
    <row r="521" spans="7:20" s="1191" customFormat="1" x14ac:dyDescent="0.2">
      <c r="G521" s="1203"/>
      <c r="H521" s="1204"/>
      <c r="I521" s="1243"/>
      <c r="J521" s="1243"/>
      <c r="K521" s="1192"/>
      <c r="L521" s="1401"/>
      <c r="M521" s="1192"/>
      <c r="N521" s="1211"/>
      <c r="O521" s="1211"/>
      <c r="P521" s="1211"/>
      <c r="Q521" s="1211"/>
      <c r="R521" s="1211"/>
      <c r="S521" s="1211"/>
      <c r="T521" s="1209"/>
    </row>
    <row r="522" spans="7:20" s="1191" customFormat="1" x14ac:dyDescent="0.2">
      <c r="G522" s="1203"/>
      <c r="H522" s="1204"/>
      <c r="I522" s="1243"/>
      <c r="J522" s="1243"/>
      <c r="K522" s="1192"/>
      <c r="L522" s="1401"/>
      <c r="M522" s="1192"/>
      <c r="N522" s="1211"/>
      <c r="O522" s="1211"/>
      <c r="P522" s="1211"/>
      <c r="Q522" s="1211"/>
      <c r="R522" s="1211"/>
      <c r="S522" s="1211"/>
      <c r="T522" s="1209"/>
    </row>
    <row r="523" spans="7:20" s="1191" customFormat="1" x14ac:dyDescent="0.2">
      <c r="G523" s="1203"/>
      <c r="H523" s="1204"/>
      <c r="I523" s="1243"/>
      <c r="J523" s="1243"/>
      <c r="K523" s="1192"/>
      <c r="L523" s="1401"/>
      <c r="M523" s="1192"/>
      <c r="N523" s="1211"/>
      <c r="O523" s="1211"/>
      <c r="P523" s="1211"/>
      <c r="Q523" s="1211"/>
      <c r="R523" s="1211"/>
      <c r="S523" s="1211"/>
      <c r="T523" s="1209"/>
    </row>
    <row r="524" spans="7:20" s="1191" customFormat="1" x14ac:dyDescent="0.2">
      <c r="G524" s="1203"/>
      <c r="H524" s="1204"/>
      <c r="I524" s="1243"/>
      <c r="J524" s="1243"/>
      <c r="K524" s="1192"/>
      <c r="L524" s="1401"/>
      <c r="M524" s="1192"/>
      <c r="N524" s="1211"/>
      <c r="O524" s="1211"/>
      <c r="P524" s="1211"/>
      <c r="Q524" s="1211"/>
      <c r="R524" s="1211"/>
      <c r="S524" s="1211"/>
      <c r="T524" s="1209"/>
    </row>
    <row r="525" spans="7:20" s="1191" customFormat="1" x14ac:dyDescent="0.2">
      <c r="G525" s="1203"/>
      <c r="H525" s="1204"/>
      <c r="I525" s="1243"/>
      <c r="J525" s="1243"/>
      <c r="K525" s="1192"/>
      <c r="L525" s="1401"/>
      <c r="M525" s="1192"/>
      <c r="N525" s="1211"/>
      <c r="O525" s="1211"/>
      <c r="P525" s="1211"/>
      <c r="Q525" s="1211"/>
      <c r="R525" s="1211"/>
      <c r="S525" s="1211"/>
      <c r="T525" s="1209"/>
    </row>
    <row r="526" spans="7:20" s="1191" customFormat="1" x14ac:dyDescent="0.2">
      <c r="G526" s="1203"/>
      <c r="H526" s="1204"/>
      <c r="I526" s="1243"/>
      <c r="J526" s="1243"/>
      <c r="K526" s="1192"/>
      <c r="L526" s="1401"/>
      <c r="M526" s="1192"/>
      <c r="N526" s="1211"/>
      <c r="O526" s="1211"/>
      <c r="P526" s="1211"/>
      <c r="Q526" s="1211"/>
      <c r="R526" s="1211"/>
      <c r="S526" s="1211"/>
      <c r="T526" s="1209"/>
    </row>
    <row r="527" spans="7:20" s="1191" customFormat="1" x14ac:dyDescent="0.2">
      <c r="G527" s="1203"/>
      <c r="H527" s="1204"/>
      <c r="I527" s="1243"/>
      <c r="J527" s="1243"/>
      <c r="K527" s="1192"/>
      <c r="L527" s="1401"/>
      <c r="M527" s="1192"/>
      <c r="N527" s="1211"/>
      <c r="O527" s="1211"/>
      <c r="P527" s="1211"/>
      <c r="Q527" s="1211"/>
      <c r="R527" s="1211"/>
      <c r="S527" s="1211"/>
      <c r="T527" s="1209"/>
    </row>
    <row r="528" spans="7:20" s="1191" customFormat="1" x14ac:dyDescent="0.2">
      <c r="G528" s="1203"/>
      <c r="H528" s="1192"/>
      <c r="I528" s="1243"/>
      <c r="J528" s="1243"/>
      <c r="K528" s="1192"/>
      <c r="L528" s="1401"/>
      <c r="M528" s="1192"/>
      <c r="N528" s="1211"/>
      <c r="O528" s="1211"/>
      <c r="P528" s="1211"/>
      <c r="Q528" s="1211"/>
      <c r="R528" s="1211"/>
      <c r="S528" s="1211"/>
      <c r="T528" s="1209"/>
    </row>
    <row r="529" spans="7:20" s="1191" customFormat="1" ht="18" x14ac:dyDescent="0.25">
      <c r="G529" s="1389" t="s">
        <v>189</v>
      </c>
      <c r="H529" s="1390"/>
      <c r="I529" s="1391"/>
      <c r="J529" s="1391"/>
      <c r="K529" s="1392"/>
      <c r="L529" s="1399"/>
      <c r="M529" s="1392"/>
      <c r="N529" s="1187"/>
      <c r="O529" s="1187"/>
      <c r="P529" s="1187"/>
      <c r="Q529" s="1187"/>
      <c r="R529" s="1187"/>
      <c r="S529" s="1187"/>
      <c r="T529" s="1202"/>
    </row>
    <row r="530" spans="7:20" s="1191" customFormat="1" x14ac:dyDescent="0.2">
      <c r="G530" s="1203"/>
      <c r="H530" s="1394"/>
      <c r="I530" s="1232"/>
      <c r="J530" s="1232"/>
      <c r="K530" s="1394"/>
      <c r="L530" s="1400"/>
      <c r="M530" s="1394"/>
      <c r="N530" s="1211"/>
      <c r="O530" s="1211"/>
      <c r="P530" s="1211"/>
      <c r="Q530" s="1211"/>
      <c r="R530" s="1211"/>
      <c r="S530" s="1211"/>
      <c r="T530" s="1209"/>
    </row>
    <row r="531" spans="7:20" s="1191" customFormat="1" x14ac:dyDescent="0.2">
      <c r="G531" s="1203"/>
      <c r="H531" s="1204"/>
      <c r="I531" s="1243"/>
      <c r="J531" s="1243"/>
      <c r="K531" s="1204"/>
      <c r="L531" s="1401"/>
      <c r="M531" s="1192"/>
      <c r="N531" s="1211"/>
      <c r="O531" s="1211"/>
      <c r="P531" s="1211"/>
      <c r="Q531" s="1211"/>
      <c r="R531" s="1211"/>
      <c r="S531" s="1211"/>
      <c r="T531" s="1209"/>
    </row>
    <row r="532" spans="7:20" s="1191" customFormat="1" x14ac:dyDescent="0.2">
      <c r="G532" s="1203"/>
      <c r="H532" s="1204"/>
      <c r="I532" s="1243"/>
      <c r="J532" s="1243"/>
      <c r="K532" s="1204"/>
      <c r="L532" s="1401"/>
      <c r="M532" s="1204"/>
      <c r="N532" s="1211"/>
      <c r="O532" s="1211"/>
      <c r="P532" s="1211"/>
      <c r="Q532" s="1211"/>
      <c r="R532" s="1211"/>
      <c r="S532" s="1211"/>
      <c r="T532" s="1209"/>
    </row>
    <row r="533" spans="7:20" s="1191" customFormat="1" x14ac:dyDescent="0.2">
      <c r="G533" s="1203"/>
      <c r="H533" s="1204"/>
      <c r="I533" s="1243"/>
      <c r="J533" s="1243"/>
      <c r="K533" s="1204"/>
      <c r="L533" s="1401"/>
      <c r="M533" s="1192"/>
      <c r="N533" s="1211"/>
      <c r="O533" s="1211"/>
      <c r="P533" s="1211"/>
      <c r="Q533" s="1211"/>
      <c r="R533" s="1211"/>
      <c r="S533" s="1211"/>
      <c r="T533" s="1209"/>
    </row>
    <row r="534" spans="7:20" s="1191" customFormat="1" x14ac:dyDescent="0.2">
      <c r="G534" s="1203"/>
      <c r="H534" s="1204"/>
      <c r="I534" s="1243"/>
      <c r="J534" s="1243"/>
      <c r="K534" s="1204"/>
      <c r="L534" s="1401"/>
      <c r="M534" s="1192"/>
      <c r="N534" s="1211"/>
      <c r="O534" s="1211"/>
      <c r="P534" s="1211"/>
      <c r="Q534" s="1211"/>
      <c r="R534" s="1211"/>
      <c r="S534" s="1211"/>
      <c r="T534" s="1209"/>
    </row>
    <row r="535" spans="7:20" s="1191" customFormat="1" x14ac:dyDescent="0.2">
      <c r="G535" s="1203"/>
      <c r="H535" s="1204"/>
      <c r="I535" s="1243"/>
      <c r="J535" s="1243"/>
      <c r="K535" s="1244"/>
      <c r="L535" s="1401"/>
      <c r="M535" s="1192"/>
      <c r="N535" s="1211"/>
      <c r="O535" s="1211"/>
      <c r="P535" s="1211"/>
      <c r="Q535" s="1211"/>
      <c r="R535" s="1211"/>
      <c r="S535" s="1211"/>
      <c r="T535" s="1209"/>
    </row>
    <row r="536" spans="7:20" s="1191" customFormat="1" x14ac:dyDescent="0.2">
      <c r="G536" s="1203"/>
      <c r="H536" s="1204"/>
      <c r="I536" s="1243"/>
      <c r="J536" s="1243"/>
      <c r="K536" s="1405"/>
      <c r="L536" s="1401"/>
      <c r="M536" s="1204"/>
      <c r="N536" s="1211"/>
      <c r="O536" s="1211"/>
      <c r="P536" s="1211"/>
      <c r="Q536" s="1211"/>
      <c r="R536" s="1211"/>
      <c r="S536" s="1211"/>
      <c r="T536" s="1209"/>
    </row>
    <row r="537" spans="7:20" s="1191" customFormat="1" x14ac:dyDescent="0.2">
      <c r="G537" s="1203"/>
      <c r="H537" s="1204"/>
      <c r="I537" s="1243"/>
      <c r="J537" s="1243"/>
      <c r="K537" s="1405"/>
      <c r="L537" s="1401"/>
      <c r="M537" s="1204"/>
      <c r="N537" s="1211"/>
      <c r="O537" s="1211"/>
      <c r="P537" s="1211"/>
      <c r="Q537" s="1211"/>
      <c r="R537" s="1211"/>
      <c r="S537" s="1211"/>
      <c r="T537" s="1209"/>
    </row>
    <row r="538" spans="7:20" s="1191" customFormat="1" x14ac:dyDescent="0.2">
      <c r="G538" s="1203"/>
      <c r="H538" s="1220"/>
      <c r="I538" s="1243"/>
      <c r="J538" s="1243"/>
      <c r="K538" s="1405"/>
      <c r="L538" s="1401"/>
      <c r="M538" s="1204"/>
      <c r="N538" s="1211"/>
      <c r="O538" s="1211"/>
      <c r="P538" s="1211"/>
      <c r="Q538" s="1211"/>
      <c r="R538" s="1211"/>
      <c r="S538" s="1211"/>
      <c r="T538" s="1209"/>
    </row>
    <row r="539" spans="7:20" s="1191" customFormat="1" x14ac:dyDescent="0.2">
      <c r="G539" s="1203"/>
      <c r="H539" s="1204"/>
      <c r="I539" s="1243"/>
      <c r="J539" s="1243"/>
      <c r="K539" s="1405"/>
      <c r="L539" s="1401"/>
      <c r="M539" s="1204"/>
      <c r="N539" s="1211"/>
      <c r="O539" s="1211"/>
      <c r="P539" s="1211"/>
      <c r="Q539" s="1211"/>
      <c r="R539" s="1211"/>
      <c r="S539" s="1211"/>
      <c r="T539" s="1209"/>
    </row>
    <row r="540" spans="7:20" s="1191" customFormat="1" x14ac:dyDescent="0.2">
      <c r="G540" s="1203"/>
      <c r="H540" s="1204"/>
      <c r="I540" s="1243"/>
      <c r="J540" s="1243"/>
      <c r="K540" s="1204"/>
      <c r="L540" s="1401"/>
      <c r="M540" s="1192"/>
      <c r="N540" s="1211"/>
      <c r="O540" s="1211"/>
      <c r="P540" s="1211"/>
      <c r="Q540" s="1211"/>
      <c r="R540" s="1211"/>
      <c r="S540" s="1211"/>
      <c r="T540" s="1209"/>
    </row>
    <row r="541" spans="7:20" s="1191" customFormat="1" x14ac:dyDescent="0.2">
      <c r="G541" s="1203"/>
      <c r="H541" s="1368"/>
      <c r="I541" s="1243"/>
      <c r="J541" s="1243"/>
      <c r="K541" s="1204"/>
      <c r="L541" s="1401"/>
      <c r="M541" s="1192"/>
      <c r="N541" s="1211"/>
      <c r="O541" s="1211"/>
      <c r="P541" s="1211"/>
      <c r="Q541" s="1211"/>
      <c r="R541" s="1211"/>
      <c r="S541" s="1211"/>
      <c r="T541" s="1209"/>
    </row>
    <row r="542" spans="7:20" s="1191" customFormat="1" x14ac:dyDescent="0.2">
      <c r="G542" s="1203"/>
      <c r="H542" s="1204"/>
      <c r="I542" s="1243"/>
      <c r="J542" s="1243"/>
      <c r="K542" s="1204"/>
      <c r="L542" s="1401"/>
      <c r="M542" s="1192"/>
      <c r="N542" s="1211"/>
      <c r="O542" s="1211"/>
      <c r="P542" s="1211"/>
      <c r="Q542" s="1211"/>
      <c r="R542" s="1211"/>
      <c r="S542" s="1211"/>
      <c r="T542" s="1209"/>
    </row>
    <row r="543" spans="7:20" s="1191" customFormat="1" x14ac:dyDescent="0.2">
      <c r="G543" s="1203"/>
      <c r="H543" s="1204"/>
      <c r="I543" s="1243"/>
      <c r="J543" s="1243"/>
      <c r="K543" s="1204"/>
      <c r="L543" s="1401"/>
      <c r="M543" s="1192"/>
      <c r="N543" s="1211"/>
      <c r="O543" s="1211"/>
      <c r="P543" s="1211"/>
      <c r="Q543" s="1211"/>
      <c r="R543" s="1211"/>
      <c r="S543" s="1211"/>
      <c r="T543" s="1209"/>
    </row>
    <row r="544" spans="7:20" s="1191" customFormat="1" x14ac:dyDescent="0.2">
      <c r="G544" s="1203"/>
      <c r="H544" s="1192"/>
      <c r="I544" s="1243"/>
      <c r="J544" s="1243"/>
      <c r="K544" s="1192"/>
      <c r="L544" s="1401"/>
      <c r="M544" s="1192"/>
      <c r="N544" s="1211"/>
      <c r="O544" s="1211"/>
      <c r="P544" s="1211"/>
      <c r="Q544" s="1211"/>
      <c r="R544" s="1211"/>
      <c r="S544" s="1211"/>
      <c r="T544" s="1209"/>
    </row>
    <row r="545" spans="7:20" s="1191" customFormat="1" ht="18" x14ac:dyDescent="0.25">
      <c r="G545" s="1389" t="s">
        <v>211</v>
      </c>
      <c r="H545" s="1390"/>
      <c r="I545" s="1391"/>
      <c r="J545" s="1391"/>
      <c r="K545" s="1392"/>
      <c r="L545" s="1393"/>
      <c r="M545" s="1195"/>
      <c r="N545" s="1187"/>
      <c r="O545" s="1187"/>
      <c r="P545" s="1187"/>
      <c r="Q545" s="1187"/>
      <c r="R545" s="1187"/>
      <c r="S545" s="1187"/>
      <c r="T545" s="1202"/>
    </row>
    <row r="546" spans="7:20" s="1191" customFormat="1" x14ac:dyDescent="0.2">
      <c r="G546" s="1203"/>
      <c r="H546" s="1394"/>
      <c r="I546" s="1232"/>
      <c r="J546" s="1232"/>
      <c r="K546" s="1394"/>
      <c r="L546" s="1233"/>
      <c r="M546" s="1395"/>
      <c r="N546" s="1211"/>
      <c r="O546" s="1211"/>
      <c r="P546" s="1211"/>
      <c r="Q546" s="1211"/>
      <c r="R546" s="1211"/>
      <c r="S546" s="1211"/>
      <c r="T546" s="1209"/>
    </row>
    <row r="547" spans="7:20" s="1191" customFormat="1" x14ac:dyDescent="0.2">
      <c r="G547" s="1203"/>
      <c r="H547" s="1204"/>
      <c r="I547" s="1243"/>
      <c r="J547" s="1235"/>
      <c r="K547" s="1204"/>
      <c r="L547" s="1216"/>
      <c r="M547" s="1339"/>
      <c r="N547" s="1211"/>
      <c r="O547" s="1211"/>
      <c r="P547" s="1211"/>
      <c r="Q547" s="1211"/>
      <c r="R547" s="1211"/>
      <c r="S547" s="1211"/>
      <c r="T547" s="1209"/>
    </row>
    <row r="548" spans="7:20" s="1191" customFormat="1" x14ac:dyDescent="0.2">
      <c r="G548" s="1203"/>
      <c r="H548" s="1368"/>
      <c r="I548" s="1189"/>
      <c r="J548" s="1406"/>
      <c r="K548" s="1368"/>
      <c r="L548" s="1107"/>
      <c r="M548" s="1203"/>
      <c r="N548" s="1211"/>
      <c r="O548" s="1211"/>
      <c r="P548" s="1211"/>
      <c r="Q548" s="1211"/>
      <c r="R548" s="1211"/>
      <c r="S548" s="1211"/>
      <c r="T548" s="1209"/>
    </row>
    <row r="549" spans="7:20" s="1191" customFormat="1" x14ac:dyDescent="0.2">
      <c r="G549" s="1203"/>
      <c r="H549" s="1368"/>
      <c r="I549" s="1189"/>
      <c r="J549" s="1406"/>
      <c r="K549" s="1368"/>
      <c r="L549" s="1107"/>
      <c r="M549" s="1203"/>
      <c r="N549" s="1211"/>
      <c r="O549" s="1211"/>
      <c r="P549" s="1211"/>
      <c r="Q549" s="1211"/>
      <c r="R549" s="1211"/>
      <c r="S549" s="1211"/>
      <c r="T549" s="1209"/>
    </row>
    <row r="550" spans="7:20" s="1191" customFormat="1" x14ac:dyDescent="0.2">
      <c r="G550" s="1203"/>
      <c r="H550" s="1368"/>
      <c r="I550" s="1189"/>
      <c r="J550" s="1406"/>
      <c r="K550" s="1368"/>
      <c r="L550" s="1107"/>
      <c r="M550" s="1203"/>
      <c r="N550" s="1211"/>
      <c r="O550" s="1211"/>
      <c r="P550" s="1211"/>
      <c r="Q550" s="1211"/>
      <c r="R550" s="1211"/>
      <c r="S550" s="1211"/>
      <c r="T550" s="1209"/>
    </row>
    <row r="551" spans="7:20" s="1191" customFormat="1" x14ac:dyDescent="0.2">
      <c r="G551" s="1203"/>
      <c r="H551" s="1204"/>
      <c r="I551" s="1243"/>
      <c r="J551" s="1407"/>
      <c r="K551" s="1368"/>
      <c r="L551" s="1216"/>
      <c r="M551" s="1203"/>
      <c r="N551" s="1211"/>
      <c r="O551" s="1211"/>
      <c r="P551" s="1211"/>
      <c r="Q551" s="1211"/>
      <c r="R551" s="1211"/>
      <c r="S551" s="1211"/>
      <c r="T551" s="1209"/>
    </row>
    <row r="552" spans="7:20" s="1191" customFormat="1" x14ac:dyDescent="0.2">
      <c r="G552" s="1203"/>
      <c r="H552" s="1204"/>
      <c r="I552" s="1243"/>
      <c r="J552" s="1243"/>
      <c r="K552" s="1204"/>
      <c r="L552" s="1216"/>
      <c r="M552" s="1203"/>
      <c r="N552" s="1211"/>
      <c r="O552" s="1211"/>
      <c r="P552" s="1211"/>
      <c r="Q552" s="1211"/>
      <c r="R552" s="1211"/>
      <c r="S552" s="1211"/>
      <c r="T552" s="1209"/>
    </row>
    <row r="553" spans="7:20" s="1191" customFormat="1" x14ac:dyDescent="0.2">
      <c r="G553" s="1203"/>
      <c r="H553" s="1192"/>
      <c r="I553" s="1243"/>
      <c r="J553" s="1243"/>
      <c r="K553" s="1192"/>
      <c r="L553" s="1216"/>
      <c r="M553" s="1203"/>
      <c r="N553" s="1211"/>
      <c r="O553" s="1211"/>
      <c r="P553" s="1211"/>
      <c r="Q553" s="1211"/>
      <c r="R553" s="1211"/>
      <c r="S553" s="1211"/>
      <c r="T553" s="1209"/>
    </row>
    <row r="554" spans="7:20" s="1191" customFormat="1" x14ac:dyDescent="0.2">
      <c r="G554" s="1203"/>
      <c r="H554" s="1192"/>
      <c r="I554" s="1243"/>
      <c r="J554" s="1243"/>
      <c r="K554" s="1192"/>
      <c r="L554" s="1216"/>
      <c r="M554" s="1203"/>
      <c r="N554" s="1211"/>
      <c r="O554" s="1211"/>
      <c r="P554" s="1211"/>
      <c r="Q554" s="1211"/>
      <c r="R554" s="1211"/>
      <c r="S554" s="1211"/>
      <c r="T554" s="1209"/>
    </row>
    <row r="555" spans="7:20" s="1191" customFormat="1" x14ac:dyDescent="0.2">
      <c r="G555" s="1203"/>
      <c r="H555" s="1192"/>
      <c r="I555" s="1243"/>
      <c r="J555" s="1243"/>
      <c r="K555" s="1192"/>
      <c r="L555" s="1216"/>
      <c r="M555" s="1203"/>
      <c r="N555" s="1211"/>
      <c r="O555" s="1211"/>
      <c r="P555" s="1211"/>
      <c r="Q555" s="1211"/>
      <c r="R555" s="1211"/>
      <c r="S555" s="1211"/>
      <c r="T555" s="1209"/>
    </row>
    <row r="556" spans="7:20" s="1191" customFormat="1" x14ac:dyDescent="0.2">
      <c r="G556" s="1203"/>
      <c r="H556" s="1192"/>
      <c r="I556" s="1243"/>
      <c r="J556" s="1243"/>
      <c r="K556" s="1192"/>
      <c r="L556" s="1216"/>
      <c r="M556" s="1203"/>
      <c r="N556" s="1211"/>
      <c r="O556" s="1211"/>
      <c r="P556" s="1211"/>
      <c r="Q556" s="1211"/>
      <c r="R556" s="1211"/>
      <c r="S556" s="1211"/>
      <c r="T556" s="1209"/>
    </row>
    <row r="557" spans="7:20" s="1191" customFormat="1" x14ac:dyDescent="0.2">
      <c r="G557" s="1203"/>
      <c r="H557" s="1192"/>
      <c r="I557" s="1243"/>
      <c r="J557" s="1243"/>
      <c r="K557" s="1192"/>
      <c r="L557" s="1216"/>
      <c r="M557" s="1203"/>
      <c r="N557" s="1211"/>
      <c r="O557" s="1211"/>
      <c r="P557" s="1211"/>
      <c r="Q557" s="1211"/>
      <c r="R557" s="1211"/>
      <c r="S557" s="1211"/>
      <c r="T557" s="1209"/>
    </row>
    <row r="558" spans="7:20" s="1191" customFormat="1" x14ac:dyDescent="0.2">
      <c r="G558" s="1224"/>
      <c r="H558" s="1225"/>
      <c r="I558" s="1226"/>
      <c r="J558" s="1226"/>
      <c r="K558" s="1225"/>
      <c r="L558" s="1227"/>
      <c r="M558" s="1224"/>
      <c r="N558" s="1229"/>
      <c r="O558" s="1229"/>
      <c r="P558" s="1229"/>
      <c r="Q558" s="1229"/>
      <c r="R558" s="1229"/>
      <c r="S558" s="1229"/>
      <c r="T558" s="1228"/>
    </row>
    <row r="564" spans="3:28" s="1191" customFormat="1" x14ac:dyDescent="0.2">
      <c r="G564" s="1107"/>
      <c r="H564" s="1204"/>
      <c r="I564" s="1235"/>
      <c r="J564" s="1243"/>
      <c r="K564" s="1107"/>
      <c r="L564" s="1401"/>
      <c r="M564" s="1107"/>
    </row>
    <row r="565" spans="3:28" s="1191" customFormat="1" x14ac:dyDescent="0.2">
      <c r="C565" s="1107"/>
      <c r="D565" s="1107"/>
      <c r="E565" s="1107"/>
      <c r="F565" s="1107"/>
      <c r="G565" s="1107"/>
      <c r="H565" s="1204"/>
      <c r="I565" s="1235"/>
      <c r="J565" s="1243"/>
      <c r="K565" s="1107"/>
      <c r="L565" s="1401"/>
      <c r="M565" s="1107"/>
      <c r="AA565" s="1107"/>
      <c r="AB565" s="1107"/>
    </row>
    <row r="566" spans="3:28" s="1191" customFormat="1" x14ac:dyDescent="0.2">
      <c r="C566" s="1107"/>
      <c r="D566" s="1107"/>
      <c r="E566" s="1107"/>
      <c r="F566" s="1107"/>
      <c r="G566" s="1107"/>
      <c r="H566" s="1204"/>
      <c r="I566" s="1235"/>
      <c r="J566" s="1243"/>
      <c r="K566" s="1107"/>
      <c r="L566" s="1401"/>
      <c r="M566" s="1107"/>
      <c r="AA566" s="1107"/>
      <c r="AB566" s="1107"/>
    </row>
    <row r="567" spans="3:28" s="1191" customFormat="1" x14ac:dyDescent="0.2">
      <c r="C567" s="1107"/>
      <c r="D567" s="1107"/>
      <c r="E567" s="1107"/>
      <c r="F567" s="1107"/>
      <c r="G567" s="1107"/>
      <c r="H567" s="1204"/>
      <c r="I567" s="1235"/>
      <c r="J567" s="1243"/>
      <c r="K567" s="1107"/>
      <c r="L567" s="1401"/>
      <c r="M567" s="1107"/>
      <c r="AA567" s="1107"/>
      <c r="AB567" s="1107"/>
    </row>
    <row r="568" spans="3:28" s="1191" customFormat="1" x14ac:dyDescent="0.2">
      <c r="C568" s="1107"/>
      <c r="D568" s="1107"/>
      <c r="E568" s="1107"/>
      <c r="F568" s="1107"/>
      <c r="G568" s="1107"/>
      <c r="H568" s="1204"/>
      <c r="I568" s="1319"/>
      <c r="J568" s="1243"/>
      <c r="K568" s="1107"/>
      <c r="L568" s="1401"/>
      <c r="M568" s="1107"/>
      <c r="AA568" s="1107"/>
      <c r="AB568" s="1107"/>
    </row>
    <row r="569" spans="3:28" s="1191" customFormat="1" x14ac:dyDescent="0.2">
      <c r="C569" s="1107"/>
      <c r="D569" s="1107"/>
      <c r="E569" s="1107"/>
      <c r="F569" s="1107"/>
      <c r="G569" s="1107"/>
      <c r="H569" s="1204"/>
      <c r="I569" s="1319"/>
      <c r="J569" s="1243"/>
      <c r="K569" s="1107"/>
      <c r="L569" s="1401"/>
      <c r="M569" s="1107"/>
      <c r="AA569" s="1107"/>
      <c r="AB569" s="1107"/>
    </row>
  </sheetData>
  <sheetProtection password="C82C" sheet="1" objects="1" scenarios="1" selectLockedCells="1"/>
  <pageMargins left="0.70866141732283472" right="0.70866141732283472" top="0.74803149606299213" bottom="0.74803149606299213" header="0.31496062992125984" footer="0.31496062992125984"/>
  <pageSetup paperSize="9" scale="61" fitToHeight="0" orientation="portrait" r:id="rId1"/>
  <headerFooter>
    <oddHeader>&amp;LPUBLIC&amp;CEfficient Costs of New Entrant Ethanol Producers&amp;R&amp;G</oddHeader>
    <oddFooter>&amp;L&amp;F:&amp;A&amp;C&amp;D&amp;R&amp;P of &amp;N</oddFooter>
  </headerFooter>
  <rowBreaks count="3" manualBreakCount="3">
    <brk id="76" max="13" man="1"/>
    <brk id="160" max="13" man="1"/>
    <brk id="248" max="1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'Wheat Standalone (Starch)'!$S$156:$S$157</xm:f>
          </x14:formula1>
          <xm:sqref>O157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71"/>
  <sheetViews>
    <sheetView topLeftCell="H3" zoomScaleNormal="100" workbookViewId="0">
      <selection activeCell="I5" sqref="I5"/>
    </sheetView>
  </sheetViews>
  <sheetFormatPr defaultRowHeight="12.75" x14ac:dyDescent="0.2"/>
  <cols>
    <col min="1" max="3" width="0" style="1107" hidden="1" customWidth="1"/>
    <col min="4" max="4" width="6.140625" style="1107" hidden="1" customWidth="1"/>
    <col min="5" max="5" width="8.140625" style="1107" hidden="1" customWidth="1"/>
    <col min="6" max="6" width="4.42578125" style="1107" hidden="1" customWidth="1"/>
    <col min="7" max="7" width="4.7109375" style="1107" hidden="1" customWidth="1"/>
    <col min="8" max="8" width="41.42578125" style="1107" customWidth="1"/>
    <col min="9" max="9" width="30.140625" style="1189" customWidth="1"/>
    <col min="10" max="10" width="14.42578125" style="1107" customWidth="1"/>
    <col min="11" max="11" width="17" style="1107" customWidth="1"/>
    <col min="12" max="12" width="16.28515625" style="1190" customWidth="1"/>
    <col min="13" max="13" width="13.28515625" style="1107" customWidth="1"/>
    <col min="14" max="14" width="13.5703125" style="1191" customWidth="1"/>
    <col min="15" max="15" width="14" style="1191" customWidth="1"/>
    <col min="16" max="26" width="13.5703125" style="1191" customWidth="1"/>
    <col min="27" max="16384" width="9.140625" style="1107"/>
  </cols>
  <sheetData>
    <row r="1" spans="6:20" s="1191" customFormat="1" ht="20.25" hidden="1" x14ac:dyDescent="0.3">
      <c r="F1" s="1188"/>
      <c r="G1" s="1107"/>
      <c r="H1" s="1107"/>
      <c r="I1" s="1189"/>
      <c r="J1" s="1107"/>
      <c r="K1" s="1107"/>
      <c r="L1" s="1190"/>
      <c r="M1" s="1107"/>
    </row>
    <row r="2" spans="6:20" s="1191" customFormat="1" hidden="1" x14ac:dyDescent="0.2">
      <c r="F2" s="1107"/>
      <c r="G2" s="1107"/>
      <c r="H2" s="1192"/>
      <c r="I2" s="1189"/>
      <c r="J2" s="1107"/>
      <c r="K2" s="1107"/>
      <c r="L2" s="1190"/>
      <c r="M2" s="1107"/>
    </row>
    <row r="3" spans="6:20" s="1191" customFormat="1" ht="23.25" x14ac:dyDescent="0.35">
      <c r="F3" s="1193"/>
      <c r="G3" s="1107"/>
      <c r="H3" s="1194" t="s">
        <v>1049</v>
      </c>
      <c r="I3" s="1189"/>
      <c r="J3" s="1107"/>
      <c r="K3" s="1107"/>
      <c r="L3" s="1190"/>
      <c r="M3" s="1107"/>
    </row>
    <row r="4" spans="6:20" s="1191" customFormat="1" ht="25.5" x14ac:dyDescent="0.2">
      <c r="F4" s="1195"/>
      <c r="G4" s="1196" t="s">
        <v>0</v>
      </c>
      <c r="H4" s="1197" t="s">
        <v>1</v>
      </c>
      <c r="I4" s="1198" t="s">
        <v>2</v>
      </c>
      <c r="J4" s="1198" t="s">
        <v>70</v>
      </c>
      <c r="K4" s="1198" t="s">
        <v>4</v>
      </c>
      <c r="L4" s="1187"/>
      <c r="M4" s="1199" t="s">
        <v>5</v>
      </c>
      <c r="N4" s="1200" t="s">
        <v>6</v>
      </c>
      <c r="O4" s="1201" t="s">
        <v>7</v>
      </c>
      <c r="P4" s="1187"/>
      <c r="Q4" s="1187"/>
      <c r="R4" s="1187"/>
      <c r="S4" s="1187"/>
      <c r="T4" s="1202"/>
    </row>
    <row r="5" spans="6:20" s="1191" customFormat="1" x14ac:dyDescent="0.2">
      <c r="F5" s="1203"/>
      <c r="G5" s="1203"/>
      <c r="H5" s="1313" t="s">
        <v>746</v>
      </c>
      <c r="I5" s="1205">
        <v>1</v>
      </c>
      <c r="J5" s="1408">
        <v>0.72</v>
      </c>
      <c r="K5" s="1206">
        <v>0.87</v>
      </c>
      <c r="M5" s="1208">
        <f>$J$51*I5/$J$5</f>
        <v>664.21584008290824</v>
      </c>
      <c r="N5" s="1209">
        <f>M5*J17</f>
        <v>223043.67909984061</v>
      </c>
      <c r="O5" s="1210"/>
      <c r="P5" s="1211"/>
      <c r="Q5" s="1211"/>
      <c r="R5" s="1211"/>
      <c r="S5" s="1211"/>
      <c r="T5" s="1209"/>
    </row>
    <row r="6" spans="6:20" s="1191" customFormat="1" x14ac:dyDescent="0.2">
      <c r="F6" s="1203"/>
      <c r="G6" s="1203"/>
      <c r="H6" s="1207"/>
      <c r="I6" s="1207"/>
      <c r="J6" s="1207"/>
      <c r="K6" s="1207"/>
      <c r="M6" s="1208"/>
      <c r="N6" s="1209"/>
      <c r="O6" s="1210"/>
      <c r="P6" s="1211"/>
      <c r="Q6" s="1211"/>
      <c r="R6" s="1211"/>
      <c r="S6" s="1211"/>
      <c r="T6" s="1209"/>
    </row>
    <row r="7" spans="6:20" s="1191" customFormat="1" x14ac:dyDescent="0.2">
      <c r="F7" s="1203"/>
      <c r="G7" s="1203"/>
      <c r="H7" s="1204"/>
      <c r="I7" s="1207"/>
      <c r="J7" s="1207"/>
      <c r="K7" s="1207"/>
      <c r="M7" s="1208"/>
      <c r="N7" s="1209"/>
      <c r="O7" s="1210"/>
      <c r="P7" s="1211"/>
      <c r="Q7" s="1211"/>
      <c r="R7" s="1211"/>
      <c r="S7" s="1211"/>
      <c r="T7" s="1209"/>
    </row>
    <row r="8" spans="6:20" s="1191" customFormat="1" x14ac:dyDescent="0.2">
      <c r="F8" s="1203"/>
      <c r="G8" s="1203"/>
      <c r="H8" s="1204"/>
      <c r="I8" s="1207"/>
      <c r="J8" s="1207"/>
      <c r="K8" s="1207"/>
      <c r="M8" s="1208"/>
      <c r="N8" s="1209"/>
      <c r="O8" s="1211"/>
      <c r="P8" s="1211"/>
      <c r="Q8" s="1211"/>
      <c r="R8" s="1211"/>
      <c r="S8" s="1211"/>
      <c r="T8" s="1209"/>
    </row>
    <row r="9" spans="6:20" s="1191" customFormat="1" x14ac:dyDescent="0.2">
      <c r="F9" s="1203"/>
      <c r="G9" s="1203"/>
      <c r="H9" s="1204"/>
      <c r="I9" s="1207"/>
      <c r="J9" s="1207"/>
      <c r="K9" s="1207"/>
      <c r="M9" s="1208"/>
      <c r="N9" s="1209"/>
      <c r="O9" s="1211"/>
      <c r="P9" s="1211"/>
      <c r="Q9" s="1211"/>
      <c r="R9" s="1211"/>
      <c r="S9" s="1211"/>
      <c r="T9" s="1209"/>
    </row>
    <row r="10" spans="6:20" s="1191" customFormat="1" x14ac:dyDescent="0.2">
      <c r="F10" s="1203"/>
      <c r="G10" s="1203"/>
      <c r="H10" s="1204"/>
      <c r="I10" s="1207"/>
      <c r="J10" s="1207"/>
      <c r="K10" s="1207"/>
      <c r="M10" s="1208"/>
      <c r="N10" s="1209"/>
      <c r="O10" s="1210"/>
      <c r="P10" s="1211"/>
      <c r="Q10" s="1211"/>
      <c r="R10" s="1211"/>
      <c r="S10" s="1211"/>
      <c r="T10" s="1209"/>
    </row>
    <row r="11" spans="6:20" s="1191" customFormat="1" x14ac:dyDescent="0.2">
      <c r="F11" s="1203"/>
      <c r="G11" s="1203"/>
      <c r="H11" s="1212" t="s">
        <v>16</v>
      </c>
      <c r="I11" s="1213">
        <f>SUM(I5:I10)</f>
        <v>1</v>
      </c>
      <c r="J11" s="1214"/>
      <c r="K11" s="1215">
        <f>SUMPRODUCT(I5:I10,K5:K10)</f>
        <v>0.87</v>
      </c>
      <c r="L11" s="1216"/>
      <c r="M11" s="1217">
        <f>SUM(M5:M10)</f>
        <v>664.21584008290824</v>
      </c>
      <c r="N11" s="1218">
        <f>SUM(N5:N10)</f>
        <v>223043.67909984061</v>
      </c>
      <c r="O11" s="1211"/>
      <c r="P11" s="1211"/>
      <c r="Q11" s="1211"/>
      <c r="R11" s="1211"/>
      <c r="S11" s="1211"/>
      <c r="T11" s="1209"/>
    </row>
    <row r="12" spans="6:20" s="1191" customFormat="1" x14ac:dyDescent="0.2">
      <c r="F12" s="1203"/>
      <c r="G12" s="1203"/>
      <c r="H12" s="1212"/>
      <c r="I12" s="1219"/>
      <c r="J12" s="1220"/>
      <c r="K12" s="1214"/>
      <c r="L12" s="1221" t="s">
        <v>382</v>
      </c>
      <c r="M12" s="1222">
        <f>M11/24</f>
        <v>27.67566000345451</v>
      </c>
      <c r="N12" s="1223"/>
      <c r="O12" s="1211"/>
      <c r="P12" s="1211"/>
      <c r="Q12" s="1211"/>
      <c r="R12" s="1211"/>
      <c r="S12" s="1211"/>
      <c r="T12" s="1209"/>
    </row>
    <row r="13" spans="6:20" s="1191" customFormat="1" x14ac:dyDescent="0.2">
      <c r="F13" s="1203"/>
      <c r="G13" s="1224"/>
      <c r="H13" s="1225"/>
      <c r="I13" s="1226"/>
      <c r="J13" s="1225"/>
      <c r="K13" s="1225"/>
      <c r="L13" s="1227"/>
      <c r="M13" s="1225"/>
      <c r="N13" s="1228"/>
      <c r="O13" s="1229"/>
      <c r="P13" s="1229"/>
      <c r="Q13" s="1229"/>
      <c r="R13" s="1229"/>
      <c r="S13" s="1229"/>
      <c r="T13" s="1228"/>
    </row>
    <row r="14" spans="6:20" s="1191" customFormat="1" x14ac:dyDescent="0.2">
      <c r="F14" s="1203"/>
      <c r="G14" s="1230" t="s">
        <v>18</v>
      </c>
      <c r="H14" s="1231" t="s">
        <v>19</v>
      </c>
      <c r="I14" s="1232" t="s">
        <v>20</v>
      </c>
      <c r="J14" s="1232" t="s">
        <v>21</v>
      </c>
      <c r="K14" s="1232"/>
      <c r="L14" s="1233" t="s">
        <v>22</v>
      </c>
      <c r="M14" s="1232" t="s">
        <v>23</v>
      </c>
      <c r="N14" s="1209"/>
      <c r="O14" s="1234" t="s">
        <v>7</v>
      </c>
      <c r="P14" s="1187"/>
      <c r="Q14" s="1187"/>
      <c r="R14" s="1187"/>
      <c r="S14" s="1187"/>
      <c r="T14" s="1202"/>
    </row>
    <row r="15" spans="6:20" s="1191" customFormat="1" x14ac:dyDescent="0.2">
      <c r="F15" s="1203"/>
      <c r="G15" s="1230"/>
      <c r="H15" s="1204" t="s">
        <v>24</v>
      </c>
      <c r="I15" s="1235" t="s">
        <v>25</v>
      </c>
      <c r="J15" s="1236">
        <f>Assumptions!$C$5</f>
        <v>100</v>
      </c>
      <c r="K15" s="1192"/>
      <c r="L15" s="1279">
        <f>Assumptions!$J$30</f>
        <v>0.9</v>
      </c>
      <c r="M15" s="1238">
        <f>J15*L15*1000000</f>
        <v>90000000</v>
      </c>
      <c r="N15" s="1209"/>
      <c r="O15" s="1210"/>
      <c r="P15" s="1211"/>
      <c r="Q15" s="1211"/>
      <c r="R15" s="1211"/>
      <c r="S15" s="1211"/>
      <c r="T15" s="1209"/>
    </row>
    <row r="16" spans="6:20" s="1191" customFormat="1" x14ac:dyDescent="0.2">
      <c r="F16" s="1203"/>
      <c r="G16" s="1203"/>
      <c r="H16" s="1204" t="s">
        <v>27</v>
      </c>
      <c r="I16" s="1235" t="s">
        <v>28</v>
      </c>
      <c r="J16" s="1239">
        <v>0.92</v>
      </c>
      <c r="K16" s="1192"/>
      <c r="L16" s="1216"/>
      <c r="M16" s="1192"/>
      <c r="N16" s="1209"/>
      <c r="O16" s="1210" t="s">
        <v>29</v>
      </c>
      <c r="P16" s="1211"/>
      <c r="Q16" s="1211"/>
      <c r="R16" s="1211"/>
      <c r="S16" s="1211"/>
      <c r="T16" s="1209"/>
    </row>
    <row r="17" spans="6:20" s="1191" customFormat="1" x14ac:dyDescent="0.2">
      <c r="F17" s="1203"/>
      <c r="G17" s="1203"/>
      <c r="H17" s="1204" t="s">
        <v>30</v>
      </c>
      <c r="I17" s="1235" t="s">
        <v>31</v>
      </c>
      <c r="J17" s="1240">
        <f>J16*Q17</f>
        <v>335.8</v>
      </c>
      <c r="K17" s="1192"/>
      <c r="L17" s="1216"/>
      <c r="M17" s="1192"/>
      <c r="N17" s="1209"/>
      <c r="O17" s="1210" t="s">
        <v>32</v>
      </c>
      <c r="P17" s="1211"/>
      <c r="Q17" s="1236">
        <v>365</v>
      </c>
      <c r="R17" s="1210"/>
      <c r="S17" s="1211"/>
      <c r="T17" s="1241"/>
    </row>
    <row r="18" spans="6:20" s="1191" customFormat="1" x14ac:dyDescent="0.2">
      <c r="F18" s="1203"/>
      <c r="G18" s="1203"/>
      <c r="H18" s="1204" t="s">
        <v>33</v>
      </c>
      <c r="I18" s="1235" t="s">
        <v>34</v>
      </c>
      <c r="J18" s="1242">
        <f>J17*24</f>
        <v>8059.2000000000007</v>
      </c>
      <c r="K18" s="1192"/>
      <c r="L18" s="1216"/>
      <c r="M18" s="1192"/>
      <c r="N18" s="1209"/>
      <c r="O18" s="1210"/>
      <c r="P18" s="1211"/>
      <c r="Q18" s="1211"/>
      <c r="R18" s="1211"/>
      <c r="S18" s="1211"/>
      <c r="T18" s="1209"/>
    </row>
    <row r="19" spans="6:20" s="1191" customFormat="1" x14ac:dyDescent="0.2">
      <c r="F19" s="1203"/>
      <c r="G19" s="1203"/>
      <c r="H19" s="1204"/>
      <c r="I19" s="1235"/>
      <c r="J19" s="1242"/>
      <c r="K19" s="1192"/>
      <c r="L19" s="1216"/>
      <c r="M19" s="1192"/>
      <c r="N19" s="1209"/>
      <c r="O19" s="1210"/>
      <c r="P19" s="1211"/>
      <c r="Q19" s="1211"/>
      <c r="R19" s="1211"/>
      <c r="S19" s="1211"/>
      <c r="T19" s="1209"/>
    </row>
    <row r="20" spans="6:20" s="1191" customFormat="1" x14ac:dyDescent="0.2">
      <c r="F20" s="1203"/>
      <c r="G20" s="1203"/>
      <c r="H20" s="1220" t="s">
        <v>35</v>
      </c>
      <c r="I20" s="1243"/>
      <c r="J20" s="1192"/>
      <c r="K20" s="1192"/>
      <c r="L20" s="1216"/>
      <c r="M20" s="1192"/>
      <c r="N20" s="1209"/>
      <c r="O20" s="1211"/>
      <c r="P20" s="1211"/>
      <c r="Q20" s="1211"/>
      <c r="R20" s="1211"/>
      <c r="S20" s="1211"/>
      <c r="T20" s="1209"/>
    </row>
    <row r="21" spans="6:20" s="1191" customFormat="1" x14ac:dyDescent="0.2">
      <c r="F21" s="1203"/>
      <c r="G21" s="1203"/>
      <c r="H21" s="1204" t="s">
        <v>36</v>
      </c>
      <c r="I21" s="1100" t="s">
        <v>568</v>
      </c>
      <c r="J21" s="1244">
        <f>J15/J17*1000000</f>
        <v>297796.30732578918</v>
      </c>
      <c r="K21" s="1192"/>
      <c r="L21" s="1216"/>
      <c r="M21" s="1192"/>
      <c r="N21" s="1209"/>
      <c r="O21" s="1211"/>
      <c r="P21" s="1211"/>
      <c r="Q21" s="1211"/>
      <c r="R21" s="1211"/>
      <c r="S21" s="1211"/>
      <c r="T21" s="1209"/>
    </row>
    <row r="22" spans="6:20" s="1191" customFormat="1" x14ac:dyDescent="0.2">
      <c r="F22" s="1203"/>
      <c r="G22" s="1203"/>
      <c r="H22" s="1204" t="s">
        <v>38</v>
      </c>
      <c r="I22" s="1100" t="s">
        <v>569</v>
      </c>
      <c r="J22" s="1211">
        <f>J15*1000000/J18</f>
        <v>12408.179471907881</v>
      </c>
      <c r="K22" s="1192"/>
      <c r="L22" s="1216"/>
      <c r="M22" s="1192"/>
      <c r="N22" s="1209"/>
      <c r="O22" s="1211"/>
      <c r="P22" s="1211"/>
      <c r="Q22" s="1211"/>
      <c r="R22" s="1211"/>
      <c r="S22" s="1211"/>
      <c r="T22" s="1209"/>
    </row>
    <row r="23" spans="6:20" s="1191" customFormat="1" x14ac:dyDescent="0.2">
      <c r="F23" s="1203"/>
      <c r="G23" s="1203"/>
      <c r="H23" s="1220"/>
      <c r="I23" s="1235"/>
      <c r="J23" s="1211"/>
      <c r="K23" s="1192"/>
      <c r="L23" s="1216"/>
      <c r="M23" s="1192"/>
      <c r="N23" s="1209"/>
      <c r="O23" s="1211"/>
      <c r="P23" s="1211"/>
      <c r="Q23" s="1211"/>
      <c r="R23" s="1211"/>
      <c r="S23" s="1211"/>
      <c r="T23" s="1209"/>
    </row>
    <row r="24" spans="6:20" s="1191" customFormat="1" ht="38.25" x14ac:dyDescent="0.2">
      <c r="F24" s="1203"/>
      <c r="G24" s="1203"/>
      <c r="H24" s="1220" t="s">
        <v>383</v>
      </c>
      <c r="I24" s="1245"/>
      <c r="J24" s="1246" t="s">
        <v>384</v>
      </c>
      <c r="K24" s="1247" t="s">
        <v>385</v>
      </c>
      <c r="L24" s="1247" t="s">
        <v>386</v>
      </c>
      <c r="M24" s="1247" t="s">
        <v>387</v>
      </c>
      <c r="N24" s="1209"/>
      <c r="O24" s="1211"/>
      <c r="P24" s="1211"/>
      <c r="Q24" s="1211"/>
      <c r="R24" s="1211"/>
      <c r="S24" s="1211"/>
      <c r="T24" s="1209"/>
    </row>
    <row r="25" spans="6:20" s="1191" customFormat="1" x14ac:dyDescent="0.2">
      <c r="F25" s="1203"/>
      <c r="G25" s="1203"/>
      <c r="H25" s="1313"/>
      <c r="I25" s="1235" t="s">
        <v>28</v>
      </c>
      <c r="J25" s="1206">
        <v>0</v>
      </c>
      <c r="K25" s="1248">
        <v>0</v>
      </c>
      <c r="L25" s="1249">
        <f>J25*$M$11*$K$11/(1-K25)</f>
        <v>0</v>
      </c>
      <c r="M25" s="1211">
        <f>L25*$J$17</f>
        <v>0</v>
      </c>
      <c r="N25" s="1209"/>
      <c r="O25" s="1210" t="s">
        <v>389</v>
      </c>
      <c r="P25" s="1211"/>
      <c r="Q25" s="1211"/>
      <c r="R25" s="1211"/>
      <c r="S25" s="1211"/>
      <c r="T25" s="1209"/>
    </row>
    <row r="26" spans="6:20" s="1191" customFormat="1" x14ac:dyDescent="0.2">
      <c r="F26" s="1203"/>
      <c r="G26" s="1203"/>
      <c r="H26" s="1313"/>
      <c r="I26" s="1235" t="s">
        <v>28</v>
      </c>
      <c r="J26" s="1206">
        <v>0</v>
      </c>
      <c r="K26" s="1248">
        <v>0</v>
      </c>
      <c r="L26" s="1249">
        <f>J26*$M$11*$K$11/(1-K26)</f>
        <v>0</v>
      </c>
      <c r="M26" s="1211">
        <f>L26*$J$17</f>
        <v>0</v>
      </c>
      <c r="N26" s="1209"/>
      <c r="O26" s="1211"/>
      <c r="P26" s="1211"/>
      <c r="Q26" s="1211"/>
      <c r="R26" s="1211"/>
      <c r="S26" s="1211"/>
      <c r="T26" s="1209"/>
    </row>
    <row r="27" spans="6:20" s="1191" customFormat="1" x14ac:dyDescent="0.2">
      <c r="F27" s="1203"/>
      <c r="G27" s="1203"/>
      <c r="H27" s="1204"/>
      <c r="I27" s="1235" t="s">
        <v>28</v>
      </c>
      <c r="J27" s="1206">
        <v>0</v>
      </c>
      <c r="K27" s="1248">
        <v>0</v>
      </c>
      <c r="L27" s="1249">
        <f>J27*$M$11*$K$11/(1-K27)</f>
        <v>0</v>
      </c>
      <c r="M27" s="1211">
        <f>L27*$J$17</f>
        <v>0</v>
      </c>
      <c r="N27" s="1209"/>
      <c r="O27" s="1211"/>
      <c r="P27" s="1211"/>
      <c r="Q27" s="1211"/>
      <c r="R27" s="1211"/>
      <c r="S27" s="1211"/>
      <c r="T27" s="1209"/>
    </row>
    <row r="28" spans="6:20" s="1191" customFormat="1" x14ac:dyDescent="0.2">
      <c r="F28" s="1203"/>
      <c r="G28" s="1203"/>
      <c r="H28" s="1204"/>
      <c r="I28" s="1235" t="s">
        <v>28</v>
      </c>
      <c r="J28" s="1206">
        <v>0</v>
      </c>
      <c r="K28" s="1248">
        <v>0</v>
      </c>
      <c r="L28" s="1249">
        <f>J28*$M$11*$K$11/(1-K28)</f>
        <v>0</v>
      </c>
      <c r="M28" s="1211">
        <f>L28*$J$17</f>
        <v>0</v>
      </c>
      <c r="N28" s="1209"/>
      <c r="O28" s="1211"/>
      <c r="P28" s="1211"/>
      <c r="Q28" s="1211"/>
      <c r="R28" s="1211"/>
      <c r="S28" s="1211"/>
      <c r="T28" s="1209"/>
    </row>
    <row r="29" spans="6:20" s="1191" customFormat="1" x14ac:dyDescent="0.2">
      <c r="F29" s="1203"/>
      <c r="G29" s="1203"/>
      <c r="H29" s="1204" t="s">
        <v>393</v>
      </c>
      <c r="I29" s="1235" t="s">
        <v>28</v>
      </c>
      <c r="J29" s="1206">
        <v>0.72</v>
      </c>
      <c r="K29" s="1221" t="s">
        <v>394</v>
      </c>
      <c r="L29" s="1249">
        <f>M11-SUM(L25:L28)</f>
        <v>664.21584008290824</v>
      </c>
      <c r="M29" s="1211">
        <f>L29*$J$17</f>
        <v>223043.67909984061</v>
      </c>
      <c r="N29" s="1209"/>
      <c r="O29" s="1211"/>
      <c r="P29" s="1211"/>
      <c r="Q29" s="1211"/>
      <c r="R29" s="1211"/>
      <c r="S29" s="1211"/>
      <c r="T29" s="1209"/>
    </row>
    <row r="30" spans="6:20" s="1191" customFormat="1" x14ac:dyDescent="0.2">
      <c r="F30" s="1203"/>
      <c r="G30" s="1203"/>
      <c r="H30" s="1212" t="s">
        <v>395</v>
      </c>
      <c r="I30" s="1235" t="s">
        <v>28</v>
      </c>
      <c r="J30" s="1251">
        <f>SUM(J25:J29)</f>
        <v>0.72</v>
      </c>
      <c r="K30" s="1252">
        <v>0.95</v>
      </c>
      <c r="L30" s="1204" t="s">
        <v>396</v>
      </c>
      <c r="M30" s="1192"/>
      <c r="N30" s="1209"/>
      <c r="O30" s="1211"/>
      <c r="P30" s="1211"/>
      <c r="Q30" s="1211"/>
      <c r="R30" s="1211"/>
      <c r="S30" s="1211"/>
      <c r="T30" s="1209"/>
    </row>
    <row r="31" spans="6:20" s="1191" customFormat="1" x14ac:dyDescent="0.2">
      <c r="F31" s="1203"/>
      <c r="G31" s="1203"/>
      <c r="H31" s="1212"/>
      <c r="I31" s="1235"/>
      <c r="J31" s="1253"/>
      <c r="K31" s="1253"/>
      <c r="L31" s="1204"/>
      <c r="M31" s="1192"/>
      <c r="N31" s="1209"/>
      <c r="O31" s="1211"/>
      <c r="P31" s="1211"/>
      <c r="Q31" s="1211"/>
      <c r="R31" s="1211"/>
      <c r="S31" s="1211"/>
      <c r="T31" s="1209"/>
    </row>
    <row r="32" spans="6:20" s="1191" customFormat="1" ht="25.5" x14ac:dyDescent="0.2">
      <c r="F32" s="1203"/>
      <c r="G32" s="1203"/>
      <c r="H32" s="1220" t="s">
        <v>383</v>
      </c>
      <c r="I32" s="1245"/>
      <c r="J32" s="1246"/>
      <c r="K32" s="1254" t="s">
        <v>397</v>
      </c>
      <c r="L32" s="1233" t="s">
        <v>398</v>
      </c>
      <c r="M32" s="1232" t="s">
        <v>23</v>
      </c>
      <c r="N32" s="1209"/>
      <c r="O32" s="1211"/>
      <c r="P32" s="1211"/>
      <c r="Q32" s="1211"/>
      <c r="R32" s="1211"/>
      <c r="S32" s="1211"/>
      <c r="T32" s="1209"/>
    </row>
    <row r="33" spans="6:20" s="1191" customFormat="1" x14ac:dyDescent="0.2">
      <c r="F33" s="1203"/>
      <c r="G33" s="1203"/>
      <c r="H33" s="1313"/>
      <c r="I33" s="1235" t="s">
        <v>28</v>
      </c>
      <c r="J33" s="1246"/>
      <c r="K33" s="1211">
        <f>M25*'Imported Starch'!Q33</f>
        <v>0</v>
      </c>
      <c r="L33" s="1255"/>
      <c r="M33" s="1211">
        <f>K33*L33</f>
        <v>0</v>
      </c>
      <c r="N33" s="1209"/>
      <c r="O33" s="1210" t="s">
        <v>399</v>
      </c>
      <c r="Q33" s="1236">
        <v>0.5</v>
      </c>
      <c r="T33" s="1209"/>
    </row>
    <row r="34" spans="6:20" s="1191" customFormat="1" x14ac:dyDescent="0.2">
      <c r="F34" s="1203"/>
      <c r="G34" s="1203"/>
      <c r="H34" s="1204"/>
      <c r="I34" s="1235" t="s">
        <v>28</v>
      </c>
      <c r="J34" s="1246"/>
      <c r="K34" s="1211">
        <f>M26</f>
        <v>0</v>
      </c>
      <c r="L34" s="1255"/>
      <c r="M34" s="1211">
        <f>K34*L34</f>
        <v>0</v>
      </c>
      <c r="N34" s="1209"/>
      <c r="O34" s="1211"/>
      <c r="P34" s="1211"/>
      <c r="T34" s="1209"/>
    </row>
    <row r="35" spans="6:20" s="1191" customFormat="1" x14ac:dyDescent="0.2">
      <c r="F35" s="1203"/>
      <c r="G35" s="1203"/>
      <c r="H35" s="1204"/>
      <c r="I35" s="1235" t="s">
        <v>28</v>
      </c>
      <c r="J35" s="1246"/>
      <c r="K35" s="1211">
        <f>M27</f>
        <v>0</v>
      </c>
      <c r="L35" s="1255"/>
      <c r="M35" s="1211">
        <f>K35*L35</f>
        <v>0</v>
      </c>
      <c r="N35" s="1209"/>
      <c r="T35" s="1209"/>
    </row>
    <row r="36" spans="6:20" s="1191" customFormat="1" x14ac:dyDescent="0.2">
      <c r="F36" s="1203"/>
      <c r="G36" s="1203"/>
      <c r="H36" s="1204"/>
      <c r="I36" s="1235" t="s">
        <v>28</v>
      </c>
      <c r="J36" s="1246"/>
      <c r="K36" s="1211">
        <f>M28</f>
        <v>0</v>
      </c>
      <c r="L36" s="1255"/>
      <c r="M36" s="1211">
        <f>K36*L36</f>
        <v>0</v>
      </c>
      <c r="N36" s="1209"/>
      <c r="T36" s="1209"/>
    </row>
    <row r="37" spans="6:20" s="1191" customFormat="1" x14ac:dyDescent="0.2">
      <c r="F37" s="1203"/>
      <c r="G37" s="1203"/>
      <c r="H37" s="1204" t="s">
        <v>393</v>
      </c>
      <c r="I37" s="1235" t="s">
        <v>28</v>
      </c>
      <c r="J37" s="1246"/>
      <c r="K37" s="1244"/>
      <c r="L37" s="1255"/>
      <c r="M37" s="1211">
        <f>K37*L37</f>
        <v>0</v>
      </c>
      <c r="N37" s="1209"/>
      <c r="T37" s="1209"/>
    </row>
    <row r="38" spans="6:20" s="1191" customFormat="1" x14ac:dyDescent="0.2">
      <c r="F38" s="1203"/>
      <c r="G38" s="1203"/>
      <c r="H38" s="1212" t="s">
        <v>400</v>
      </c>
      <c r="I38" s="1235" t="s">
        <v>28</v>
      </c>
      <c r="J38" s="1246"/>
      <c r="K38" s="1256">
        <f>SUM(K33:K37)</f>
        <v>0</v>
      </c>
      <c r="L38" s="1204"/>
      <c r="M38" s="1256">
        <f>SUM(M33:M37)</f>
        <v>0</v>
      </c>
      <c r="N38" s="1209"/>
      <c r="T38" s="1209"/>
    </row>
    <row r="39" spans="6:20" s="1191" customFormat="1" x14ac:dyDescent="0.2">
      <c r="F39" s="1203"/>
      <c r="G39" s="1203"/>
      <c r="H39" s="1212"/>
      <c r="I39" s="1235"/>
      <c r="J39" s="1253"/>
      <c r="K39" s="1204"/>
      <c r="L39" s="1204"/>
      <c r="M39" s="1192"/>
      <c r="N39" s="1209"/>
      <c r="T39" s="1209"/>
    </row>
    <row r="40" spans="6:20" s="1191" customFormat="1" x14ac:dyDescent="0.2">
      <c r="F40" s="1203"/>
      <c r="G40" s="1203"/>
      <c r="H40" s="1220" t="s">
        <v>40</v>
      </c>
      <c r="I40" s="1243"/>
      <c r="J40" s="1192"/>
      <c r="K40" s="1192"/>
      <c r="L40" s="1216"/>
      <c r="M40" s="1192"/>
      <c r="N40" s="1209"/>
      <c r="O40" s="1210" t="s">
        <v>42</v>
      </c>
      <c r="P40" s="1211"/>
      <c r="T40" s="1209"/>
    </row>
    <row r="41" spans="6:20" s="1191" customFormat="1" x14ac:dyDescent="0.2">
      <c r="F41" s="1203"/>
      <c r="G41" s="1203"/>
      <c r="H41" s="1204" t="s">
        <v>401</v>
      </c>
      <c r="I41" s="1235" t="s">
        <v>28</v>
      </c>
      <c r="J41" s="1257">
        <v>0.99</v>
      </c>
      <c r="K41" s="1192"/>
      <c r="L41" s="1216"/>
      <c r="M41" s="1192"/>
      <c r="N41" s="1209"/>
      <c r="O41" s="1210"/>
      <c r="P41" s="1211"/>
      <c r="T41" s="1209"/>
    </row>
    <row r="42" spans="6:20" s="1191" customFormat="1" x14ac:dyDescent="0.2">
      <c r="F42" s="1203"/>
      <c r="G42" s="1203"/>
      <c r="H42" s="1204" t="s">
        <v>41</v>
      </c>
      <c r="I42" s="1235" t="s">
        <v>28</v>
      </c>
      <c r="J42" s="1257">
        <v>0.89</v>
      </c>
      <c r="K42" s="1192"/>
      <c r="L42" s="1216"/>
      <c r="M42" s="1192"/>
      <c r="N42" s="1209"/>
      <c r="O42" s="1211"/>
      <c r="P42" s="1211"/>
      <c r="T42" s="1209"/>
    </row>
    <row r="43" spans="6:20" s="1191" customFormat="1" x14ac:dyDescent="0.2">
      <c r="F43" s="1203"/>
      <c r="G43" s="1203"/>
      <c r="H43" s="1204" t="s">
        <v>43</v>
      </c>
      <c r="I43" s="1235" t="s">
        <v>28</v>
      </c>
      <c r="J43" s="1257">
        <v>0.98499999999999999</v>
      </c>
      <c r="K43" s="1192"/>
      <c r="L43" s="1216"/>
      <c r="M43" s="1192"/>
      <c r="N43" s="1209"/>
      <c r="O43" s="1211"/>
      <c r="P43" s="1211"/>
      <c r="T43" s="1209"/>
    </row>
    <row r="44" spans="6:20" s="1191" customFormat="1" x14ac:dyDescent="0.2">
      <c r="F44" s="1203"/>
      <c r="G44" s="1203"/>
      <c r="H44" s="1212" t="s">
        <v>44</v>
      </c>
      <c r="I44" s="1245" t="s">
        <v>28</v>
      </c>
      <c r="J44" s="1258">
        <f>J43*J42*J41</f>
        <v>0.86788350000000003</v>
      </c>
      <c r="K44" s="1192"/>
      <c r="L44" s="1216"/>
      <c r="M44" s="1192"/>
      <c r="N44" s="1209"/>
      <c r="O44" s="1211"/>
      <c r="P44" s="1211"/>
      <c r="T44" s="1209"/>
    </row>
    <row r="45" spans="6:20" s="1191" customFormat="1" x14ac:dyDescent="0.2">
      <c r="F45" s="1203"/>
      <c r="G45" s="1203"/>
      <c r="H45" s="1204"/>
      <c r="I45" s="1235"/>
      <c r="J45" s="1259"/>
      <c r="K45" s="1192"/>
      <c r="L45" s="1216"/>
      <c r="M45" s="1192"/>
      <c r="N45" s="1209"/>
      <c r="O45" s="1211"/>
      <c r="P45" s="1211"/>
      <c r="T45" s="1209"/>
    </row>
    <row r="46" spans="6:20" s="1191" customFormat="1" x14ac:dyDescent="0.2">
      <c r="F46" s="1203"/>
      <c r="G46" s="1203"/>
      <c r="H46" s="1220" t="s">
        <v>45</v>
      </c>
      <c r="I46" s="1235"/>
      <c r="J46" s="1259"/>
      <c r="K46" s="1192"/>
      <c r="L46" s="1216"/>
      <c r="M46" s="1192"/>
      <c r="N46" s="1209"/>
      <c r="O46" s="1211"/>
      <c r="P46" s="1211"/>
      <c r="Q46" s="1211"/>
      <c r="R46" s="1211"/>
      <c r="S46" s="1211"/>
      <c r="T46" s="1209"/>
    </row>
    <row r="47" spans="6:20" s="1191" customFormat="1" x14ac:dyDescent="0.2">
      <c r="F47" s="1203"/>
      <c r="G47" s="1203"/>
      <c r="H47" s="1204" t="s">
        <v>46</v>
      </c>
      <c r="I47" s="1235" t="s">
        <v>47</v>
      </c>
      <c r="J47" s="1260">
        <v>0.78900000000000003</v>
      </c>
      <c r="K47" s="1192"/>
      <c r="L47" s="1216"/>
      <c r="M47" s="1192"/>
      <c r="N47" s="1209"/>
      <c r="O47" s="1211"/>
      <c r="P47" s="1211"/>
      <c r="Q47" s="1211"/>
      <c r="R47" s="1211"/>
      <c r="S47" s="1211"/>
      <c r="T47" s="1209"/>
    </row>
    <row r="48" spans="6:20" s="1191" customFormat="1" x14ac:dyDescent="0.2">
      <c r="F48" s="1203"/>
      <c r="G48" s="1203"/>
      <c r="H48" s="1204" t="s">
        <v>402</v>
      </c>
      <c r="I48" s="1235" t="s">
        <v>28</v>
      </c>
      <c r="J48" s="1261">
        <v>1.1100000000000001</v>
      </c>
      <c r="K48" s="1262"/>
      <c r="L48" s="1216"/>
      <c r="M48" s="1192"/>
      <c r="N48" s="1209"/>
      <c r="O48" s="1211"/>
      <c r="P48" s="1211"/>
      <c r="Q48" s="1211"/>
      <c r="R48" s="1211"/>
      <c r="S48" s="1211"/>
      <c r="T48" s="1209"/>
    </row>
    <row r="49" spans="6:20" s="1191" customFormat="1" x14ac:dyDescent="0.2">
      <c r="F49" s="1203"/>
      <c r="G49" s="1203"/>
      <c r="H49" s="1204" t="s">
        <v>48</v>
      </c>
      <c r="I49" s="1235" t="s">
        <v>28</v>
      </c>
      <c r="J49" s="1263">
        <v>0.51</v>
      </c>
      <c r="K49" s="1264"/>
      <c r="L49" s="1216"/>
      <c r="M49" s="1192"/>
      <c r="N49" s="1209"/>
      <c r="O49" s="1211"/>
      <c r="P49" s="1211"/>
      <c r="Q49" s="1211"/>
      <c r="R49" s="1211"/>
      <c r="S49" s="1211"/>
      <c r="T49" s="1209"/>
    </row>
    <row r="50" spans="6:20" s="1191" customFormat="1" x14ac:dyDescent="0.2">
      <c r="F50" s="1192"/>
      <c r="G50" s="1203"/>
      <c r="H50" s="1204"/>
      <c r="I50" s="1235"/>
      <c r="J50" s="1235"/>
      <c r="K50" s="1192"/>
      <c r="L50" s="1216"/>
      <c r="M50" s="1192"/>
      <c r="N50" s="1209"/>
      <c r="O50" s="1211"/>
      <c r="P50" s="1211"/>
      <c r="Q50" s="1211"/>
      <c r="R50" s="1211"/>
      <c r="S50" s="1211"/>
      <c r="T50" s="1209"/>
    </row>
    <row r="51" spans="6:20" s="1191" customFormat="1" x14ac:dyDescent="0.2">
      <c r="F51" s="1192"/>
      <c r="G51" s="1203"/>
      <c r="H51" s="1220" t="s">
        <v>67</v>
      </c>
      <c r="I51" s="1245" t="s">
        <v>68</v>
      </c>
      <c r="J51" s="1265">
        <f>J21*J47/1000/J44/J49/J48</f>
        <v>478.23540485969392</v>
      </c>
      <c r="K51" s="1192"/>
      <c r="L51" s="1216"/>
      <c r="M51" s="1192"/>
      <c r="N51" s="1209"/>
      <c r="O51" s="1211"/>
      <c r="P51" s="1211"/>
      <c r="Q51" s="1211"/>
      <c r="R51" s="1211"/>
      <c r="S51" s="1211"/>
      <c r="T51" s="1209"/>
    </row>
    <row r="52" spans="6:20" s="1191" customFormat="1" x14ac:dyDescent="0.2">
      <c r="F52" s="1192"/>
      <c r="G52" s="1203"/>
      <c r="H52" s="1220"/>
      <c r="I52" s="1245"/>
      <c r="J52" s="1265"/>
      <c r="K52" s="1192"/>
      <c r="L52" s="1216"/>
      <c r="M52" s="1192"/>
      <c r="N52" s="1209"/>
      <c r="O52" s="1211"/>
      <c r="P52" s="1211"/>
      <c r="Q52" s="1211"/>
      <c r="R52" s="1211"/>
      <c r="S52" s="1211"/>
      <c r="T52" s="1209"/>
    </row>
    <row r="53" spans="6:20" s="1191" customFormat="1" x14ac:dyDescent="0.2">
      <c r="F53" s="1192"/>
      <c r="G53" s="1203"/>
      <c r="H53" s="1266" t="s">
        <v>403</v>
      </c>
      <c r="I53" s="1219"/>
      <c r="J53" s="1214"/>
      <c r="K53" s="1214"/>
      <c r="L53" s="1216"/>
      <c r="M53" s="1192"/>
      <c r="N53" s="1209"/>
      <c r="O53" s="1211"/>
      <c r="P53" s="1211"/>
      <c r="Q53" s="1211"/>
      <c r="R53" s="1211"/>
      <c r="S53" s="1211"/>
      <c r="T53" s="1209"/>
    </row>
    <row r="54" spans="6:20" s="1191" customFormat="1" x14ac:dyDescent="0.2">
      <c r="F54" s="1192"/>
      <c r="G54" s="1203"/>
      <c r="H54" s="1267"/>
      <c r="I54" s="1268" t="s">
        <v>404</v>
      </c>
      <c r="J54" s="1269"/>
      <c r="K54" s="1214"/>
      <c r="L54" s="1216"/>
      <c r="M54" s="1192"/>
      <c r="N54" s="1209"/>
      <c r="O54" s="1211"/>
      <c r="P54" s="1211"/>
      <c r="Q54" s="1211"/>
      <c r="R54" s="1211"/>
      <c r="S54" s="1211"/>
      <c r="T54" s="1209"/>
    </row>
    <row r="55" spans="6:20" s="1191" customFormat="1" x14ac:dyDescent="0.2">
      <c r="F55" s="1192"/>
      <c r="G55" s="1203"/>
      <c r="H55" s="1204"/>
      <c r="I55" s="1235"/>
      <c r="J55" s="1235"/>
      <c r="K55" s="1192"/>
      <c r="L55" s="1216"/>
      <c r="M55" s="1192"/>
      <c r="N55" s="1209"/>
      <c r="O55" s="1211"/>
      <c r="P55" s="1211"/>
      <c r="Q55" s="1211"/>
      <c r="R55" s="1211"/>
      <c r="S55" s="1211"/>
      <c r="T55" s="1209"/>
    </row>
    <row r="56" spans="6:20" s="1191" customFormat="1" ht="25.5" x14ac:dyDescent="0.2">
      <c r="F56" s="1192"/>
      <c r="G56" s="1203"/>
      <c r="H56" s="1220" t="s">
        <v>405</v>
      </c>
      <c r="I56" s="1235"/>
      <c r="J56" s="1270" t="s">
        <v>52</v>
      </c>
      <c r="K56" s="1271" t="s">
        <v>406</v>
      </c>
      <c r="L56" s="1247" t="s">
        <v>407</v>
      </c>
      <c r="M56" s="1247" t="s">
        <v>408</v>
      </c>
      <c r="N56" s="1209"/>
      <c r="O56" s="1211"/>
      <c r="P56" s="1211"/>
      <c r="Q56" s="1211"/>
      <c r="R56" s="1211"/>
      <c r="S56" s="1211"/>
      <c r="T56" s="1209"/>
    </row>
    <row r="57" spans="6:20" s="1191" customFormat="1" x14ac:dyDescent="0.2">
      <c r="F57" s="1192"/>
      <c r="G57" s="1203"/>
      <c r="H57" s="1100" t="s">
        <v>684</v>
      </c>
      <c r="I57" s="1235" t="s">
        <v>54</v>
      </c>
      <c r="J57" s="1263">
        <v>0.06</v>
      </c>
      <c r="K57" s="1211">
        <f t="shared" ref="K57:K62" si="0">J57*N5</f>
        <v>13382.620745990436</v>
      </c>
      <c r="L57" s="1272">
        <v>0.2</v>
      </c>
      <c r="M57" s="1211">
        <f t="shared" ref="M57:M62" si="1">K57/(1-L57)</f>
        <v>16728.275932488043</v>
      </c>
      <c r="N57" s="1209"/>
      <c r="O57" s="1211"/>
      <c r="P57" s="1211"/>
      <c r="Q57" s="1211"/>
      <c r="R57" s="1211"/>
      <c r="S57" s="1211"/>
      <c r="T57" s="1209"/>
    </row>
    <row r="58" spans="6:20" s="1191" customFormat="1" x14ac:dyDescent="0.2">
      <c r="F58" s="1192"/>
      <c r="G58" s="1203"/>
      <c r="H58" s="1235">
        <f t="shared" ref="H58:H62" si="2">H6</f>
        <v>0</v>
      </c>
      <c r="I58" s="1235" t="s">
        <v>54</v>
      </c>
      <c r="J58" s="1263"/>
      <c r="K58" s="1211">
        <f t="shared" si="0"/>
        <v>0</v>
      </c>
      <c r="L58" s="1272">
        <v>0.1</v>
      </c>
      <c r="M58" s="1211">
        <f t="shared" si="1"/>
        <v>0</v>
      </c>
      <c r="N58" s="1209"/>
      <c r="O58" s="1211"/>
      <c r="P58" s="1211"/>
      <c r="Q58" s="1211"/>
      <c r="R58" s="1211"/>
      <c r="S58" s="1211"/>
      <c r="T58" s="1209"/>
    </row>
    <row r="59" spans="6:20" s="1191" customFormat="1" x14ac:dyDescent="0.2">
      <c r="F59" s="1192"/>
      <c r="G59" s="1203"/>
      <c r="H59" s="1235">
        <f t="shared" si="2"/>
        <v>0</v>
      </c>
      <c r="I59" s="1235" t="s">
        <v>54</v>
      </c>
      <c r="J59" s="1263"/>
      <c r="K59" s="1211">
        <f t="shared" si="0"/>
        <v>0</v>
      </c>
      <c r="L59" s="1272">
        <v>0.1</v>
      </c>
      <c r="M59" s="1211">
        <f t="shared" si="1"/>
        <v>0</v>
      </c>
      <c r="N59" s="1209"/>
      <c r="O59" s="1211"/>
      <c r="P59" s="1211"/>
      <c r="Q59" s="1211"/>
      <c r="R59" s="1211"/>
      <c r="S59" s="1211"/>
      <c r="T59" s="1209"/>
    </row>
    <row r="60" spans="6:20" s="1191" customFormat="1" x14ac:dyDescent="0.2">
      <c r="F60" s="1192"/>
      <c r="G60" s="1203"/>
      <c r="H60" s="1235">
        <f t="shared" si="2"/>
        <v>0</v>
      </c>
      <c r="I60" s="1235" t="s">
        <v>54</v>
      </c>
      <c r="J60" s="1263"/>
      <c r="K60" s="1211">
        <f t="shared" si="0"/>
        <v>0</v>
      </c>
      <c r="L60" s="1272">
        <v>0.1</v>
      </c>
      <c r="M60" s="1211">
        <f t="shared" si="1"/>
        <v>0</v>
      </c>
      <c r="N60" s="1209"/>
      <c r="O60" s="1211"/>
      <c r="P60" s="1211"/>
      <c r="Q60" s="1211"/>
      <c r="R60" s="1211"/>
      <c r="S60" s="1211"/>
      <c r="T60" s="1209"/>
    </row>
    <row r="61" spans="6:20" s="1191" customFormat="1" x14ac:dyDescent="0.2">
      <c r="F61" s="1192"/>
      <c r="G61" s="1203"/>
      <c r="H61" s="1235">
        <f t="shared" si="2"/>
        <v>0</v>
      </c>
      <c r="I61" s="1235" t="s">
        <v>54</v>
      </c>
      <c r="J61" s="1263"/>
      <c r="K61" s="1211">
        <f t="shared" si="0"/>
        <v>0</v>
      </c>
      <c r="L61" s="1272">
        <v>0.1</v>
      </c>
      <c r="M61" s="1211">
        <f t="shared" si="1"/>
        <v>0</v>
      </c>
      <c r="N61" s="1209"/>
      <c r="O61" s="1211"/>
      <c r="P61" s="1211"/>
      <c r="Q61" s="1211"/>
      <c r="R61" s="1211"/>
      <c r="S61" s="1211"/>
      <c r="T61" s="1209"/>
    </row>
    <row r="62" spans="6:20" s="1191" customFormat="1" x14ac:dyDescent="0.2">
      <c r="F62" s="1192"/>
      <c r="G62" s="1203"/>
      <c r="H62" s="1235">
        <f t="shared" si="2"/>
        <v>0</v>
      </c>
      <c r="I62" s="1235" t="s">
        <v>54</v>
      </c>
      <c r="J62" s="1263"/>
      <c r="K62" s="1211">
        <f t="shared" si="0"/>
        <v>0</v>
      </c>
      <c r="L62" s="1272">
        <v>0.1</v>
      </c>
      <c r="M62" s="1211">
        <f t="shared" si="1"/>
        <v>0</v>
      </c>
      <c r="N62" s="1209"/>
      <c r="O62" s="1211"/>
      <c r="P62" s="1211"/>
      <c r="Q62" s="1211"/>
      <c r="R62" s="1211"/>
      <c r="S62" s="1211"/>
      <c r="T62" s="1209"/>
    </row>
    <row r="63" spans="6:20" s="1191" customFormat="1" x14ac:dyDescent="0.2">
      <c r="F63" s="1192"/>
      <c r="G63" s="1203"/>
      <c r="H63" s="1212" t="s">
        <v>303</v>
      </c>
      <c r="I63" s="1235" t="s">
        <v>54</v>
      </c>
      <c r="J63" s="1270"/>
      <c r="K63" s="1273">
        <f>SUM(K57:K62)</f>
        <v>13382.620745990436</v>
      </c>
      <c r="L63" s="1216"/>
      <c r="M63" s="1273">
        <f>SUM(M57:M62)</f>
        <v>16728.275932488043</v>
      </c>
      <c r="N63" s="1209"/>
      <c r="O63" s="1211"/>
      <c r="P63" s="1211"/>
      <c r="Q63" s="1211"/>
      <c r="R63" s="1211"/>
      <c r="S63" s="1211"/>
      <c r="T63" s="1209"/>
    </row>
    <row r="64" spans="6:20" s="1191" customFormat="1" x14ac:dyDescent="0.2">
      <c r="F64" s="1192"/>
      <c r="G64" s="1203"/>
      <c r="H64" s="1212"/>
      <c r="I64" s="1235"/>
      <c r="J64" s="1270"/>
      <c r="K64" s="1265"/>
      <c r="L64" s="1216"/>
      <c r="M64" s="1265"/>
      <c r="N64" s="1209"/>
      <c r="O64" s="1211"/>
      <c r="P64" s="1211"/>
      <c r="Q64" s="1211"/>
      <c r="R64" s="1211"/>
      <c r="S64" s="1211"/>
      <c r="T64" s="1209"/>
    </row>
    <row r="65" spans="1:20" s="1191" customFormat="1" x14ac:dyDescent="0.2">
      <c r="F65" s="1192"/>
      <c r="G65" s="1203"/>
      <c r="H65" s="1245"/>
      <c r="I65" s="1235"/>
      <c r="J65" s="1270"/>
      <c r="K65" s="1265"/>
      <c r="L65" s="1233" t="s">
        <v>398</v>
      </c>
      <c r="M65" s="1232" t="s">
        <v>23</v>
      </c>
      <c r="N65" s="1209"/>
      <c r="O65" s="1211"/>
      <c r="P65" s="1211"/>
      <c r="Q65" s="1211"/>
      <c r="R65" s="1211"/>
      <c r="S65" s="1211"/>
      <c r="T65" s="1209"/>
    </row>
    <row r="66" spans="1:20" s="1191" customFormat="1" x14ac:dyDescent="0.2">
      <c r="F66" s="1192"/>
      <c r="G66" s="1203"/>
      <c r="H66" s="1266" t="s">
        <v>409</v>
      </c>
      <c r="I66" s="1245"/>
      <c r="J66" s="1220"/>
      <c r="K66" s="1238">
        <f>M63</f>
        <v>16728.275932488043</v>
      </c>
      <c r="L66" s="1274">
        <v>300</v>
      </c>
      <c r="M66" s="1238">
        <f>K66*L66</f>
        <v>5018482.7797464132</v>
      </c>
      <c r="N66" s="1209"/>
      <c r="O66" s="1210" t="s">
        <v>66</v>
      </c>
      <c r="P66" s="1211"/>
      <c r="Q66" s="1211"/>
      <c r="R66" s="1211"/>
      <c r="S66" s="1211"/>
      <c r="T66" s="1209"/>
    </row>
    <row r="67" spans="1:20" s="1191" customFormat="1" x14ac:dyDescent="0.2">
      <c r="F67" s="1107"/>
      <c r="G67" s="1203"/>
      <c r="H67" s="1192"/>
      <c r="I67" s="1243"/>
      <c r="J67" s="1192"/>
      <c r="K67" s="1192"/>
      <c r="L67" s="1216"/>
      <c r="M67" s="1192"/>
      <c r="N67" s="1209"/>
      <c r="O67" s="1211"/>
      <c r="P67" s="1211"/>
      <c r="Q67" s="1211"/>
      <c r="R67" s="1211"/>
      <c r="S67" s="1211"/>
      <c r="T67" s="1209"/>
    </row>
    <row r="68" spans="1:20" s="1191" customFormat="1" ht="25.5" x14ac:dyDescent="0.2">
      <c r="F68" s="1107"/>
      <c r="G68" s="1196" t="s">
        <v>69</v>
      </c>
      <c r="H68" s="1275" t="s">
        <v>70</v>
      </c>
      <c r="I68" s="1276" t="s">
        <v>20</v>
      </c>
      <c r="J68" s="1198" t="s">
        <v>71</v>
      </c>
      <c r="K68" s="1198" t="s">
        <v>72</v>
      </c>
      <c r="L68" s="1199" t="s">
        <v>73</v>
      </c>
      <c r="M68" s="1276" t="s">
        <v>74</v>
      </c>
      <c r="N68" s="1200"/>
      <c r="O68" s="1277"/>
      <c r="P68" s="1187"/>
      <c r="Q68" s="1187"/>
      <c r="R68" s="1187"/>
      <c r="S68" s="1187"/>
      <c r="T68" s="1202"/>
    </row>
    <row r="69" spans="1:20" s="1191" customFormat="1" x14ac:dyDescent="0.2">
      <c r="F69" s="1107"/>
      <c r="G69" s="1203"/>
      <c r="H69" s="1204" t="str">
        <f t="shared" ref="H69:H74" si="3">H5</f>
        <v>Cassava chip</v>
      </c>
      <c r="I69" s="1235" t="s">
        <v>77</v>
      </c>
      <c r="J69" s="1278">
        <f t="shared" ref="J69:J74" si="4">N5/$J$15/1000</f>
        <v>2.2304367909984064</v>
      </c>
      <c r="K69" s="1211">
        <f>J69*$J$15*1000</f>
        <v>223043.67909984064</v>
      </c>
      <c r="L69" s="1279">
        <v>280</v>
      </c>
      <c r="M69" s="1244">
        <f>K69*L69</f>
        <v>62452230.14795538</v>
      </c>
      <c r="N69" s="1209"/>
      <c r="O69" s="1280"/>
      <c r="P69" s="1211"/>
      <c r="Q69" s="1211"/>
      <c r="R69" s="1211"/>
      <c r="S69" s="1211"/>
      <c r="T69" s="1209"/>
    </row>
    <row r="70" spans="1:20" s="1191" customFormat="1" x14ac:dyDescent="0.2">
      <c r="F70" s="1107"/>
      <c r="G70" s="1203"/>
      <c r="H70" s="1204">
        <f t="shared" si="3"/>
        <v>0</v>
      </c>
      <c r="I70" s="1235" t="s">
        <v>77</v>
      </c>
      <c r="J70" s="1278">
        <f t="shared" si="4"/>
        <v>0</v>
      </c>
      <c r="K70" s="1211">
        <f>J70*$J$15*1000</f>
        <v>0</v>
      </c>
      <c r="L70" s="1274"/>
      <c r="M70" s="1244">
        <f>K70*L70</f>
        <v>0</v>
      </c>
      <c r="N70" s="1209"/>
      <c r="O70" s="1280"/>
      <c r="P70" s="1211"/>
      <c r="Q70" s="1211"/>
      <c r="R70" s="1211"/>
      <c r="S70" s="1211"/>
      <c r="T70" s="1209"/>
    </row>
    <row r="71" spans="1:20" s="1191" customFormat="1" x14ac:dyDescent="0.2">
      <c r="F71" s="1107"/>
      <c r="G71" s="1203"/>
      <c r="H71" s="1204">
        <f t="shared" si="3"/>
        <v>0</v>
      </c>
      <c r="I71" s="1235" t="s">
        <v>77</v>
      </c>
      <c r="J71" s="1278">
        <f t="shared" si="4"/>
        <v>0</v>
      </c>
      <c r="K71" s="1211">
        <f>J71*$J$15*1000</f>
        <v>0</v>
      </c>
      <c r="L71" s="1274"/>
      <c r="M71" s="1244">
        <f>K71*L71</f>
        <v>0</v>
      </c>
      <c r="N71" s="1209"/>
      <c r="O71" s="1280"/>
      <c r="P71" s="1211"/>
      <c r="Q71" s="1211"/>
      <c r="R71" s="1211"/>
      <c r="S71" s="1211"/>
      <c r="T71" s="1209"/>
    </row>
    <row r="72" spans="1:20" s="1191" customFormat="1" x14ac:dyDescent="0.2">
      <c r="F72" s="1107"/>
      <c r="G72" s="1203"/>
      <c r="H72" s="1204">
        <f t="shared" si="3"/>
        <v>0</v>
      </c>
      <c r="I72" s="1235" t="s">
        <v>77</v>
      </c>
      <c r="J72" s="1278">
        <f t="shared" si="4"/>
        <v>0</v>
      </c>
      <c r="K72" s="1211">
        <f>J72*$J$15*1000</f>
        <v>0</v>
      </c>
      <c r="L72" s="1279"/>
      <c r="M72" s="1244">
        <f>K72*L72</f>
        <v>0</v>
      </c>
      <c r="N72" s="1209"/>
      <c r="O72" s="1280"/>
      <c r="P72" s="1211"/>
      <c r="Q72" s="1211"/>
      <c r="R72" s="1211"/>
      <c r="S72" s="1211"/>
      <c r="T72" s="1209"/>
    </row>
    <row r="73" spans="1:20" s="1191" customFormat="1" x14ac:dyDescent="0.2">
      <c r="F73" s="1107"/>
      <c r="G73" s="1203"/>
      <c r="H73" s="1204">
        <f t="shared" si="3"/>
        <v>0</v>
      </c>
      <c r="I73" s="1235" t="s">
        <v>77</v>
      </c>
      <c r="J73" s="1278">
        <f t="shared" si="4"/>
        <v>0</v>
      </c>
      <c r="K73" s="1211">
        <f>J73*$J$15*1000</f>
        <v>0</v>
      </c>
      <c r="L73" s="1279"/>
      <c r="M73" s="1244">
        <f>K73*L73</f>
        <v>0</v>
      </c>
      <c r="N73" s="1209"/>
      <c r="O73" s="1280"/>
      <c r="P73" s="1211"/>
      <c r="Q73" s="1265"/>
      <c r="R73" s="1211"/>
      <c r="S73" s="1211"/>
      <c r="T73" s="1209"/>
    </row>
    <row r="74" spans="1:20" s="1191" customFormat="1" x14ac:dyDescent="0.2">
      <c r="F74" s="1107"/>
      <c r="G74" s="1203"/>
      <c r="H74" s="1204">
        <f t="shared" si="3"/>
        <v>0</v>
      </c>
      <c r="I74" s="1235" t="s">
        <v>77</v>
      </c>
      <c r="J74" s="1278">
        <f t="shared" si="4"/>
        <v>0</v>
      </c>
      <c r="K74" s="1232"/>
      <c r="L74" s="1281"/>
      <c r="M74" s="1232"/>
      <c r="N74" s="1209"/>
      <c r="O74" s="1282"/>
      <c r="P74" s="1211"/>
      <c r="Q74" s="1211"/>
      <c r="R74" s="1211"/>
      <c r="S74" s="1211"/>
      <c r="T74" s="1209"/>
    </row>
    <row r="75" spans="1:20" s="1191" customFormat="1" x14ac:dyDescent="0.2">
      <c r="F75" s="1107"/>
      <c r="G75" s="1203"/>
      <c r="H75" s="1204"/>
      <c r="I75" s="1235"/>
      <c r="J75" s="1278"/>
      <c r="K75" s="1232"/>
      <c r="L75" s="1281"/>
      <c r="M75" s="1232"/>
      <c r="N75" s="1209"/>
      <c r="O75" s="1282"/>
      <c r="P75" s="1211"/>
      <c r="Q75" s="1211"/>
      <c r="R75" s="1211"/>
      <c r="S75" s="1211"/>
      <c r="T75" s="1209"/>
    </row>
    <row r="76" spans="1:20" s="1191" customFormat="1" x14ac:dyDescent="0.2">
      <c r="F76" s="1107"/>
      <c r="G76" s="1203"/>
      <c r="H76" s="1313" t="s">
        <v>702</v>
      </c>
      <c r="I76" s="1100" t="s">
        <v>482</v>
      </c>
      <c r="J76" s="1409">
        <v>5.46</v>
      </c>
      <c r="K76" s="1211">
        <f>K69</f>
        <v>223043.67909984064</v>
      </c>
      <c r="L76" s="1281"/>
      <c r="M76" s="1244">
        <f>K76*J76</f>
        <v>1217818.4878851299</v>
      </c>
      <c r="N76" s="1209"/>
      <c r="O76" s="1282"/>
      <c r="P76" s="1211"/>
      <c r="Q76" s="1211"/>
      <c r="R76" s="1211"/>
      <c r="S76" s="1211"/>
      <c r="T76" s="1209"/>
    </row>
    <row r="77" spans="1:20" s="1191" customFormat="1" x14ac:dyDescent="0.2">
      <c r="A77" s="1191" t="s">
        <v>703</v>
      </c>
      <c r="B77" s="1191" t="s">
        <v>285</v>
      </c>
      <c r="F77" s="1107"/>
      <c r="G77" s="1224"/>
      <c r="H77" s="1283" t="s">
        <v>410</v>
      </c>
      <c r="I77" s="1284"/>
      <c r="J77" s="1285"/>
      <c r="K77" s="1229"/>
      <c r="L77" s="1229"/>
      <c r="M77" s="1286">
        <f>SUM(M69:M76)</f>
        <v>63670048.635840513</v>
      </c>
      <c r="N77" s="1228"/>
      <c r="O77" s="1287"/>
      <c r="P77" s="1229"/>
      <c r="Q77" s="1229"/>
      <c r="R77" s="1229"/>
      <c r="S77" s="1229"/>
      <c r="T77" s="1228"/>
    </row>
    <row r="78" spans="1:20" s="1191" customFormat="1" x14ac:dyDescent="0.2">
      <c r="F78" s="1107"/>
      <c r="G78" s="1203"/>
      <c r="H78" s="1212"/>
      <c r="I78" s="1235"/>
      <c r="J78" s="1278"/>
      <c r="K78" s="1211"/>
      <c r="L78" s="1211"/>
      <c r="M78" s="1238"/>
      <c r="N78" s="1209"/>
      <c r="O78" s="1288"/>
      <c r="P78" s="1211"/>
      <c r="Q78" s="1211"/>
      <c r="R78" s="1211"/>
      <c r="S78" s="1211"/>
      <c r="T78" s="1209"/>
    </row>
    <row r="79" spans="1:20" s="1191" customFormat="1" ht="25.5" x14ac:dyDescent="0.2">
      <c r="F79" s="1203"/>
      <c r="G79" s="1230" t="s">
        <v>85</v>
      </c>
      <c r="H79" s="1231" t="s">
        <v>86</v>
      </c>
      <c r="I79" s="1232" t="s">
        <v>20</v>
      </c>
      <c r="J79" s="1254" t="s">
        <v>71</v>
      </c>
      <c r="K79" s="1254" t="s">
        <v>72</v>
      </c>
      <c r="L79" s="1289" t="s">
        <v>73</v>
      </c>
      <c r="M79" s="1232" t="s">
        <v>74</v>
      </c>
      <c r="N79" s="1209"/>
      <c r="O79" s="1290" t="s">
        <v>76</v>
      </c>
      <c r="P79" s="1211"/>
      <c r="Q79" s="1211"/>
      <c r="R79" s="1211"/>
      <c r="S79" s="1211"/>
      <c r="T79" s="1209"/>
    </row>
    <row r="80" spans="1:20" s="1191" customFormat="1" x14ac:dyDescent="0.2">
      <c r="F80" s="1203"/>
      <c r="G80" s="1230"/>
      <c r="H80" s="1220" t="s">
        <v>411</v>
      </c>
      <c r="I80" s="1232"/>
      <c r="J80" s="1254"/>
      <c r="K80" s="1254"/>
      <c r="L80" s="1289"/>
      <c r="M80" s="1232"/>
      <c r="N80" s="1209"/>
      <c r="O80" s="1290"/>
      <c r="P80" s="1211"/>
      <c r="Q80" s="1211"/>
      <c r="R80" s="1211"/>
      <c r="S80" s="1211"/>
      <c r="T80" s="1209"/>
    </row>
    <row r="81" spans="6:20" s="1191" customFormat="1" x14ac:dyDescent="0.2">
      <c r="F81" s="1203"/>
      <c r="G81" s="1230"/>
      <c r="H81" s="1204" t="s">
        <v>412</v>
      </c>
      <c r="I81" s="1235" t="s">
        <v>413</v>
      </c>
      <c r="J81" s="1291">
        <v>1E-3</v>
      </c>
      <c r="K81" s="1211">
        <f>J81*N11</f>
        <v>223.0436790998406</v>
      </c>
      <c r="L81" s="1279">
        <v>1000</v>
      </c>
      <c r="M81" s="1211">
        <f>L81*K81</f>
        <v>223043.67909984061</v>
      </c>
      <c r="N81" s="1209"/>
      <c r="O81" s="1210"/>
      <c r="P81" s="1211"/>
      <c r="Q81" s="1211"/>
      <c r="R81" s="1211"/>
      <c r="S81" s="1211"/>
      <c r="T81" s="1209"/>
    </row>
    <row r="82" spans="6:20" s="1191" customFormat="1" x14ac:dyDescent="0.2">
      <c r="F82" s="1203"/>
      <c r="G82" s="1230"/>
      <c r="H82" s="1204" t="s">
        <v>414</v>
      </c>
      <c r="I82" s="1235" t="s">
        <v>413</v>
      </c>
      <c r="J82" s="1292">
        <v>2.5000000000000001E-4</v>
      </c>
      <c r="K82" s="1211">
        <f>J82*N11</f>
        <v>55.760919774960151</v>
      </c>
      <c r="L82" s="1279">
        <v>1000</v>
      </c>
      <c r="M82" s="1211">
        <f>L82*K82</f>
        <v>55760.919774960152</v>
      </c>
      <c r="N82" s="1209"/>
      <c r="O82" s="1210"/>
      <c r="P82" s="1211"/>
      <c r="Q82" s="1211"/>
      <c r="R82" s="1211"/>
      <c r="S82" s="1211"/>
      <c r="T82" s="1209"/>
    </row>
    <row r="83" spans="6:20" s="1191" customFormat="1" x14ac:dyDescent="0.2">
      <c r="F83" s="1203"/>
      <c r="G83" s="1230"/>
      <c r="H83" s="1231"/>
      <c r="I83" s="1232"/>
      <c r="J83" s="1254"/>
      <c r="K83" s="1254"/>
      <c r="L83" s="1289"/>
      <c r="M83" s="1232"/>
      <c r="N83" s="1209"/>
      <c r="O83" s="1290"/>
      <c r="P83" s="1211"/>
      <c r="Q83" s="1211"/>
      <c r="R83" s="1211"/>
      <c r="S83" s="1211"/>
      <c r="T83" s="1209"/>
    </row>
    <row r="84" spans="6:20" s="1191" customFormat="1" x14ac:dyDescent="0.2">
      <c r="F84" s="1203"/>
      <c r="G84" s="1230"/>
      <c r="H84" s="1220" t="s">
        <v>415</v>
      </c>
      <c r="I84" s="1232"/>
      <c r="J84" s="1254"/>
      <c r="K84" s="1254"/>
      <c r="L84" s="1289"/>
      <c r="M84" s="1232"/>
      <c r="N84" s="1209"/>
      <c r="O84" s="1290"/>
      <c r="P84" s="1211"/>
      <c r="Q84" s="1211"/>
      <c r="R84" s="1211"/>
      <c r="S84" s="1211"/>
      <c r="T84" s="1209"/>
    </row>
    <row r="85" spans="6:20" s="1191" customFormat="1" x14ac:dyDescent="0.2">
      <c r="F85" s="1203"/>
      <c r="G85" s="1230"/>
      <c r="H85" s="1204" t="s">
        <v>416</v>
      </c>
      <c r="I85" s="1235" t="s">
        <v>110</v>
      </c>
      <c r="J85" s="1293">
        <f>0.02%*N11/J15</f>
        <v>0.44608735819968126</v>
      </c>
      <c r="K85" s="1211">
        <f>J85*$J$15*1000</f>
        <v>44608.735819968126</v>
      </c>
      <c r="L85" s="1279">
        <v>10</v>
      </c>
      <c r="M85" s="1244">
        <f>K85*L85</f>
        <v>446087.35819968127</v>
      </c>
      <c r="N85" s="1209"/>
      <c r="O85" s="1210" t="s">
        <v>417</v>
      </c>
      <c r="P85" s="1211"/>
      <c r="Q85" s="1211"/>
      <c r="R85" s="1211"/>
      <c r="S85" s="1211"/>
      <c r="T85" s="1209"/>
    </row>
    <row r="86" spans="6:20" s="1191" customFormat="1" x14ac:dyDescent="0.2">
      <c r="F86" s="1203"/>
      <c r="G86" s="1230"/>
      <c r="H86" s="1204" t="s">
        <v>418</v>
      </c>
      <c r="I86" s="1235" t="s">
        <v>110</v>
      </c>
      <c r="J86" s="1260">
        <f>0.03%*N11/J15</f>
        <v>0.66913103729952172</v>
      </c>
      <c r="K86" s="1211">
        <f>J86*$J$15*1000</f>
        <v>66913.10372995217</v>
      </c>
      <c r="L86" s="1279">
        <v>10</v>
      </c>
      <c r="M86" s="1244">
        <f>K86*L86</f>
        <v>669131.03729952173</v>
      </c>
      <c r="N86" s="1209"/>
      <c r="O86" s="1210" t="s">
        <v>419</v>
      </c>
      <c r="P86" s="1211"/>
      <c r="Q86" s="1211"/>
      <c r="R86" s="1211"/>
      <c r="S86" s="1211"/>
      <c r="T86" s="1209"/>
    </row>
    <row r="87" spans="6:20" s="1191" customFormat="1" x14ac:dyDescent="0.2">
      <c r="F87" s="1203"/>
      <c r="G87" s="1230"/>
      <c r="H87" s="1231"/>
      <c r="I87" s="1232"/>
      <c r="J87" s="1254"/>
      <c r="K87" s="1254"/>
      <c r="L87" s="1289"/>
      <c r="M87" s="1232"/>
      <c r="N87" s="1209"/>
      <c r="O87" s="1290"/>
      <c r="P87" s="1211"/>
      <c r="Q87" s="1211"/>
      <c r="R87" s="1211"/>
      <c r="S87" s="1211"/>
      <c r="T87" s="1209"/>
    </row>
    <row r="88" spans="6:20" s="1191" customFormat="1" x14ac:dyDescent="0.2">
      <c r="F88" s="1203"/>
      <c r="G88" s="1230"/>
      <c r="H88" s="1220" t="s">
        <v>420</v>
      </c>
      <c r="I88" s="1232"/>
      <c r="J88" s="1254"/>
      <c r="K88" s="1254"/>
      <c r="L88" s="1289"/>
      <c r="M88" s="1232"/>
      <c r="N88" s="1209"/>
      <c r="O88" s="1290"/>
      <c r="P88" s="1211"/>
      <c r="Q88" s="1211"/>
      <c r="R88" s="1211"/>
      <c r="S88" s="1211"/>
      <c r="T88" s="1209"/>
    </row>
    <row r="89" spans="6:20" s="1191" customFormat="1" x14ac:dyDescent="0.2">
      <c r="F89" s="1203"/>
      <c r="G89" s="1203"/>
      <c r="H89" s="1204" t="s">
        <v>88</v>
      </c>
      <c r="I89" s="1235" t="s">
        <v>89</v>
      </c>
      <c r="J89" s="1294">
        <v>0.8</v>
      </c>
      <c r="K89" s="1211">
        <f>J89*$J$15*1000</f>
        <v>80000</v>
      </c>
      <c r="L89" s="1279">
        <v>2</v>
      </c>
      <c r="M89" s="1244">
        <f t="shared" ref="M89:M97" si="5">K89*L89</f>
        <v>160000</v>
      </c>
      <c r="N89" s="1209"/>
      <c r="O89" s="1211"/>
      <c r="P89" s="1211"/>
      <c r="Q89" s="1211"/>
      <c r="R89" s="1211"/>
      <c r="S89" s="1211"/>
      <c r="T89" s="1209"/>
    </row>
    <row r="90" spans="6:20" s="1191" customFormat="1" x14ac:dyDescent="0.2">
      <c r="F90" s="1203"/>
      <c r="G90" s="1203"/>
      <c r="H90" s="1204" t="s">
        <v>90</v>
      </c>
      <c r="I90" s="1235" t="s">
        <v>89</v>
      </c>
      <c r="J90" s="1294">
        <v>3</v>
      </c>
      <c r="K90" s="1211">
        <f>J90*$J$15*1000</f>
        <v>300000</v>
      </c>
      <c r="L90" s="1279">
        <v>0.45</v>
      </c>
      <c r="M90" s="1244">
        <f t="shared" si="5"/>
        <v>135000</v>
      </c>
      <c r="N90" s="1209"/>
      <c r="O90" s="1211"/>
      <c r="P90" s="1211"/>
      <c r="Q90" s="1211"/>
      <c r="R90" s="1211"/>
      <c r="S90" s="1211"/>
      <c r="T90" s="1209"/>
    </row>
    <row r="91" spans="6:20" s="1191" customFormat="1" x14ac:dyDescent="0.2">
      <c r="F91" s="1203"/>
      <c r="G91" s="1203"/>
      <c r="H91" s="1204" t="s">
        <v>91</v>
      </c>
      <c r="I91" s="1235" t="s">
        <v>89</v>
      </c>
      <c r="J91" s="1294">
        <v>3</v>
      </c>
      <c r="K91" s="1211">
        <f>J91*$J$15*1000</f>
        <v>300000</v>
      </c>
      <c r="L91" s="1279">
        <v>0.25</v>
      </c>
      <c r="M91" s="1244">
        <f t="shared" si="5"/>
        <v>75000</v>
      </c>
      <c r="N91" s="1209"/>
      <c r="O91" s="1211"/>
      <c r="P91" s="1211"/>
      <c r="Q91" s="1211"/>
      <c r="R91" s="1211"/>
      <c r="S91" s="1211"/>
      <c r="T91" s="1209"/>
    </row>
    <row r="92" spans="6:20" s="1191" customFormat="1" x14ac:dyDescent="0.2">
      <c r="F92" s="1203"/>
      <c r="G92" s="1203"/>
      <c r="H92" s="1192" t="s">
        <v>88</v>
      </c>
      <c r="I92" s="1235" t="s">
        <v>89</v>
      </c>
      <c r="J92" s="1294">
        <v>0.5</v>
      </c>
      <c r="K92" s="1211">
        <f>J92*$J$15*1000</f>
        <v>50000</v>
      </c>
      <c r="L92" s="1279">
        <v>2</v>
      </c>
      <c r="M92" s="1244">
        <f t="shared" si="5"/>
        <v>100000</v>
      </c>
      <c r="N92" s="1209"/>
      <c r="O92" s="1210" t="s">
        <v>92</v>
      </c>
      <c r="P92" s="1211"/>
      <c r="Q92" s="1211"/>
      <c r="R92" s="1211"/>
      <c r="S92" s="1211"/>
      <c r="T92" s="1209"/>
    </row>
    <row r="93" spans="6:20" s="1191" customFormat="1" x14ac:dyDescent="0.2">
      <c r="F93" s="1203"/>
      <c r="G93" s="1203"/>
      <c r="H93" s="1204" t="s">
        <v>93</v>
      </c>
      <c r="I93" s="1235" t="s">
        <v>89</v>
      </c>
      <c r="J93" s="1294">
        <v>0.5</v>
      </c>
      <c r="K93" s="1211">
        <f>J93*$J$15*1000</f>
        <v>50000</v>
      </c>
      <c r="L93" s="1279">
        <v>1</v>
      </c>
      <c r="M93" s="1244">
        <f t="shared" si="5"/>
        <v>50000</v>
      </c>
      <c r="N93" s="1209"/>
      <c r="O93" s="1210" t="s">
        <v>94</v>
      </c>
      <c r="P93" s="1211"/>
      <c r="Q93" s="1211"/>
      <c r="R93" s="1211"/>
      <c r="S93" s="1211"/>
      <c r="T93" s="1209"/>
    </row>
    <row r="94" spans="6:20" s="1191" customFormat="1" x14ac:dyDescent="0.2">
      <c r="F94" s="1203"/>
      <c r="G94" s="1203"/>
      <c r="H94" s="1204" t="s">
        <v>95</v>
      </c>
      <c r="I94" s="1235" t="s">
        <v>96</v>
      </c>
      <c r="J94" s="1294">
        <v>300</v>
      </c>
      <c r="K94" s="1211">
        <f>J94*$J$17</f>
        <v>100740</v>
      </c>
      <c r="L94" s="1279">
        <v>0.65</v>
      </c>
      <c r="M94" s="1244">
        <f t="shared" si="5"/>
        <v>65481</v>
      </c>
      <c r="N94" s="1209"/>
      <c r="O94" s="1210" t="s">
        <v>97</v>
      </c>
      <c r="P94" s="1211"/>
      <c r="Q94" s="1211"/>
      <c r="R94" s="1211"/>
      <c r="S94" s="1211"/>
      <c r="T94" s="1209"/>
    </row>
    <row r="95" spans="6:20" s="1191" customFormat="1" x14ac:dyDescent="0.2">
      <c r="F95" s="1203"/>
      <c r="G95" s="1203"/>
      <c r="H95" s="1204" t="s">
        <v>98</v>
      </c>
      <c r="I95" s="1235" t="s">
        <v>96</v>
      </c>
      <c r="J95" s="1294">
        <v>50</v>
      </c>
      <c r="K95" s="1211">
        <f>J95*$J$17</f>
        <v>16790</v>
      </c>
      <c r="L95" s="1279">
        <v>0.65</v>
      </c>
      <c r="M95" s="1244">
        <f t="shared" si="5"/>
        <v>10913.5</v>
      </c>
      <c r="N95" s="1209"/>
      <c r="O95" s="1210" t="s">
        <v>99</v>
      </c>
      <c r="P95" s="1211"/>
      <c r="Q95" s="1211"/>
      <c r="R95" s="1211"/>
      <c r="S95" s="1211"/>
      <c r="T95" s="1209"/>
    </row>
    <row r="96" spans="6:20" s="1191" customFormat="1" x14ac:dyDescent="0.2">
      <c r="F96" s="1203"/>
      <c r="G96" s="1203"/>
      <c r="H96" s="1204" t="s">
        <v>100</v>
      </c>
      <c r="I96" s="1235" t="s">
        <v>101</v>
      </c>
      <c r="J96" s="1294">
        <v>50</v>
      </c>
      <c r="K96" s="1211">
        <f>Q96*J96</f>
        <v>1500</v>
      </c>
      <c r="L96" s="1279">
        <v>100</v>
      </c>
      <c r="M96" s="1244">
        <f t="shared" si="5"/>
        <v>150000</v>
      </c>
      <c r="N96" s="1209"/>
      <c r="O96" s="1210" t="s">
        <v>102</v>
      </c>
      <c r="P96" s="1211"/>
      <c r="Q96" s="1236">
        <v>30</v>
      </c>
      <c r="R96" s="1210" t="s">
        <v>103</v>
      </c>
      <c r="S96" s="1211"/>
      <c r="T96" s="1209"/>
    </row>
    <row r="97" spans="1:26" s="1191" customFormat="1" x14ac:dyDescent="0.2">
      <c r="F97" s="1203"/>
      <c r="G97" s="1203"/>
      <c r="H97" s="1204" t="s">
        <v>104</v>
      </c>
      <c r="I97" s="1235" t="s">
        <v>89</v>
      </c>
      <c r="J97" s="1294">
        <v>5</v>
      </c>
      <c r="K97" s="1211">
        <f>J97*$J$15*1000</f>
        <v>500000</v>
      </c>
      <c r="L97" s="1279">
        <v>1</v>
      </c>
      <c r="M97" s="1244">
        <f t="shared" si="5"/>
        <v>500000</v>
      </c>
      <c r="N97" s="1209"/>
      <c r="O97" s="1211"/>
      <c r="P97" s="1211"/>
      <c r="Q97" s="1211"/>
      <c r="R97" s="1211"/>
      <c r="S97" s="1211"/>
      <c r="T97" s="1209"/>
    </row>
    <row r="98" spans="1:26" s="1191" customFormat="1" x14ac:dyDescent="0.2">
      <c r="F98" s="1203"/>
      <c r="G98" s="1203"/>
      <c r="H98" s="1204"/>
      <c r="I98" s="1235"/>
      <c r="J98" s="1204"/>
      <c r="K98" s="1204"/>
      <c r="L98" s="1204"/>
      <c r="M98" s="1244"/>
      <c r="N98" s="1209"/>
      <c r="O98" s="1211"/>
      <c r="P98" s="1211"/>
      <c r="Q98" s="1211"/>
      <c r="R98" s="1211"/>
      <c r="S98" s="1211"/>
      <c r="T98" s="1209"/>
    </row>
    <row r="99" spans="1:26" x14ac:dyDescent="0.2">
      <c r="F99" s="1203"/>
      <c r="G99" s="1203"/>
      <c r="H99" s="1220" t="s">
        <v>105</v>
      </c>
      <c r="I99" s="1235"/>
      <c r="J99" s="1204"/>
      <c r="K99" s="1204"/>
      <c r="L99" s="1204"/>
      <c r="M99" s="1204"/>
      <c r="N99" s="1209"/>
      <c r="O99" s="1210" t="s">
        <v>106</v>
      </c>
      <c r="P99" s="1211"/>
      <c r="Q99" s="1211"/>
      <c r="R99" s="1211"/>
      <c r="S99" s="1211"/>
      <c r="T99" s="1209"/>
    </row>
    <row r="100" spans="1:26" x14ac:dyDescent="0.2">
      <c r="F100" s="1203"/>
      <c r="G100" s="1203"/>
      <c r="H100" s="1204" t="s">
        <v>107</v>
      </c>
      <c r="I100" s="1235" t="s">
        <v>89</v>
      </c>
      <c r="J100" s="1295">
        <v>0.6</v>
      </c>
      <c r="K100" s="1211">
        <f t="shared" ref="K100:K105" si="6">J100*$J$15*1000</f>
        <v>60000</v>
      </c>
      <c r="L100" s="1296">
        <v>1</v>
      </c>
      <c r="M100" s="1244">
        <f t="shared" ref="M100:M105" si="7">K100*L100</f>
        <v>60000</v>
      </c>
      <c r="N100" s="1209"/>
      <c r="O100" s="1210" t="s">
        <v>106</v>
      </c>
      <c r="P100" s="1211"/>
      <c r="Q100" s="1211"/>
      <c r="R100" s="1211"/>
      <c r="S100" s="1211"/>
      <c r="T100" s="1209"/>
    </row>
    <row r="101" spans="1:26" x14ac:dyDescent="0.2">
      <c r="F101" s="1203"/>
      <c r="G101" s="1203"/>
      <c r="H101" s="1204" t="s">
        <v>95</v>
      </c>
      <c r="I101" s="1235" t="s">
        <v>89</v>
      </c>
      <c r="J101" s="1294"/>
      <c r="K101" s="1211">
        <f t="shared" si="6"/>
        <v>0</v>
      </c>
      <c r="L101" s="1296">
        <v>0.65</v>
      </c>
      <c r="M101" s="1244">
        <f t="shared" si="7"/>
        <v>0</v>
      </c>
      <c r="N101" s="1209"/>
      <c r="O101" s="1210" t="s">
        <v>106</v>
      </c>
      <c r="P101" s="1211"/>
      <c r="Q101" s="1211"/>
      <c r="R101" s="1211"/>
      <c r="S101" s="1211"/>
      <c r="T101" s="1209"/>
    </row>
    <row r="102" spans="1:26" x14ac:dyDescent="0.2">
      <c r="F102" s="1203"/>
      <c r="G102" s="1203"/>
      <c r="H102" s="1204" t="s">
        <v>108</v>
      </c>
      <c r="I102" s="1235" t="s">
        <v>89</v>
      </c>
      <c r="J102" s="1295">
        <v>0.34</v>
      </c>
      <c r="K102" s="1211">
        <f t="shared" si="6"/>
        <v>34000</v>
      </c>
      <c r="L102" s="1296">
        <v>0.45</v>
      </c>
      <c r="M102" s="1244">
        <f t="shared" si="7"/>
        <v>15300</v>
      </c>
      <c r="N102" s="1209"/>
      <c r="O102" s="1210" t="s">
        <v>106</v>
      </c>
      <c r="P102" s="1211"/>
      <c r="Q102" s="1211"/>
      <c r="R102" s="1211"/>
      <c r="S102" s="1211"/>
      <c r="T102" s="1209"/>
    </row>
    <row r="103" spans="1:26" x14ac:dyDescent="0.2">
      <c r="F103" s="1203"/>
      <c r="G103" s="1203"/>
      <c r="H103" s="1204" t="s">
        <v>109</v>
      </c>
      <c r="I103" s="1235" t="s">
        <v>110</v>
      </c>
      <c r="J103" s="1295"/>
      <c r="K103" s="1211">
        <f t="shared" si="6"/>
        <v>0</v>
      </c>
      <c r="L103" s="1296">
        <v>1</v>
      </c>
      <c r="M103" s="1244">
        <f t="shared" si="7"/>
        <v>0</v>
      </c>
      <c r="N103" s="1209"/>
      <c r="O103" s="1210" t="s">
        <v>106</v>
      </c>
      <c r="P103" s="1211"/>
      <c r="Q103" s="1211"/>
      <c r="R103" s="1211"/>
      <c r="S103" s="1211"/>
      <c r="T103" s="1209"/>
    </row>
    <row r="104" spans="1:26" x14ac:dyDescent="0.2">
      <c r="F104" s="1203"/>
      <c r="G104" s="1203"/>
      <c r="H104" s="1204" t="s">
        <v>111</v>
      </c>
      <c r="I104" s="1235" t="s">
        <v>110</v>
      </c>
      <c r="J104" s="1296"/>
      <c r="K104" s="1211">
        <f t="shared" si="6"/>
        <v>0</v>
      </c>
      <c r="L104" s="1296">
        <v>2.5</v>
      </c>
      <c r="M104" s="1244">
        <f t="shared" si="7"/>
        <v>0</v>
      </c>
      <c r="N104" s="1209"/>
      <c r="O104" s="1210" t="s">
        <v>106</v>
      </c>
      <c r="P104" s="1211"/>
      <c r="Q104" s="1211"/>
      <c r="R104" s="1211"/>
      <c r="S104" s="1211"/>
      <c r="T104" s="1209"/>
    </row>
    <row r="105" spans="1:26" x14ac:dyDescent="0.2">
      <c r="F105" s="1203"/>
      <c r="G105" s="1203"/>
      <c r="H105" s="1204" t="s">
        <v>112</v>
      </c>
      <c r="I105" s="1235" t="s">
        <v>89</v>
      </c>
      <c r="J105" s="1296"/>
      <c r="K105" s="1211">
        <f t="shared" si="6"/>
        <v>0</v>
      </c>
      <c r="L105" s="1296">
        <v>2</v>
      </c>
      <c r="M105" s="1244">
        <f t="shared" si="7"/>
        <v>0</v>
      </c>
      <c r="N105" s="1209"/>
      <c r="O105" s="1211"/>
      <c r="P105" s="1211"/>
      <c r="Q105" s="1211"/>
      <c r="R105" s="1211"/>
      <c r="S105" s="1211"/>
      <c r="T105" s="1209"/>
    </row>
    <row r="106" spans="1:26" x14ac:dyDescent="0.2">
      <c r="F106" s="1203"/>
      <c r="G106" s="1203"/>
      <c r="H106" s="1204"/>
      <c r="I106" s="1235"/>
      <c r="J106" s="1296"/>
      <c r="K106" s="1211"/>
      <c r="L106" s="1204"/>
      <c r="M106" s="1204"/>
      <c r="N106" s="1209"/>
      <c r="O106" s="1211"/>
      <c r="P106" s="1211"/>
      <c r="Q106" s="1211"/>
      <c r="R106" s="1211"/>
      <c r="S106" s="1265"/>
      <c r="T106" s="1209"/>
    </row>
    <row r="107" spans="1:26" x14ac:dyDescent="0.2">
      <c r="F107" s="1203"/>
      <c r="G107" s="1203"/>
      <c r="H107" s="1220" t="s">
        <v>421</v>
      </c>
      <c r="I107" s="1243"/>
      <c r="J107" s="1192"/>
      <c r="K107" s="1192"/>
      <c r="L107" s="1216"/>
      <c r="M107" s="1204"/>
      <c r="N107" s="1209"/>
      <c r="O107" s="1265"/>
      <c r="P107" s="1265"/>
      <c r="Q107" s="1265"/>
      <c r="R107" s="1265"/>
      <c r="S107" s="1265"/>
      <c r="T107" s="1209"/>
    </row>
    <row r="108" spans="1:26" x14ac:dyDescent="0.2">
      <c r="F108" s="1203"/>
      <c r="G108" s="1203"/>
      <c r="H108" s="1204" t="s">
        <v>115</v>
      </c>
      <c r="I108" s="1235" t="s">
        <v>422</v>
      </c>
      <c r="J108" s="1296"/>
      <c r="K108" s="1211">
        <f>J108*$K$62</f>
        <v>0</v>
      </c>
      <c r="L108" s="1279">
        <v>0.23499999999999999</v>
      </c>
      <c r="M108" s="1244">
        <f>K108*L108</f>
        <v>0</v>
      </c>
      <c r="N108" s="1241"/>
      <c r="O108" s="1211"/>
      <c r="P108" s="1211"/>
      <c r="Q108" s="1211"/>
      <c r="R108" s="1211"/>
      <c r="S108" s="1265"/>
      <c r="T108" s="1209"/>
    </row>
    <row r="109" spans="1:26" s="1297" customFormat="1" x14ac:dyDescent="0.2">
      <c r="F109" s="1298"/>
      <c r="G109" s="1298"/>
      <c r="H109" s="1204" t="s">
        <v>123</v>
      </c>
      <c r="I109" s="1235" t="s">
        <v>422</v>
      </c>
      <c r="J109" s="1296"/>
      <c r="K109" s="1211">
        <f>J109*$K$62</f>
        <v>0</v>
      </c>
      <c r="L109" s="1299">
        <v>0.45</v>
      </c>
      <c r="M109" s="1244">
        <f>K109*L109</f>
        <v>0</v>
      </c>
      <c r="N109" s="1241"/>
      <c r="O109" s="1211"/>
      <c r="P109" s="1211"/>
      <c r="Q109" s="1211"/>
      <c r="R109" s="1211"/>
      <c r="S109" s="1265"/>
      <c r="T109" s="1209"/>
      <c r="U109" s="1300"/>
      <c r="V109" s="1300"/>
      <c r="W109" s="1300"/>
      <c r="X109" s="1300"/>
      <c r="Y109" s="1300"/>
      <c r="Z109" s="1300"/>
    </row>
    <row r="110" spans="1:26" s="1297" customFormat="1" x14ac:dyDescent="0.2">
      <c r="F110" s="1298"/>
      <c r="G110" s="1298"/>
      <c r="H110" s="1204" t="s">
        <v>117</v>
      </c>
      <c r="I110" s="1235" t="s">
        <v>422</v>
      </c>
      <c r="J110" s="1296"/>
      <c r="K110" s="1211">
        <f>J110*$K$62</f>
        <v>0</v>
      </c>
      <c r="L110" s="1299">
        <v>0.45</v>
      </c>
      <c r="M110" s="1244">
        <f>K110*L110</f>
        <v>0</v>
      </c>
      <c r="N110" s="1241"/>
      <c r="O110" s="1211"/>
      <c r="P110" s="1211"/>
      <c r="Q110" s="1211"/>
      <c r="R110" s="1211"/>
      <c r="S110" s="1265"/>
      <c r="T110" s="1209"/>
      <c r="U110" s="1300"/>
      <c r="V110" s="1300"/>
      <c r="W110" s="1300"/>
      <c r="X110" s="1300"/>
      <c r="Y110" s="1300"/>
      <c r="Z110" s="1300"/>
    </row>
    <row r="111" spans="1:26" s="1297" customFormat="1" x14ac:dyDescent="0.2">
      <c r="A111" s="1118" t="s">
        <v>704</v>
      </c>
      <c r="B111" s="1118" t="s">
        <v>86</v>
      </c>
      <c r="F111" s="1298"/>
      <c r="G111" s="1298"/>
      <c r="H111" s="1212" t="s">
        <v>126</v>
      </c>
      <c r="M111" s="1256">
        <f>SUM(M81:M110)</f>
        <v>2715717.4943740037</v>
      </c>
      <c r="N111" s="1241"/>
      <c r="O111" s="1211"/>
      <c r="P111" s="1211"/>
      <c r="Q111" s="1211"/>
      <c r="R111" s="1211"/>
      <c r="S111" s="1265"/>
      <c r="T111" s="1209"/>
      <c r="U111" s="1300"/>
      <c r="V111" s="1300"/>
      <c r="W111" s="1300"/>
      <c r="X111" s="1300"/>
      <c r="Y111" s="1300"/>
      <c r="Z111" s="1300"/>
    </row>
    <row r="112" spans="1:26" s="1297" customFormat="1" x14ac:dyDescent="0.2">
      <c r="F112" s="1298"/>
      <c r="G112" s="1301"/>
      <c r="H112" s="1302"/>
      <c r="I112" s="1303"/>
      <c r="J112" s="1302"/>
      <c r="K112" s="1302"/>
      <c r="L112" s="1283"/>
      <c r="M112" s="1302"/>
      <c r="N112" s="1304"/>
      <c r="O112" s="1305"/>
      <c r="P112" s="1306"/>
      <c r="Q112" s="1305"/>
      <c r="R112" s="1305"/>
      <c r="S112" s="1305"/>
      <c r="T112" s="1304"/>
      <c r="U112" s="1300"/>
      <c r="V112" s="1300"/>
      <c r="W112" s="1300"/>
      <c r="X112" s="1300"/>
      <c r="Y112" s="1300"/>
      <c r="Z112" s="1300"/>
    </row>
    <row r="113" spans="1:20" ht="25.5" x14ac:dyDescent="0.2">
      <c r="F113" s="1203"/>
      <c r="G113" s="1230" t="s">
        <v>128</v>
      </c>
      <c r="H113" s="1231" t="s">
        <v>129</v>
      </c>
      <c r="I113" s="1232" t="s">
        <v>20</v>
      </c>
      <c r="J113" s="1254" t="s">
        <v>71</v>
      </c>
      <c r="K113" s="1254" t="s">
        <v>72</v>
      </c>
      <c r="L113" s="1289" t="s">
        <v>73</v>
      </c>
      <c r="M113" s="1254" t="s">
        <v>130</v>
      </c>
      <c r="N113" s="1209"/>
      <c r="O113" s="1290" t="s">
        <v>76</v>
      </c>
      <c r="P113" s="1211"/>
      <c r="Q113" s="1211"/>
      <c r="R113" s="1211"/>
      <c r="S113" s="1211"/>
      <c r="T113" s="1209"/>
    </row>
    <row r="114" spans="1:20" x14ac:dyDescent="0.2">
      <c r="F114" s="1203"/>
      <c r="G114" s="1230"/>
      <c r="H114" s="1220" t="s">
        <v>131</v>
      </c>
      <c r="I114" s="1232"/>
      <c r="J114" s="1254"/>
      <c r="K114" s="1254"/>
      <c r="L114" s="1289"/>
      <c r="M114" s="1232"/>
      <c r="N114" s="1209"/>
      <c r="O114" s="1290"/>
      <c r="P114" s="1211"/>
      <c r="Q114" s="1211"/>
      <c r="R114" s="1211"/>
      <c r="S114" s="1211"/>
      <c r="T114" s="1209"/>
    </row>
    <row r="115" spans="1:20" s="1191" customFormat="1" x14ac:dyDescent="0.2">
      <c r="E115" s="1307">
        <v>0</v>
      </c>
      <c r="F115" s="1203"/>
      <c r="G115" s="1203"/>
      <c r="H115" s="1204" t="s">
        <v>423</v>
      </c>
      <c r="I115" s="1235" t="s">
        <v>133</v>
      </c>
      <c r="J115" s="1294">
        <v>0</v>
      </c>
      <c r="K115" s="1211">
        <f>J115*$J$15*1000</f>
        <v>0</v>
      </c>
      <c r="L115" s="1279">
        <v>5</v>
      </c>
      <c r="M115" s="1244">
        <f>K115*L115</f>
        <v>0</v>
      </c>
      <c r="N115" s="1209"/>
      <c r="O115" s="1210" t="s">
        <v>136</v>
      </c>
      <c r="P115" s="1211"/>
      <c r="Q115" s="1211"/>
      <c r="R115" s="1211"/>
      <c r="S115" s="1211"/>
      <c r="T115" s="1209"/>
    </row>
    <row r="116" spans="1:20" s="1191" customFormat="1" x14ac:dyDescent="0.2">
      <c r="E116" s="1307">
        <v>1</v>
      </c>
      <c r="F116" s="1203"/>
      <c r="G116" s="1203"/>
      <c r="H116" s="1204" t="s">
        <v>424</v>
      </c>
      <c r="I116" s="1235" t="s">
        <v>133</v>
      </c>
      <c r="J116" s="1294">
        <v>1</v>
      </c>
      <c r="K116" s="1211">
        <f>J116*$J$15*1000</f>
        <v>100000</v>
      </c>
      <c r="L116" s="1216">
        <f>L115</f>
        <v>5</v>
      </c>
      <c r="M116" s="1244">
        <f>K116*L116</f>
        <v>500000</v>
      </c>
      <c r="N116" s="1209"/>
      <c r="O116" s="1210"/>
      <c r="P116" s="1211"/>
      <c r="Q116" s="1211"/>
      <c r="R116" s="1211"/>
      <c r="S116" s="1211"/>
      <c r="T116" s="1209"/>
    </row>
    <row r="117" spans="1:20" s="1191" customFormat="1" x14ac:dyDescent="0.2">
      <c r="E117" s="1307">
        <v>1</v>
      </c>
      <c r="F117" s="1203"/>
      <c r="G117" s="1203"/>
      <c r="H117" s="1204" t="s">
        <v>162</v>
      </c>
      <c r="I117" s="1235" t="s">
        <v>133</v>
      </c>
      <c r="J117" s="1294">
        <v>1.9</v>
      </c>
      <c r="K117" s="1211">
        <f>J117*$J$15*1000</f>
        <v>190000</v>
      </c>
      <c r="L117" s="1216">
        <f>L116</f>
        <v>5</v>
      </c>
      <c r="M117" s="1244">
        <f>K117*L117</f>
        <v>950000</v>
      </c>
      <c r="N117" s="1209"/>
      <c r="O117" s="1210" t="s">
        <v>136</v>
      </c>
      <c r="P117" s="1211"/>
      <c r="Q117" s="1211"/>
      <c r="R117" s="1211"/>
      <c r="S117" s="1211"/>
      <c r="T117" s="1209"/>
    </row>
    <row r="118" spans="1:20" s="1191" customFormat="1" x14ac:dyDescent="0.2">
      <c r="E118" s="1307">
        <v>1</v>
      </c>
      <c r="F118" s="1203"/>
      <c r="G118" s="1203"/>
      <c r="H118" s="1204" t="s">
        <v>163</v>
      </c>
      <c r="I118" s="1235" t="s">
        <v>133</v>
      </c>
      <c r="J118" s="1294">
        <v>0.63</v>
      </c>
      <c r="K118" s="1211">
        <f>J118*$J$15*1000</f>
        <v>63000</v>
      </c>
      <c r="L118" s="1216">
        <f>L117</f>
        <v>5</v>
      </c>
      <c r="M118" s="1244">
        <f>K118*L118</f>
        <v>315000</v>
      </c>
      <c r="N118" s="1209"/>
      <c r="O118" s="1210" t="s">
        <v>136</v>
      </c>
      <c r="P118" s="1211"/>
      <c r="Q118" s="1211"/>
      <c r="R118" s="1211"/>
      <c r="S118" s="1211"/>
      <c r="T118" s="1209"/>
    </row>
    <row r="119" spans="1:20" s="1191" customFormat="1" x14ac:dyDescent="0.2">
      <c r="E119" s="1307">
        <v>1</v>
      </c>
      <c r="F119" s="1203"/>
      <c r="G119" s="1203"/>
      <c r="H119" s="1204" t="s">
        <v>425</v>
      </c>
      <c r="I119" s="1235" t="s">
        <v>426</v>
      </c>
      <c r="J119" s="1294">
        <v>2</v>
      </c>
      <c r="K119" s="1308">
        <f>J119*K66</f>
        <v>33456.551864976085</v>
      </c>
      <c r="L119" s="1216">
        <f>L118</f>
        <v>5</v>
      </c>
      <c r="M119" s="1244">
        <f>K119*L119</f>
        <v>167282.75932488043</v>
      </c>
      <c r="N119" s="1209"/>
      <c r="O119" s="1210"/>
      <c r="P119" s="1211"/>
      <c r="Q119" s="1211"/>
      <c r="R119" s="1211"/>
      <c r="S119" s="1211"/>
      <c r="T119" s="1209"/>
    </row>
    <row r="120" spans="1:20" s="1191" customFormat="1" x14ac:dyDescent="0.2">
      <c r="A120" s="1191" t="s">
        <v>705</v>
      </c>
      <c r="B120" s="1191" t="s">
        <v>131</v>
      </c>
      <c r="F120" s="1203"/>
      <c r="G120" s="1203"/>
      <c r="H120" s="1212" t="s">
        <v>137</v>
      </c>
      <c r="I120" s="1235"/>
      <c r="J120" s="1204"/>
      <c r="K120" s="1211"/>
      <c r="L120" s="1216"/>
      <c r="M120" s="1256">
        <f>SUM(M115:M119)</f>
        <v>1932282.7593248803</v>
      </c>
      <c r="N120" s="1209"/>
      <c r="O120" s="1210"/>
      <c r="P120" s="1211"/>
      <c r="Q120" s="1211"/>
      <c r="R120" s="1211"/>
      <c r="S120" s="1211"/>
      <c r="T120" s="1209"/>
    </row>
    <row r="121" spans="1:20" s="1191" customFormat="1" x14ac:dyDescent="0.2">
      <c r="F121" s="1203"/>
      <c r="G121" s="1203"/>
      <c r="H121" s="1220" t="s">
        <v>140</v>
      </c>
      <c r="I121" s="1235"/>
      <c r="J121" s="1204"/>
      <c r="K121" s="1211"/>
      <c r="L121" s="1216"/>
      <c r="M121" s="1244"/>
      <c r="N121" s="1209"/>
      <c r="O121" s="1210"/>
      <c r="P121" s="1211"/>
      <c r="Q121" s="1211"/>
      <c r="R121" s="1211"/>
      <c r="S121" s="1211"/>
      <c r="T121" s="1209"/>
    </row>
    <row r="122" spans="1:20" s="1191" customFormat="1" x14ac:dyDescent="0.2">
      <c r="E122" s="1307">
        <v>1</v>
      </c>
      <c r="F122" s="1203"/>
      <c r="G122" s="1203"/>
      <c r="H122" s="1204" t="s">
        <v>141</v>
      </c>
      <c r="I122" s="1235" t="s">
        <v>133</v>
      </c>
      <c r="J122" s="1294">
        <v>1.9</v>
      </c>
      <c r="K122" s="1211">
        <f>J122*$J$15*1000</f>
        <v>190000</v>
      </c>
      <c r="L122" s="1216"/>
      <c r="M122" s="1244">
        <f>K122*L122</f>
        <v>0</v>
      </c>
      <c r="N122" s="1209"/>
      <c r="O122" s="1210" t="s">
        <v>427</v>
      </c>
      <c r="P122" s="1211"/>
      <c r="Q122" s="1211"/>
      <c r="R122" s="1211"/>
      <c r="S122" s="1211"/>
      <c r="T122" s="1209"/>
    </row>
    <row r="123" spans="1:20" s="1191" customFormat="1" x14ac:dyDescent="0.2">
      <c r="E123" s="1307">
        <v>1</v>
      </c>
      <c r="F123" s="1203"/>
      <c r="G123" s="1203"/>
      <c r="H123" s="1204" t="s">
        <v>143</v>
      </c>
      <c r="I123" s="1235" t="s">
        <v>133</v>
      </c>
      <c r="J123" s="1294">
        <v>0.63</v>
      </c>
      <c r="K123" s="1211">
        <f>J123*$J$15*1000</f>
        <v>63000</v>
      </c>
      <c r="L123" s="1216"/>
      <c r="M123" s="1244">
        <f>K123*L123</f>
        <v>0</v>
      </c>
      <c r="N123" s="1209"/>
      <c r="O123" s="1210" t="s">
        <v>427</v>
      </c>
      <c r="P123" s="1211"/>
      <c r="Q123" s="1211"/>
      <c r="R123" s="1211"/>
      <c r="S123" s="1211"/>
      <c r="T123" s="1209"/>
    </row>
    <row r="124" spans="1:20" s="1191" customFormat="1" x14ac:dyDescent="0.2">
      <c r="E124" s="1307">
        <v>1</v>
      </c>
      <c r="F124" s="1203"/>
      <c r="G124" s="1203"/>
      <c r="H124" s="1204" t="s">
        <v>144</v>
      </c>
      <c r="I124" s="1235" t="s">
        <v>133</v>
      </c>
      <c r="J124" s="1294">
        <v>4.0999999999999996</v>
      </c>
      <c r="K124" s="1211">
        <f>J124*$J$15*1000</f>
        <v>409999.99999999994</v>
      </c>
      <c r="L124" s="1279">
        <v>3</v>
      </c>
      <c r="M124" s="1244">
        <f>K124*L124</f>
        <v>1229999.9999999998</v>
      </c>
      <c r="N124" s="1209"/>
      <c r="O124" s="1210" t="s">
        <v>145</v>
      </c>
      <c r="P124" s="1211"/>
      <c r="Q124" s="1211"/>
      <c r="R124" s="1211"/>
      <c r="S124" s="1211"/>
      <c r="T124" s="1209"/>
    </row>
    <row r="125" spans="1:20" s="1191" customFormat="1" x14ac:dyDescent="0.2">
      <c r="F125" s="1203"/>
      <c r="G125" s="1203"/>
      <c r="H125" s="1192"/>
      <c r="I125" s="1243"/>
      <c r="J125" s="1192"/>
      <c r="K125" s="1192"/>
      <c r="L125" s="1216"/>
      <c r="M125" s="1192"/>
      <c r="N125" s="1209"/>
      <c r="O125" s="1211"/>
      <c r="P125" s="1211"/>
      <c r="Q125" s="1211"/>
      <c r="R125" s="1211"/>
      <c r="S125" s="1211"/>
      <c r="T125" s="1209"/>
    </row>
    <row r="126" spans="1:20" s="1191" customFormat="1" x14ac:dyDescent="0.2">
      <c r="F126" s="1203"/>
      <c r="G126" s="1203"/>
      <c r="H126" s="1220" t="s">
        <v>139</v>
      </c>
      <c r="I126" s="1243"/>
      <c r="J126" s="1192"/>
      <c r="K126" s="1192"/>
      <c r="L126" s="1216"/>
      <c r="M126" s="1192"/>
      <c r="N126" s="1209"/>
      <c r="O126" s="1211"/>
      <c r="P126" s="1211"/>
      <c r="Q126" s="1309"/>
      <c r="R126" s="1309"/>
      <c r="S126" s="1211"/>
      <c r="T126" s="1209"/>
    </row>
    <row r="127" spans="1:20" s="1191" customFormat="1" x14ac:dyDescent="0.2">
      <c r="E127" s="1310">
        <v>0</v>
      </c>
      <c r="F127" s="1203"/>
      <c r="G127" s="1203"/>
      <c r="H127" s="1204" t="s">
        <v>428</v>
      </c>
      <c r="I127" s="1235" t="s">
        <v>150</v>
      </c>
      <c r="J127" s="1294">
        <v>0</v>
      </c>
      <c r="K127" s="1211">
        <f>J127*$J$15*1000</f>
        <v>0</v>
      </c>
      <c r="L127" s="1279">
        <v>1</v>
      </c>
      <c r="M127" s="1244">
        <f>L$127*K127</f>
        <v>0</v>
      </c>
      <c r="N127" s="1209"/>
      <c r="O127" s="1210"/>
      <c r="P127" s="1211"/>
      <c r="Q127" s="1211"/>
      <c r="R127" s="1211"/>
      <c r="S127" s="1211"/>
      <c r="T127" s="1209"/>
    </row>
    <row r="128" spans="1:20" s="1191" customFormat="1" x14ac:dyDescent="0.2">
      <c r="E128" s="1310">
        <v>0</v>
      </c>
      <c r="F128" s="1203"/>
      <c r="G128" s="1203"/>
      <c r="H128" s="1204" t="s">
        <v>429</v>
      </c>
      <c r="I128" s="1235" t="s">
        <v>150</v>
      </c>
      <c r="J128" s="1294">
        <v>0</v>
      </c>
      <c r="K128" s="1211">
        <f>J128*$J$15*1000</f>
        <v>0</v>
      </c>
      <c r="L128" s="1216"/>
      <c r="M128" s="1244">
        <f>L128*K128</f>
        <v>0</v>
      </c>
      <c r="N128" s="1209"/>
      <c r="O128" s="1211" t="s">
        <v>511</v>
      </c>
      <c r="P128" s="1211"/>
      <c r="Q128" s="1211"/>
      <c r="R128" s="1211"/>
      <c r="S128" s="1211"/>
      <c r="T128" s="1209"/>
    </row>
    <row r="129" spans="1:20" s="1191" customFormat="1" x14ac:dyDescent="0.2">
      <c r="E129" s="1310">
        <v>1</v>
      </c>
      <c r="F129" s="1203"/>
      <c r="G129" s="1203"/>
      <c r="H129" s="1204" t="s">
        <v>153</v>
      </c>
      <c r="I129" s="1235" t="s">
        <v>150</v>
      </c>
      <c r="J129" s="1294">
        <v>90</v>
      </c>
      <c r="K129" s="1211">
        <f>J129*$J$15*1000</f>
        <v>9000000</v>
      </c>
      <c r="L129" s="1216"/>
      <c r="M129" s="1244">
        <f>L129*K129</f>
        <v>0</v>
      </c>
      <c r="N129" s="1209"/>
      <c r="O129" s="1311">
        <f>SUM(K127:K128)*J133*L133</f>
        <v>0</v>
      </c>
      <c r="P129" s="1211" t="s">
        <v>512</v>
      </c>
      <c r="Q129" s="1211"/>
      <c r="R129" s="1211"/>
      <c r="S129" s="1211"/>
      <c r="T129" s="1209"/>
    </row>
    <row r="130" spans="1:20" s="1191" customFormat="1" x14ac:dyDescent="0.2">
      <c r="E130" s="1310">
        <v>1</v>
      </c>
      <c r="F130" s="1203"/>
      <c r="G130" s="1203"/>
      <c r="H130" s="1204" t="s">
        <v>154</v>
      </c>
      <c r="I130" s="1235" t="s">
        <v>150</v>
      </c>
      <c r="J130" s="1294">
        <v>50</v>
      </c>
      <c r="K130" s="1211">
        <f>J130*$J$15*1000</f>
        <v>5000000</v>
      </c>
      <c r="L130" s="1216"/>
      <c r="M130" s="1244">
        <f>L130*K130</f>
        <v>0</v>
      </c>
      <c r="N130" s="1209"/>
      <c r="O130" s="1210"/>
      <c r="P130" s="1211"/>
      <c r="Q130" s="1211"/>
      <c r="R130" s="1211"/>
      <c r="S130" s="1211"/>
      <c r="T130" s="1209"/>
    </row>
    <row r="131" spans="1:20" s="1191" customFormat="1" x14ac:dyDescent="0.2">
      <c r="E131" s="1310">
        <v>1</v>
      </c>
      <c r="F131" s="1203"/>
      <c r="G131" s="1203"/>
      <c r="H131" s="1204" t="s">
        <v>155</v>
      </c>
      <c r="I131" s="1235" t="s">
        <v>150</v>
      </c>
      <c r="J131" s="1294">
        <v>10</v>
      </c>
      <c r="K131" s="1211">
        <f>J131*$J$15*1000</f>
        <v>1000000</v>
      </c>
      <c r="L131" s="1216"/>
      <c r="M131" s="1244">
        <f>L131*K131</f>
        <v>0</v>
      </c>
      <c r="N131" s="1209"/>
      <c r="O131" s="1210"/>
      <c r="P131" s="1211"/>
      <c r="Q131" s="1211"/>
      <c r="R131" s="1211"/>
      <c r="S131" s="1211"/>
      <c r="T131" s="1209"/>
    </row>
    <row r="132" spans="1:20" s="1191" customFormat="1" x14ac:dyDescent="0.2">
      <c r="F132" s="1203"/>
      <c r="G132" s="1203"/>
      <c r="H132" s="1245" t="s">
        <v>156</v>
      </c>
      <c r="I132" s="1245" t="s">
        <v>65</v>
      </c>
      <c r="J132" s="1220"/>
      <c r="K132" s="1311">
        <f>SUM(K128:K131)</f>
        <v>15000000</v>
      </c>
      <c r="L132" s="1212"/>
      <c r="M132" s="1312">
        <f>SUM(M127:M131)</f>
        <v>0</v>
      </c>
      <c r="N132" s="1209"/>
      <c r="O132" s="1210"/>
      <c r="P132" s="1211"/>
      <c r="Q132" s="1211"/>
      <c r="R132" s="1211"/>
      <c r="S132" s="1211"/>
      <c r="T132" s="1209"/>
    </row>
    <row r="133" spans="1:20" s="1191" customFormat="1" x14ac:dyDescent="0.2">
      <c r="F133" s="1203"/>
      <c r="G133" s="1203"/>
      <c r="H133" s="1313" t="s">
        <v>855</v>
      </c>
      <c r="I133" s="1235" t="s">
        <v>157</v>
      </c>
      <c r="J133" s="1263">
        <v>0.1</v>
      </c>
      <c r="K133" s="1211">
        <f>J133*K132</f>
        <v>1500000</v>
      </c>
      <c r="L133" s="1216">
        <f>L127</f>
        <v>1</v>
      </c>
      <c r="M133" s="1244">
        <f>L133*K133</f>
        <v>1500000</v>
      </c>
      <c r="N133" s="1209"/>
      <c r="O133" s="1210"/>
      <c r="P133" s="1211"/>
      <c r="Q133" s="1211"/>
      <c r="R133" s="1211"/>
      <c r="S133" s="1211"/>
      <c r="T133" s="1209"/>
    </row>
    <row r="134" spans="1:20" s="1191" customFormat="1" x14ac:dyDescent="0.2">
      <c r="A134" s="1191" t="s">
        <v>706</v>
      </c>
      <c r="B134" s="1191" t="s">
        <v>139</v>
      </c>
      <c r="F134" s="1203"/>
      <c r="G134" s="1203"/>
      <c r="H134" s="1212" t="s">
        <v>158</v>
      </c>
      <c r="I134" s="1243"/>
      <c r="J134" s="1192"/>
      <c r="K134" s="1192"/>
      <c r="L134" s="1216"/>
      <c r="M134" s="1256">
        <f>SUM(M132:M133,M124)</f>
        <v>2730000</v>
      </c>
      <c r="N134" s="1209"/>
      <c r="O134" s="1211"/>
      <c r="P134" s="1211"/>
      <c r="Q134" s="1211"/>
      <c r="R134" s="1211"/>
      <c r="S134" s="1211"/>
      <c r="T134" s="1209"/>
    </row>
    <row r="135" spans="1:20" s="1191" customFormat="1" x14ac:dyDescent="0.2">
      <c r="F135" s="1203"/>
      <c r="G135" s="1203"/>
      <c r="H135" s="1220" t="s">
        <v>159</v>
      </c>
      <c r="I135" s="1243"/>
      <c r="J135" s="1192"/>
      <c r="K135" s="1204"/>
      <c r="L135" s="1216"/>
      <c r="M135" s="1192"/>
      <c r="N135" s="1209"/>
      <c r="O135" s="1211"/>
      <c r="P135" s="1211"/>
      <c r="Q135" s="1211"/>
      <c r="R135" s="1211"/>
      <c r="S135" s="1211"/>
      <c r="T135" s="1209"/>
    </row>
    <row r="136" spans="1:20" s="1191" customFormat="1" x14ac:dyDescent="0.2">
      <c r="E136" s="1307">
        <v>0</v>
      </c>
      <c r="F136" s="1203"/>
      <c r="G136" s="1203"/>
      <c r="H136" s="1204" t="s">
        <v>430</v>
      </c>
      <c r="I136" s="1235" t="s">
        <v>161</v>
      </c>
      <c r="J136" s="1314">
        <v>0</v>
      </c>
      <c r="K136" s="1211">
        <f t="shared" ref="K136:K145" si="8">J136*$J$15*1000</f>
        <v>0</v>
      </c>
      <c r="L136" s="1315"/>
      <c r="M136" s="1244">
        <f>K136*$L$147</f>
        <v>0</v>
      </c>
      <c r="N136" s="1209"/>
      <c r="O136" s="1211"/>
      <c r="P136" s="1210"/>
      <c r="Q136" s="1211"/>
      <c r="R136" s="1211"/>
      <c r="S136" s="1211"/>
      <c r="T136" s="1209"/>
    </row>
    <row r="137" spans="1:20" s="1191" customFormat="1" x14ac:dyDescent="0.2">
      <c r="E137" s="1307">
        <v>0</v>
      </c>
      <c r="F137" s="1203"/>
      <c r="G137" s="1203"/>
      <c r="H137" s="1204" t="s">
        <v>431</v>
      </c>
      <c r="I137" s="1235" t="s">
        <v>161</v>
      </c>
      <c r="J137" s="1314">
        <v>0</v>
      </c>
      <c r="K137" s="1211">
        <f t="shared" si="8"/>
        <v>0</v>
      </c>
      <c r="L137" s="1315"/>
      <c r="M137" s="1244">
        <f t="shared" ref="M137:M146" si="9">K137*$L$147</f>
        <v>0</v>
      </c>
      <c r="N137" s="1209"/>
      <c r="O137" s="1211"/>
      <c r="P137" s="1210"/>
      <c r="Q137" s="1211"/>
      <c r="R137" s="1211"/>
      <c r="S137" s="1211"/>
      <c r="T137" s="1209"/>
    </row>
    <row r="138" spans="1:20" s="1191" customFormat="1" x14ac:dyDescent="0.2">
      <c r="E138" s="1307">
        <v>1</v>
      </c>
      <c r="F138" s="1203"/>
      <c r="G138" s="1203"/>
      <c r="H138" s="1204" t="s">
        <v>424</v>
      </c>
      <c r="I138" s="1235" t="s">
        <v>161</v>
      </c>
      <c r="J138" s="1314">
        <f>167/19.1</f>
        <v>8.7434554973821985</v>
      </c>
      <c r="K138" s="1211">
        <f t="shared" si="8"/>
        <v>874345.54973821982</v>
      </c>
      <c r="L138" s="1315"/>
      <c r="M138" s="1244">
        <f t="shared" si="9"/>
        <v>34973.821989528791</v>
      </c>
      <c r="N138" s="1209"/>
      <c r="O138" s="1211"/>
      <c r="P138" s="1211"/>
      <c r="Q138" s="1211"/>
      <c r="R138" s="1211"/>
      <c r="S138" s="1211"/>
      <c r="T138" s="1209"/>
    </row>
    <row r="139" spans="1:20" s="1191" customFormat="1" x14ac:dyDescent="0.2">
      <c r="E139" s="1307">
        <v>1</v>
      </c>
      <c r="F139" s="1203"/>
      <c r="G139" s="1203"/>
      <c r="H139" s="1204" t="s">
        <v>432</v>
      </c>
      <c r="I139" s="1235" t="s">
        <v>161</v>
      </c>
      <c r="J139" s="1314">
        <v>3</v>
      </c>
      <c r="K139" s="1211">
        <f t="shared" si="8"/>
        <v>300000</v>
      </c>
      <c r="L139" s="1315"/>
      <c r="M139" s="1244">
        <f t="shared" si="9"/>
        <v>12000</v>
      </c>
      <c r="N139" s="1209"/>
      <c r="O139" s="1211"/>
      <c r="P139" s="1211"/>
      <c r="Q139" s="1211"/>
      <c r="R139" s="1211"/>
      <c r="S139" s="1211"/>
      <c r="T139" s="1209"/>
    </row>
    <row r="140" spans="1:20" s="1191" customFormat="1" x14ac:dyDescent="0.2">
      <c r="E140" s="1307">
        <v>1</v>
      </c>
      <c r="F140" s="1203"/>
      <c r="G140" s="1203"/>
      <c r="H140" s="1204" t="s">
        <v>160</v>
      </c>
      <c r="I140" s="1235" t="s">
        <v>161</v>
      </c>
      <c r="J140" s="1314">
        <v>45</v>
      </c>
      <c r="K140" s="1211">
        <f t="shared" si="8"/>
        <v>4500000</v>
      </c>
      <c r="L140" s="1315"/>
      <c r="M140" s="1244">
        <f t="shared" si="9"/>
        <v>180000</v>
      </c>
      <c r="N140" s="1209"/>
      <c r="O140" s="1211"/>
      <c r="P140" s="1211"/>
      <c r="Q140" s="1211"/>
      <c r="R140" s="1211"/>
      <c r="S140" s="1211"/>
      <c r="T140" s="1209"/>
    </row>
    <row r="141" spans="1:20" s="1191" customFormat="1" x14ac:dyDescent="0.2">
      <c r="E141" s="1307">
        <v>1</v>
      </c>
      <c r="F141" s="1203"/>
      <c r="G141" s="1203"/>
      <c r="H141" s="1204" t="s">
        <v>162</v>
      </c>
      <c r="I141" s="1235" t="s">
        <v>161</v>
      </c>
      <c r="J141" s="1316">
        <v>24</v>
      </c>
      <c r="K141" s="1211">
        <f t="shared" si="8"/>
        <v>2400000</v>
      </c>
      <c r="L141" s="1315"/>
      <c r="M141" s="1244">
        <f t="shared" si="9"/>
        <v>96000</v>
      </c>
      <c r="N141" s="1209"/>
      <c r="O141" s="1211"/>
      <c r="P141" s="1211"/>
      <c r="Q141" s="1211"/>
      <c r="R141" s="1211"/>
      <c r="S141" s="1211"/>
      <c r="T141" s="1209"/>
    </row>
    <row r="142" spans="1:20" s="1191" customFormat="1" x14ac:dyDescent="0.2">
      <c r="E142" s="1307">
        <v>1</v>
      </c>
      <c r="F142" s="1203"/>
      <c r="G142" s="1203"/>
      <c r="H142" s="1204" t="s">
        <v>163</v>
      </c>
      <c r="I142" s="1235" t="s">
        <v>161</v>
      </c>
      <c r="J142" s="1316">
        <v>9</v>
      </c>
      <c r="K142" s="1211">
        <f t="shared" si="8"/>
        <v>900000</v>
      </c>
      <c r="L142" s="1315"/>
      <c r="M142" s="1244">
        <f t="shared" si="9"/>
        <v>36000</v>
      </c>
      <c r="N142" s="1209"/>
      <c r="O142" s="1211"/>
      <c r="P142" s="1211"/>
      <c r="Q142" s="1211"/>
      <c r="R142" s="1211"/>
      <c r="S142" s="1211"/>
      <c r="T142" s="1209"/>
    </row>
    <row r="143" spans="1:20" s="1191" customFormat="1" x14ac:dyDescent="0.2">
      <c r="E143" s="1307">
        <v>1</v>
      </c>
      <c r="F143" s="1203"/>
      <c r="G143" s="1203"/>
      <c r="H143" s="1204" t="s">
        <v>433</v>
      </c>
      <c r="I143" s="1235" t="s">
        <v>161</v>
      </c>
      <c r="J143" s="1314">
        <v>15</v>
      </c>
      <c r="K143" s="1211">
        <f t="shared" si="8"/>
        <v>1500000</v>
      </c>
      <c r="L143" s="1315"/>
      <c r="M143" s="1244">
        <f t="shared" si="9"/>
        <v>60000</v>
      </c>
      <c r="N143" s="1209"/>
      <c r="O143" s="1211"/>
      <c r="P143" s="1211"/>
      <c r="Q143" s="1211"/>
      <c r="R143" s="1211"/>
      <c r="S143" s="1211"/>
      <c r="T143" s="1209"/>
    </row>
    <row r="144" spans="1:20" s="1191" customFormat="1" x14ac:dyDescent="0.2">
      <c r="E144" s="1307">
        <v>1</v>
      </c>
      <c r="F144" s="1203"/>
      <c r="G144" s="1203"/>
      <c r="H144" s="1204" t="s">
        <v>434</v>
      </c>
      <c r="I144" s="1235" t="s">
        <v>161</v>
      </c>
      <c r="J144" s="1316">
        <f>1168/19.1-J143</f>
        <v>46.151832460732983</v>
      </c>
      <c r="K144" s="1211">
        <f t="shared" si="8"/>
        <v>4615183.2460732982</v>
      </c>
      <c r="L144" s="1315"/>
      <c r="M144" s="1244">
        <f t="shared" si="9"/>
        <v>184607.32984293194</v>
      </c>
      <c r="N144" s="1209"/>
      <c r="O144" s="1211"/>
      <c r="P144" s="1211"/>
      <c r="Q144" s="1211"/>
      <c r="R144" s="1211"/>
      <c r="S144" s="1211"/>
      <c r="T144" s="1209"/>
    </row>
    <row r="145" spans="1:20" s="1191" customFormat="1" x14ac:dyDescent="0.2">
      <c r="E145" s="1307">
        <v>1</v>
      </c>
      <c r="F145" s="1203"/>
      <c r="G145" s="1203"/>
      <c r="H145" s="1204" t="s">
        <v>167</v>
      </c>
      <c r="I145" s="1235" t="s">
        <v>168</v>
      </c>
      <c r="J145" s="1314">
        <v>80</v>
      </c>
      <c r="K145" s="1211">
        <f t="shared" si="8"/>
        <v>8000000</v>
      </c>
      <c r="L145" s="1315"/>
      <c r="M145" s="1244">
        <f t="shared" si="9"/>
        <v>320000</v>
      </c>
      <c r="N145" s="1209"/>
      <c r="O145" s="1211"/>
      <c r="P145" s="1211"/>
      <c r="Q145" s="1211"/>
      <c r="R145" s="1211"/>
      <c r="S145" s="1211"/>
      <c r="T145" s="1209"/>
    </row>
    <row r="146" spans="1:20" s="1191" customFormat="1" x14ac:dyDescent="0.2">
      <c r="E146" s="1307">
        <v>1</v>
      </c>
      <c r="F146" s="1203"/>
      <c r="G146" s="1203"/>
      <c r="H146" s="1204" t="s">
        <v>169</v>
      </c>
      <c r="I146" s="1235" t="s">
        <v>170</v>
      </c>
      <c r="J146" s="1314">
        <v>350</v>
      </c>
      <c r="K146" s="1211">
        <f>J146*J17*24</f>
        <v>2820720</v>
      </c>
      <c r="L146" s="1315"/>
      <c r="M146" s="1244">
        <f t="shared" si="9"/>
        <v>112828.8</v>
      </c>
      <c r="N146" s="1209"/>
      <c r="O146" s="1210" t="s">
        <v>171</v>
      </c>
      <c r="P146" s="1211"/>
      <c r="Q146" s="1211"/>
      <c r="R146" s="1211"/>
      <c r="S146" s="1211"/>
      <c r="T146" s="1209"/>
    </row>
    <row r="147" spans="1:20" s="1191" customFormat="1" x14ac:dyDescent="0.2">
      <c r="A147" s="1191" t="s">
        <v>707</v>
      </c>
      <c r="B147" s="1191" t="s">
        <v>594</v>
      </c>
      <c r="F147" s="1203"/>
      <c r="G147" s="1203"/>
      <c r="H147" s="1212" t="s">
        <v>172</v>
      </c>
      <c r="I147" s="1235" t="s">
        <v>173</v>
      </c>
      <c r="J147" s="1192"/>
      <c r="K147" s="1256">
        <f>SUM(K136:K146)</f>
        <v>25910248.795811519</v>
      </c>
      <c r="L147" s="1317">
        <v>0.04</v>
      </c>
      <c r="M147" s="1273">
        <f>L147*K147</f>
        <v>1036409.9518324608</v>
      </c>
      <c r="N147" s="1209"/>
      <c r="O147" s="1211"/>
      <c r="P147" s="1211"/>
      <c r="Q147" s="1211"/>
      <c r="R147" s="1211"/>
      <c r="S147" s="1211"/>
      <c r="T147" s="1209"/>
    </row>
    <row r="148" spans="1:20" s="1191" customFormat="1" x14ac:dyDescent="0.2">
      <c r="F148" s="1203"/>
      <c r="G148" s="1203"/>
      <c r="H148" s="1212" t="s">
        <v>174</v>
      </c>
      <c r="I148" s="1235" t="s">
        <v>175</v>
      </c>
      <c r="J148" s="1192"/>
      <c r="K148" s="1211">
        <f>K147/J18</f>
        <v>3214.9901722021436</v>
      </c>
      <c r="L148" s="1216"/>
      <c r="M148" s="1192"/>
      <c r="N148" s="1209"/>
      <c r="O148" s="1211"/>
      <c r="P148" s="1211"/>
      <c r="Q148" s="1211"/>
      <c r="R148" s="1211"/>
      <c r="S148" s="1211"/>
      <c r="T148" s="1209"/>
    </row>
    <row r="149" spans="1:20" s="1191" customFormat="1" x14ac:dyDescent="0.2">
      <c r="F149" s="1203"/>
      <c r="G149" s="1203"/>
      <c r="H149" s="1212"/>
      <c r="I149" s="1245" t="s">
        <v>435</v>
      </c>
      <c r="J149" s="1192"/>
      <c r="K149" s="1244">
        <f>K147/J15/1000</f>
        <v>259.10248795811515</v>
      </c>
      <c r="L149" s="1216"/>
      <c r="M149" s="1192"/>
      <c r="N149" s="1209"/>
      <c r="O149" s="1211"/>
      <c r="P149" s="1211"/>
      <c r="Q149" s="1211"/>
      <c r="R149" s="1211"/>
      <c r="S149" s="1211"/>
      <c r="T149" s="1209"/>
    </row>
    <row r="150" spans="1:20" s="1191" customFormat="1" ht="25.5" x14ac:dyDescent="0.2">
      <c r="F150" s="1203"/>
      <c r="G150" s="1196" t="s">
        <v>176</v>
      </c>
      <c r="H150" s="1275" t="s">
        <v>685</v>
      </c>
      <c r="I150" s="1276" t="s">
        <v>20</v>
      </c>
      <c r="J150" s="1198" t="s">
        <v>71</v>
      </c>
      <c r="K150" s="1198" t="s">
        <v>72</v>
      </c>
      <c r="L150" s="1199" t="s">
        <v>73</v>
      </c>
      <c r="M150" s="1198" t="s">
        <v>437</v>
      </c>
      <c r="N150" s="1202"/>
      <c r="O150" s="1318" t="s">
        <v>76</v>
      </c>
      <c r="P150" s="1187"/>
      <c r="Q150" s="1187"/>
      <c r="R150" s="1187"/>
      <c r="S150" s="1187"/>
      <c r="T150" s="1202"/>
    </row>
    <row r="151" spans="1:20" s="1191" customFormat="1" x14ac:dyDescent="0.2">
      <c r="F151" s="1203"/>
      <c r="G151" s="1203"/>
      <c r="H151" s="1313"/>
      <c r="I151" s="1235" t="s">
        <v>50</v>
      </c>
      <c r="J151" s="1319">
        <f>P151</f>
        <v>0</v>
      </c>
      <c r="K151" s="1211">
        <f>M25</f>
        <v>0</v>
      </c>
      <c r="L151" s="1320"/>
      <c r="M151" s="1211">
        <f>L151*K151</f>
        <v>0</v>
      </c>
      <c r="N151" s="1209"/>
      <c r="O151" s="1210" t="s">
        <v>438</v>
      </c>
      <c r="P151" s="1210"/>
      <c r="Q151" s="1210"/>
      <c r="R151" s="1210"/>
      <c r="S151" s="1211"/>
      <c r="T151" s="1209"/>
    </row>
    <row r="152" spans="1:20" s="1191" customFormat="1" x14ac:dyDescent="0.2">
      <c r="F152" s="1203"/>
      <c r="G152" s="1203"/>
      <c r="H152" s="1204">
        <f>H34</f>
        <v>0</v>
      </c>
      <c r="I152" s="1235" t="s">
        <v>50</v>
      </c>
      <c r="J152" s="1235"/>
      <c r="K152" s="1211">
        <f>M26</f>
        <v>0</v>
      </c>
      <c r="L152" s="1321"/>
      <c r="M152" s="1211">
        <f>L152*K152</f>
        <v>0</v>
      </c>
      <c r="N152" s="1209"/>
      <c r="O152" s="1210" t="s">
        <v>438</v>
      </c>
      <c r="P152" s="1210"/>
      <c r="Q152" s="1210"/>
      <c r="R152" s="1210"/>
      <c r="S152" s="1211"/>
      <c r="T152" s="1209"/>
    </row>
    <row r="153" spans="1:20" s="1191" customFormat="1" x14ac:dyDescent="0.2">
      <c r="F153" s="1203"/>
      <c r="G153" s="1203"/>
      <c r="H153" s="1204"/>
      <c r="I153" s="1235" t="s">
        <v>50</v>
      </c>
      <c r="J153" s="1235"/>
      <c r="K153" s="1211">
        <f>M27</f>
        <v>0</v>
      </c>
      <c r="L153" s="1321"/>
      <c r="M153" s="1211">
        <f>L153*K153</f>
        <v>0</v>
      </c>
      <c r="N153" s="1209"/>
      <c r="O153" s="1210" t="s">
        <v>438</v>
      </c>
      <c r="P153" s="1210"/>
      <c r="Q153" s="1210"/>
      <c r="R153" s="1210"/>
      <c r="S153" s="1211"/>
      <c r="T153" s="1209"/>
    </row>
    <row r="154" spans="1:20" s="1191" customFormat="1" x14ac:dyDescent="0.2">
      <c r="F154" s="1203"/>
      <c r="G154" s="1203"/>
      <c r="H154" s="1204"/>
      <c r="I154" s="1235" t="s">
        <v>50</v>
      </c>
      <c r="J154" s="1235"/>
      <c r="K154" s="1211">
        <f>M28</f>
        <v>0</v>
      </c>
      <c r="L154" s="1320"/>
      <c r="M154" s="1211">
        <f>L154*K154</f>
        <v>0</v>
      </c>
      <c r="N154" s="1209"/>
      <c r="O154" s="1210" t="s">
        <v>439</v>
      </c>
      <c r="P154" s="1210"/>
      <c r="Q154" s="1210"/>
      <c r="R154" s="1210"/>
      <c r="S154" s="1211"/>
      <c r="T154" s="1209"/>
    </row>
    <row r="155" spans="1:20" s="1191" customFormat="1" x14ac:dyDescent="0.2">
      <c r="F155" s="1203"/>
      <c r="G155" s="1203"/>
      <c r="H155" s="1313" t="s">
        <v>686</v>
      </c>
      <c r="I155" s="1235"/>
      <c r="J155" s="1235"/>
      <c r="K155" s="1211">
        <f>K66</f>
        <v>16728.275932488043</v>
      </c>
      <c r="L155" s="1320">
        <v>30</v>
      </c>
      <c r="M155" s="1211">
        <f>L155*K155</f>
        <v>501848.2779746413</v>
      </c>
      <c r="N155" s="1209"/>
      <c r="O155" s="1210"/>
      <c r="P155" s="1210"/>
      <c r="Q155" s="1210"/>
      <c r="R155" s="1210"/>
      <c r="S155" s="1211"/>
      <c r="T155" s="1209"/>
    </row>
    <row r="156" spans="1:20" s="1191" customFormat="1" x14ac:dyDescent="0.2">
      <c r="F156" s="1203"/>
      <c r="G156" s="1203"/>
      <c r="H156" s="1212" t="s">
        <v>440</v>
      </c>
      <c r="I156" s="1235"/>
      <c r="J156" s="1192"/>
      <c r="K156" s="1192"/>
      <c r="L156" s="1216"/>
      <c r="M156" s="1273">
        <f>SUM(M151:M155)</f>
        <v>501848.2779746413</v>
      </c>
      <c r="N156" s="1209"/>
      <c r="O156" s="1211"/>
      <c r="P156" s="1211"/>
      <c r="Q156" s="1211"/>
      <c r="R156" s="1211"/>
      <c r="S156" s="1211"/>
      <c r="T156" s="1209"/>
    </row>
    <row r="157" spans="1:20" s="1191" customFormat="1" x14ac:dyDescent="0.2">
      <c r="F157" s="1203"/>
      <c r="G157" s="1224"/>
      <c r="H157" s="1283"/>
      <c r="I157" s="1284"/>
      <c r="J157" s="1225"/>
      <c r="K157" s="1225"/>
      <c r="L157" s="1227"/>
      <c r="M157" s="1322"/>
      <c r="N157" s="1228"/>
      <c r="O157" s="1229"/>
      <c r="P157" s="1229"/>
      <c r="Q157" s="1229"/>
      <c r="R157" s="1229"/>
      <c r="S157" s="1229"/>
      <c r="T157" s="1228"/>
    </row>
    <row r="158" spans="1:20" s="1191" customFormat="1" ht="38.25" x14ac:dyDescent="0.2">
      <c r="F158" s="1203"/>
      <c r="G158" s="1230" t="s">
        <v>189</v>
      </c>
      <c r="H158" s="1231" t="s">
        <v>441</v>
      </c>
      <c r="I158" s="1232" t="s">
        <v>20</v>
      </c>
      <c r="J158" s="1254" t="s">
        <v>213</v>
      </c>
      <c r="K158" s="1254" t="s">
        <v>72</v>
      </c>
      <c r="L158" s="1289" t="s">
        <v>73</v>
      </c>
      <c r="M158" s="1254" t="s">
        <v>130</v>
      </c>
      <c r="N158" s="1209"/>
      <c r="O158" s="1290" t="s">
        <v>76</v>
      </c>
      <c r="P158" s="1211"/>
      <c r="Q158" s="1366" t="s">
        <v>1017</v>
      </c>
      <c r="R158" s="1366" t="s">
        <v>248</v>
      </c>
      <c r="S158" s="1211"/>
      <c r="T158" s="1209"/>
    </row>
    <row r="159" spans="1:20" s="1191" customFormat="1" x14ac:dyDescent="0.2">
      <c r="F159" s="1203"/>
      <c r="G159" s="1203"/>
      <c r="H159" s="1267" t="s">
        <v>214</v>
      </c>
      <c r="I159" s="1235" t="s">
        <v>215</v>
      </c>
      <c r="J159" s="1211">
        <f>Assumptions!$F$15*R159</f>
        <v>161</v>
      </c>
      <c r="K159" s="1210">
        <f>J15*1000*J47</f>
        <v>78900</v>
      </c>
      <c r="L159" s="1216">
        <f>2.2/32</f>
        <v>6.8750000000000006E-2</v>
      </c>
      <c r="M159" s="1211">
        <f>L159*K159*J159</f>
        <v>873324.375</v>
      </c>
      <c r="N159" s="1209"/>
      <c r="O159" s="1211" t="s">
        <v>687</v>
      </c>
      <c r="P159" s="1211"/>
      <c r="Q159" s="1211" t="s">
        <v>324</v>
      </c>
      <c r="R159" s="1211">
        <f>IF(Q159="yes",1,2)</f>
        <v>1</v>
      </c>
      <c r="S159" s="1211"/>
      <c r="T159" s="1209"/>
    </row>
    <row r="160" spans="1:20" s="1191" customFormat="1" x14ac:dyDescent="0.2">
      <c r="F160" s="1203"/>
      <c r="G160" s="1203"/>
      <c r="H160" s="1245"/>
      <c r="I160" s="1243"/>
      <c r="J160" s="1192"/>
      <c r="K160" s="1220"/>
      <c r="L160" s="1216"/>
      <c r="M160" s="1192"/>
      <c r="N160" s="1209"/>
      <c r="O160" s="1210"/>
      <c r="P160" s="1211"/>
      <c r="Q160" s="1211"/>
      <c r="R160" s="1211"/>
      <c r="S160" s="1211"/>
      <c r="T160" s="1209"/>
    </row>
    <row r="161" spans="1:20" s="1191" customFormat="1" x14ac:dyDescent="0.2">
      <c r="A161" s="1191" t="s">
        <v>710</v>
      </c>
      <c r="B161" s="1191" t="s">
        <v>184</v>
      </c>
      <c r="F161" s="1203"/>
      <c r="G161" s="1203"/>
      <c r="H161" s="1212" t="s">
        <v>216</v>
      </c>
      <c r="I161" s="1243"/>
      <c r="J161" s="1192"/>
      <c r="K161" s="1220"/>
      <c r="L161" s="1216"/>
      <c r="M161" s="1273">
        <f>M159</f>
        <v>873324.375</v>
      </c>
      <c r="N161" s="1209"/>
      <c r="O161" s="1211"/>
      <c r="P161" s="1211"/>
      <c r="Q161" s="1211"/>
      <c r="R161" s="1211"/>
      <c r="S161" s="1211"/>
      <c r="T161" s="1209"/>
    </row>
    <row r="162" spans="1:20" s="1191" customFormat="1" x14ac:dyDescent="0.2">
      <c r="F162" s="1203"/>
      <c r="G162" s="1203"/>
      <c r="H162" s="1212"/>
      <c r="I162" s="1243"/>
      <c r="J162" s="1192"/>
      <c r="K162" s="1220"/>
      <c r="L162" s="1216"/>
      <c r="M162" s="1238"/>
      <c r="N162" s="1209"/>
      <c r="O162" s="1211"/>
      <c r="P162" s="1211"/>
      <c r="Q162" s="1211"/>
      <c r="R162" s="1211"/>
      <c r="S162" s="1211"/>
      <c r="T162" s="1209"/>
    </row>
    <row r="163" spans="1:20" s="1191" customFormat="1" ht="25.5" x14ac:dyDescent="0.2">
      <c r="F163" s="1203"/>
      <c r="G163" s="1196" t="s">
        <v>211</v>
      </c>
      <c r="H163" s="1275" t="s">
        <v>218</v>
      </c>
      <c r="I163" s="1276" t="s">
        <v>20</v>
      </c>
      <c r="J163" s="1198" t="s">
        <v>213</v>
      </c>
      <c r="K163" s="1198" t="s">
        <v>72</v>
      </c>
      <c r="L163" s="1199" t="s">
        <v>73</v>
      </c>
      <c r="M163" s="1198" t="s">
        <v>130</v>
      </c>
      <c r="N163" s="1202"/>
      <c r="O163" s="1318" t="s">
        <v>76</v>
      </c>
      <c r="P163" s="1187"/>
      <c r="Q163" s="1187"/>
      <c r="R163" s="1187"/>
      <c r="S163" s="1187"/>
      <c r="T163" s="1202"/>
    </row>
    <row r="164" spans="1:20" s="1191" customFormat="1" x14ac:dyDescent="0.2">
      <c r="F164" s="1203"/>
      <c r="G164" s="1230"/>
      <c r="H164" s="1204" t="s">
        <v>442</v>
      </c>
      <c r="I164" s="1235" t="s">
        <v>220</v>
      </c>
      <c r="J164" s="1263">
        <v>0</v>
      </c>
      <c r="K164" s="1210">
        <f>SUM(I252:I254)*1000000</f>
        <v>5000000</v>
      </c>
      <c r="L164" s="1323"/>
      <c r="M164" s="1244">
        <f t="shared" ref="M164:M169" si="10">J164*K164</f>
        <v>0</v>
      </c>
      <c r="N164" s="1209"/>
      <c r="O164" s="1290"/>
      <c r="P164" s="1211"/>
      <c r="Q164" s="1211"/>
      <c r="R164" s="1211"/>
      <c r="S164" s="1211"/>
      <c r="T164" s="1209"/>
    </row>
    <row r="165" spans="1:20" s="1191" customFormat="1" x14ac:dyDescent="0.2">
      <c r="F165" s="1203"/>
      <c r="G165" s="1230"/>
      <c r="H165" s="1204" t="s">
        <v>443</v>
      </c>
      <c r="I165" s="1235" t="s">
        <v>220</v>
      </c>
      <c r="J165" s="1263">
        <v>0.03</v>
      </c>
      <c r="K165" s="1210">
        <f>SUM(I255:I258)*1000000</f>
        <v>50000000</v>
      </c>
      <c r="L165" s="1323"/>
      <c r="M165" s="1244">
        <f t="shared" si="10"/>
        <v>1500000</v>
      </c>
      <c r="N165" s="1209"/>
      <c r="O165" s="1290"/>
      <c r="P165" s="1211"/>
      <c r="Q165" s="1211"/>
      <c r="R165" s="1211"/>
      <c r="S165" s="1211"/>
      <c r="T165" s="1209"/>
    </row>
    <row r="166" spans="1:20" s="1191" customFormat="1" x14ac:dyDescent="0.2">
      <c r="F166" s="1203"/>
      <c r="G166" s="1230"/>
      <c r="H166" s="1204" t="s">
        <v>444</v>
      </c>
      <c r="I166" s="1235" t="s">
        <v>220</v>
      </c>
      <c r="J166" s="1263">
        <v>0.03</v>
      </c>
      <c r="K166" s="1210">
        <f>SUM(I259:I260)*1000000</f>
        <v>11000000</v>
      </c>
      <c r="L166" s="1323"/>
      <c r="M166" s="1244">
        <f t="shared" si="10"/>
        <v>330000</v>
      </c>
      <c r="N166" s="1209"/>
      <c r="O166" s="1211"/>
      <c r="P166" s="1211"/>
      <c r="Q166" s="1211"/>
      <c r="R166" s="1211"/>
      <c r="S166" s="1211"/>
      <c r="T166" s="1209"/>
    </row>
    <row r="167" spans="1:20" s="1191" customFormat="1" x14ac:dyDescent="0.2">
      <c r="F167" s="1203"/>
      <c r="G167" s="1230"/>
      <c r="H167" s="1204" t="s">
        <v>221</v>
      </c>
      <c r="I167" s="1235" t="s">
        <v>220</v>
      </c>
      <c r="J167" s="1263">
        <v>0.03</v>
      </c>
      <c r="K167" s="1191">
        <f>I261*1000000</f>
        <v>13000000</v>
      </c>
      <c r="L167" s="1323"/>
      <c r="M167" s="1244">
        <f t="shared" si="10"/>
        <v>390000</v>
      </c>
      <c r="N167" s="1209"/>
      <c r="O167" s="1211"/>
      <c r="P167" s="1211"/>
      <c r="Q167" s="1211"/>
      <c r="R167" s="1211"/>
      <c r="S167" s="1211"/>
      <c r="T167" s="1209"/>
    </row>
    <row r="168" spans="1:20" s="1191" customFormat="1" x14ac:dyDescent="0.2">
      <c r="F168" s="1203"/>
      <c r="G168" s="1230"/>
      <c r="H168" s="1204" t="s">
        <v>222</v>
      </c>
      <c r="I168" s="1235" t="s">
        <v>220</v>
      </c>
      <c r="J168" s="1263">
        <v>0.03</v>
      </c>
      <c r="K168" s="1210">
        <f>I262*1000000</f>
        <v>10000000</v>
      </c>
      <c r="L168" s="1323"/>
      <c r="M168" s="1244">
        <f t="shared" si="10"/>
        <v>300000</v>
      </c>
      <c r="N168" s="1209"/>
      <c r="O168" s="1211"/>
      <c r="P168" s="1211"/>
      <c r="Q168" s="1211"/>
      <c r="R168" s="1211"/>
      <c r="S168" s="1211"/>
      <c r="T168" s="1209"/>
    </row>
    <row r="169" spans="1:20" s="1191" customFormat="1" x14ac:dyDescent="0.2">
      <c r="F169" s="1203"/>
      <c r="G169" s="1230"/>
      <c r="H169" s="1204" t="s">
        <v>129</v>
      </c>
      <c r="I169" s="1235" t="s">
        <v>220</v>
      </c>
      <c r="J169" s="1263">
        <v>0.03</v>
      </c>
      <c r="K169" s="1210">
        <f>SUM(J263,J268:K268)*1000000</f>
        <v>15132500</v>
      </c>
      <c r="L169" s="1323"/>
      <c r="M169" s="1244">
        <f t="shared" si="10"/>
        <v>453975</v>
      </c>
      <c r="N169" s="1209"/>
      <c r="O169" s="1211"/>
      <c r="P169" s="1211"/>
      <c r="Q169" s="1211"/>
      <c r="R169" s="1211"/>
      <c r="S169" s="1211"/>
      <c r="T169" s="1209"/>
    </row>
    <row r="170" spans="1:20" s="1191" customFormat="1" x14ac:dyDescent="0.2">
      <c r="A170" s="1191" t="s">
        <v>711</v>
      </c>
      <c r="B170" s="1191" t="s">
        <v>218</v>
      </c>
      <c r="F170" s="1203"/>
      <c r="G170" s="1230"/>
      <c r="H170" s="1212" t="s">
        <v>445</v>
      </c>
      <c r="I170" s="1235"/>
      <c r="J170" s="1204"/>
      <c r="K170" s="1204"/>
      <c r="L170" s="1216"/>
      <c r="M170" s="1273">
        <f>SUM(M164:M169)</f>
        <v>2973975</v>
      </c>
      <c r="N170" s="1209"/>
      <c r="O170" s="1211"/>
      <c r="P170" s="1211"/>
      <c r="Q170" s="1211"/>
      <c r="R170" s="1211"/>
      <c r="S170" s="1211"/>
      <c r="T170" s="1209"/>
    </row>
    <row r="171" spans="1:20" s="1191" customFormat="1" x14ac:dyDescent="0.2">
      <c r="F171" s="1203"/>
      <c r="G171" s="1324"/>
      <c r="H171" s="1325"/>
      <c r="I171" s="1284"/>
      <c r="J171" s="1325"/>
      <c r="K171" s="1325"/>
      <c r="L171" s="1227"/>
      <c r="M171" s="1225"/>
      <c r="N171" s="1228"/>
      <c r="O171" s="1229"/>
      <c r="P171" s="1229"/>
      <c r="Q171" s="1229"/>
      <c r="R171" s="1229"/>
      <c r="S171" s="1229"/>
      <c r="T171" s="1228"/>
    </row>
    <row r="172" spans="1:20" s="1191" customFormat="1" ht="25.5" x14ac:dyDescent="0.2">
      <c r="F172" s="1203"/>
      <c r="G172" s="1196" t="s">
        <v>217</v>
      </c>
      <c r="H172" s="1275" t="s">
        <v>190</v>
      </c>
      <c r="I172" s="1276" t="s">
        <v>20</v>
      </c>
      <c r="J172" s="1198" t="s">
        <v>71</v>
      </c>
      <c r="K172" s="1198" t="s">
        <v>72</v>
      </c>
      <c r="L172" s="1199" t="s">
        <v>73</v>
      </c>
      <c r="M172" s="1198" t="s">
        <v>130</v>
      </c>
      <c r="N172" s="1202"/>
      <c r="O172" s="1318" t="s">
        <v>76</v>
      </c>
      <c r="P172" s="1187"/>
      <c r="Q172" s="1187"/>
      <c r="R172" s="1187"/>
      <c r="S172" s="1187"/>
      <c r="T172" s="1202"/>
    </row>
    <row r="173" spans="1:20" s="1191" customFormat="1" x14ac:dyDescent="0.2">
      <c r="F173" s="1203"/>
      <c r="G173" s="1203"/>
      <c r="H173" s="1204" t="s">
        <v>191</v>
      </c>
      <c r="I173" s="1235" t="s">
        <v>192</v>
      </c>
      <c r="J173" s="1326">
        <v>1</v>
      </c>
      <c r="K173" s="1327">
        <f t="shared" ref="K173:K181" si="11">J173</f>
        <v>1</v>
      </c>
      <c r="L173" s="1274">
        <v>185000</v>
      </c>
      <c r="M173" s="1244">
        <f t="shared" ref="M173:M183" si="12">K173*L173</f>
        <v>185000</v>
      </c>
      <c r="N173" s="1209"/>
      <c r="O173" s="1211"/>
      <c r="P173" s="1211"/>
      <c r="Q173" s="1211"/>
      <c r="R173" s="1211"/>
      <c r="S173" s="1211"/>
      <c r="T173" s="1209"/>
    </row>
    <row r="174" spans="1:20" s="1191" customFormat="1" x14ac:dyDescent="0.2">
      <c r="F174" s="1203"/>
      <c r="G174" s="1203"/>
      <c r="H174" s="1204" t="s">
        <v>193</v>
      </c>
      <c r="I174" s="1235" t="s">
        <v>192</v>
      </c>
      <c r="J174" s="1326">
        <v>1</v>
      </c>
      <c r="K174" s="1327">
        <f t="shared" si="11"/>
        <v>1</v>
      </c>
      <c r="L174" s="1274">
        <v>145000</v>
      </c>
      <c r="M174" s="1244">
        <f t="shared" si="12"/>
        <v>145000</v>
      </c>
      <c r="N174" s="1209"/>
      <c r="O174" s="1211"/>
      <c r="P174" s="1211"/>
      <c r="Q174" s="1211"/>
      <c r="R174" s="1211"/>
      <c r="S174" s="1211"/>
      <c r="T174" s="1209"/>
    </row>
    <row r="175" spans="1:20" s="1191" customFormat="1" x14ac:dyDescent="0.2">
      <c r="F175" s="1203"/>
      <c r="G175" s="1203"/>
      <c r="H175" s="1204" t="s">
        <v>194</v>
      </c>
      <c r="I175" s="1235" t="s">
        <v>192</v>
      </c>
      <c r="J175" s="1326">
        <v>1</v>
      </c>
      <c r="K175" s="1327">
        <f t="shared" si="11"/>
        <v>1</v>
      </c>
      <c r="L175" s="1274">
        <v>155000</v>
      </c>
      <c r="M175" s="1244">
        <f t="shared" si="12"/>
        <v>155000</v>
      </c>
      <c r="N175" s="1209"/>
      <c r="O175" s="1328" t="s">
        <v>495</v>
      </c>
      <c r="P175" s="1211"/>
      <c r="Q175" s="1211"/>
      <c r="R175" s="1211"/>
      <c r="S175" s="1211"/>
      <c r="T175" s="1209"/>
    </row>
    <row r="176" spans="1:20" s="1191" customFormat="1" x14ac:dyDescent="0.2">
      <c r="F176" s="1203"/>
      <c r="G176" s="1203"/>
      <c r="H176" s="1204" t="s">
        <v>195</v>
      </c>
      <c r="I176" s="1235" t="s">
        <v>192</v>
      </c>
      <c r="J176" s="1326">
        <v>2</v>
      </c>
      <c r="K176" s="1327">
        <f t="shared" si="11"/>
        <v>2</v>
      </c>
      <c r="L176" s="1274">
        <v>75000</v>
      </c>
      <c r="M176" s="1244">
        <f t="shared" si="12"/>
        <v>150000</v>
      </c>
      <c r="N176" s="1209"/>
      <c r="O176" s="1210" t="s">
        <v>446</v>
      </c>
      <c r="P176" s="1211"/>
      <c r="Q176" s="1211"/>
      <c r="R176" s="1211"/>
      <c r="S176" s="1211"/>
      <c r="T176" s="1209"/>
    </row>
    <row r="177" spans="1:20" s="1191" customFormat="1" x14ac:dyDescent="0.2">
      <c r="F177" s="1203"/>
      <c r="G177" s="1203"/>
      <c r="H177" s="1204" t="s">
        <v>197</v>
      </c>
      <c r="I177" s="1235" t="s">
        <v>192</v>
      </c>
      <c r="J177" s="1326">
        <v>1</v>
      </c>
      <c r="K177" s="1327">
        <f t="shared" si="11"/>
        <v>1</v>
      </c>
      <c r="L177" s="1274">
        <v>145000</v>
      </c>
      <c r="M177" s="1244">
        <f t="shared" si="12"/>
        <v>145000</v>
      </c>
      <c r="N177" s="1209"/>
      <c r="O177" s="1211"/>
      <c r="P177" s="1211"/>
      <c r="Q177" s="1211"/>
      <c r="R177" s="1211"/>
      <c r="S177" s="1211"/>
      <c r="T177" s="1209"/>
    </row>
    <row r="178" spans="1:20" s="1191" customFormat="1" x14ac:dyDescent="0.2">
      <c r="F178" s="1203"/>
      <c r="G178" s="1203"/>
      <c r="H178" s="1204" t="s">
        <v>198</v>
      </c>
      <c r="I178" s="1235" t="s">
        <v>192</v>
      </c>
      <c r="J178" s="1326">
        <v>2</v>
      </c>
      <c r="K178" s="1327">
        <f t="shared" si="11"/>
        <v>2</v>
      </c>
      <c r="L178" s="1274">
        <v>145000</v>
      </c>
      <c r="M178" s="1244">
        <f t="shared" si="12"/>
        <v>290000</v>
      </c>
      <c r="N178" s="1209"/>
      <c r="O178" s="1211"/>
      <c r="P178" s="1211"/>
      <c r="Q178" s="1211"/>
      <c r="R178" s="1211"/>
      <c r="S178" s="1211"/>
      <c r="T178" s="1209"/>
    </row>
    <row r="179" spans="1:20" s="1191" customFormat="1" x14ac:dyDescent="0.2">
      <c r="F179" s="1203"/>
      <c r="G179" s="1203"/>
      <c r="H179" s="1204" t="s">
        <v>199</v>
      </c>
      <c r="I179" s="1235" t="s">
        <v>192</v>
      </c>
      <c r="J179" s="1326">
        <v>4</v>
      </c>
      <c r="K179" s="1327">
        <f t="shared" si="11"/>
        <v>4</v>
      </c>
      <c r="L179" s="1274">
        <v>75000</v>
      </c>
      <c r="M179" s="1244">
        <f t="shared" si="12"/>
        <v>300000</v>
      </c>
      <c r="N179" s="1209"/>
      <c r="O179" s="1328" t="s">
        <v>493</v>
      </c>
      <c r="P179" s="1211"/>
      <c r="Q179" s="1211"/>
      <c r="R179" s="1211"/>
      <c r="S179" s="1211"/>
      <c r="T179" s="1209"/>
    </row>
    <row r="180" spans="1:20" s="1191" customFormat="1" x14ac:dyDescent="0.2">
      <c r="F180" s="1203"/>
      <c r="G180" s="1203"/>
      <c r="H180" s="1204" t="s">
        <v>200</v>
      </c>
      <c r="I180" s="1235" t="s">
        <v>192</v>
      </c>
      <c r="J180" s="1326">
        <v>1</v>
      </c>
      <c r="K180" s="1327">
        <f t="shared" si="11"/>
        <v>1</v>
      </c>
      <c r="L180" s="1274">
        <v>55000</v>
      </c>
      <c r="M180" s="1244">
        <f t="shared" si="12"/>
        <v>55000</v>
      </c>
      <c r="N180" s="1209"/>
      <c r="O180" s="1211"/>
      <c r="P180" s="1211"/>
      <c r="Q180" s="1211"/>
      <c r="R180" s="1211"/>
      <c r="S180" s="1211"/>
      <c r="T180" s="1209"/>
    </row>
    <row r="181" spans="1:20" s="1191" customFormat="1" x14ac:dyDescent="0.2">
      <c r="F181" s="1203"/>
      <c r="G181" s="1203"/>
      <c r="H181" s="1204" t="s">
        <v>201</v>
      </c>
      <c r="I181" s="1235" t="s">
        <v>192</v>
      </c>
      <c r="J181" s="1326">
        <v>1</v>
      </c>
      <c r="K181" s="1327">
        <f t="shared" si="11"/>
        <v>1</v>
      </c>
      <c r="L181" s="1274">
        <v>65000</v>
      </c>
      <c r="M181" s="1244">
        <f t="shared" si="12"/>
        <v>65000</v>
      </c>
      <c r="N181" s="1209"/>
      <c r="O181" s="1210" t="s">
        <v>203</v>
      </c>
      <c r="P181" s="1211"/>
      <c r="Q181" s="1211"/>
      <c r="R181" s="1211"/>
      <c r="S181" s="1211"/>
      <c r="T181" s="1209"/>
    </row>
    <row r="182" spans="1:20" s="1191" customFormat="1" x14ac:dyDescent="0.2">
      <c r="F182" s="1203"/>
      <c r="G182" s="1203"/>
      <c r="H182" s="1204" t="s">
        <v>202</v>
      </c>
      <c r="I182" s="1235" t="s">
        <v>192</v>
      </c>
      <c r="J182" s="1326">
        <v>2</v>
      </c>
      <c r="K182" s="1329">
        <f>J182*P182</f>
        <v>6</v>
      </c>
      <c r="L182" s="1274">
        <v>50000</v>
      </c>
      <c r="M182" s="1244">
        <f t="shared" si="12"/>
        <v>300000</v>
      </c>
      <c r="N182" s="1209"/>
      <c r="O182" s="1330" t="s">
        <v>206</v>
      </c>
      <c r="P182" s="1236">
        <v>3</v>
      </c>
      <c r="Q182" s="1211"/>
      <c r="R182" s="1211"/>
      <c r="S182" s="1211"/>
      <c r="T182" s="1209"/>
    </row>
    <row r="183" spans="1:20" s="1191" customFormat="1" x14ac:dyDescent="0.2">
      <c r="F183" s="1203"/>
      <c r="G183" s="1203"/>
      <c r="H183" s="1204" t="s">
        <v>204</v>
      </c>
      <c r="I183" s="1235" t="s">
        <v>205</v>
      </c>
      <c r="J183" s="1326">
        <v>3</v>
      </c>
      <c r="K183" s="1327">
        <f>J183*P183</f>
        <v>12</v>
      </c>
      <c r="L183" s="1274">
        <v>65000</v>
      </c>
      <c r="M183" s="1244">
        <f t="shared" si="12"/>
        <v>780000</v>
      </c>
      <c r="N183" s="1209"/>
      <c r="O183" s="1210" t="s">
        <v>206</v>
      </c>
      <c r="P183" s="1236">
        <v>4</v>
      </c>
      <c r="Q183" s="1210"/>
      <c r="R183" s="1328" t="s">
        <v>494</v>
      </c>
      <c r="S183" s="1211"/>
      <c r="T183" s="1209"/>
    </row>
    <row r="184" spans="1:20" s="1191" customFormat="1" x14ac:dyDescent="0.2">
      <c r="F184" s="1203"/>
      <c r="G184" s="1203"/>
      <c r="H184" s="1245" t="s">
        <v>207</v>
      </c>
      <c r="I184" s="1243"/>
      <c r="J184" s="1192"/>
      <c r="K184" s="1331">
        <f>SUM(K173:K183)</f>
        <v>32</v>
      </c>
      <c r="L184" s="1216"/>
      <c r="M184" s="1312">
        <f>SUM(M173:M183)</f>
        <v>2570000</v>
      </c>
      <c r="N184" s="1209"/>
      <c r="O184" s="1211"/>
      <c r="P184" s="1211"/>
      <c r="Q184" s="1211"/>
      <c r="R184" s="1211"/>
      <c r="S184" s="1211"/>
      <c r="T184" s="1209"/>
    </row>
    <row r="185" spans="1:20" s="1191" customFormat="1" x14ac:dyDescent="0.2">
      <c r="F185" s="1203"/>
      <c r="G185" s="1203"/>
      <c r="H185" s="1245" t="s">
        <v>208</v>
      </c>
      <c r="I185" s="1235" t="s">
        <v>209</v>
      </c>
      <c r="J185" s="1332">
        <v>0.2</v>
      </c>
      <c r="K185" s="1238">
        <f>M184</f>
        <v>2570000</v>
      </c>
      <c r="L185" s="1216"/>
      <c r="M185" s="1244">
        <f>K185*J185</f>
        <v>514000</v>
      </c>
      <c r="N185" s="1209"/>
      <c r="O185" s="1211"/>
      <c r="P185" s="1211"/>
      <c r="Q185" s="1211"/>
      <c r="R185" s="1211"/>
      <c r="S185" s="1211"/>
      <c r="T185" s="1209"/>
    </row>
    <row r="186" spans="1:20" s="1191" customFormat="1" x14ac:dyDescent="0.2">
      <c r="A186" s="1191" t="s">
        <v>709</v>
      </c>
      <c r="B186" s="1191" t="s">
        <v>190</v>
      </c>
      <c r="F186" s="1203"/>
      <c r="G186" s="1203"/>
      <c r="H186" s="1212" t="s">
        <v>210</v>
      </c>
      <c r="I186" s="1243"/>
      <c r="J186" s="1192"/>
      <c r="K186" s="1220"/>
      <c r="L186" s="1216"/>
      <c r="M186" s="1256">
        <f>SUM(M184:M185)</f>
        <v>3084000</v>
      </c>
      <c r="N186" s="1209"/>
      <c r="O186" s="1211"/>
      <c r="P186" s="1211"/>
      <c r="Q186" s="1211"/>
      <c r="R186" s="1211"/>
      <c r="S186" s="1211"/>
      <c r="T186" s="1209"/>
    </row>
    <row r="187" spans="1:20" s="1191" customFormat="1" x14ac:dyDescent="0.2">
      <c r="F187" s="1203"/>
      <c r="G187" s="1224"/>
      <c r="H187" s="1303"/>
      <c r="I187" s="1226"/>
      <c r="J187" s="1225"/>
      <c r="K187" s="1302"/>
      <c r="L187" s="1227"/>
      <c r="M187" s="1225"/>
      <c r="N187" s="1228"/>
      <c r="O187" s="1229"/>
      <c r="P187" s="1229"/>
      <c r="Q187" s="1229"/>
      <c r="R187" s="1229"/>
      <c r="S187" s="1229"/>
      <c r="T187" s="1228"/>
    </row>
    <row r="188" spans="1:20" s="1191" customFormat="1" ht="25.5" x14ac:dyDescent="0.2">
      <c r="F188" s="1203"/>
      <c r="G188" s="1196" t="s">
        <v>447</v>
      </c>
      <c r="H188" s="1275" t="s">
        <v>448</v>
      </c>
      <c r="I188" s="1276" t="s">
        <v>20</v>
      </c>
      <c r="J188" s="1198" t="s">
        <v>213</v>
      </c>
      <c r="K188" s="1198" t="s">
        <v>72</v>
      </c>
      <c r="L188" s="1199" t="s">
        <v>73</v>
      </c>
      <c r="M188" s="1198" t="s">
        <v>130</v>
      </c>
      <c r="N188" s="1202"/>
      <c r="O188" s="1318" t="s">
        <v>76</v>
      </c>
      <c r="P188" s="1211"/>
      <c r="Q188" s="1211"/>
      <c r="R188" s="1211"/>
      <c r="S188" s="1211"/>
      <c r="T188" s="1209"/>
    </row>
    <row r="189" spans="1:20" s="1191" customFormat="1" x14ac:dyDescent="0.2">
      <c r="F189" s="1203"/>
      <c r="G189" s="1203"/>
      <c r="H189" s="1204" t="s">
        <v>224</v>
      </c>
      <c r="I189" s="1235" t="s">
        <v>225</v>
      </c>
      <c r="J189" s="1294">
        <v>20</v>
      </c>
      <c r="K189" s="1192">
        <f>J189</f>
        <v>20</v>
      </c>
      <c r="L189" s="1274">
        <v>2000</v>
      </c>
      <c r="M189" s="1211">
        <f>L189*K189</f>
        <v>40000</v>
      </c>
      <c r="N189" s="1209"/>
      <c r="O189" s="1211"/>
      <c r="P189" s="1211"/>
      <c r="Q189" s="1211"/>
      <c r="R189" s="1211"/>
      <c r="S189" s="1211"/>
      <c r="T189" s="1209"/>
    </row>
    <row r="190" spans="1:20" s="1191" customFormat="1" x14ac:dyDescent="0.2">
      <c r="F190" s="1203"/>
      <c r="G190" s="1203"/>
      <c r="H190" s="1204" t="s">
        <v>226</v>
      </c>
      <c r="I190" s="1235" t="s">
        <v>227</v>
      </c>
      <c r="J190" s="1294"/>
      <c r="K190" s="1192"/>
      <c r="L190" s="1208"/>
      <c r="M190" s="1211">
        <f>L190*K190</f>
        <v>0</v>
      </c>
      <c r="N190" s="1209"/>
      <c r="O190" s="1210" t="s">
        <v>228</v>
      </c>
      <c r="P190" s="1211"/>
      <c r="Q190" s="1211"/>
      <c r="R190" s="1211"/>
      <c r="S190" s="1211"/>
      <c r="T190" s="1209"/>
    </row>
    <row r="191" spans="1:20" s="1191" customFormat="1" x14ac:dyDescent="0.2">
      <c r="F191" s="1203"/>
      <c r="G191" s="1203"/>
      <c r="H191" s="1204" t="s">
        <v>229</v>
      </c>
      <c r="I191" s="1235" t="s">
        <v>227</v>
      </c>
      <c r="J191" s="1236">
        <v>1</v>
      </c>
      <c r="K191" s="1211">
        <f>J191</f>
        <v>1</v>
      </c>
      <c r="L191" s="1274">
        <v>150000</v>
      </c>
      <c r="M191" s="1211">
        <f>L191*K191</f>
        <v>150000</v>
      </c>
      <c r="N191" s="1209"/>
      <c r="O191" s="1211"/>
      <c r="P191" s="1211"/>
      <c r="Q191" s="1211"/>
      <c r="R191" s="1211"/>
      <c r="S191" s="1211"/>
      <c r="T191" s="1209"/>
    </row>
    <row r="192" spans="1:20" s="1191" customFormat="1" x14ac:dyDescent="0.2">
      <c r="F192" s="1203"/>
      <c r="G192" s="1203"/>
      <c r="H192" s="1204" t="s">
        <v>449</v>
      </c>
      <c r="I192" s="1235" t="s">
        <v>227</v>
      </c>
      <c r="J192" s="1236">
        <v>1</v>
      </c>
      <c r="K192" s="1211">
        <f>J192</f>
        <v>1</v>
      </c>
      <c r="L192" s="1274">
        <v>1000000</v>
      </c>
      <c r="M192" s="1211">
        <f>L192*K192</f>
        <v>1000000</v>
      </c>
      <c r="N192" s="1209"/>
      <c r="O192" s="1211"/>
      <c r="P192" s="1211"/>
      <c r="Q192" s="1211"/>
      <c r="R192" s="1211"/>
      <c r="S192" s="1211"/>
      <c r="T192" s="1209"/>
    </row>
    <row r="193" spans="1:27" s="1191" customFormat="1" x14ac:dyDescent="0.2">
      <c r="F193" s="1203"/>
      <c r="G193" s="1203"/>
      <c r="H193" s="1204" t="s">
        <v>231</v>
      </c>
      <c r="I193" s="1235" t="s">
        <v>220</v>
      </c>
      <c r="J193" s="1333">
        <v>3.0000000000000001E-3</v>
      </c>
      <c r="K193" s="1334">
        <f>SUM(J270:K270)*1000000</f>
        <v>144457499.99999997</v>
      </c>
      <c r="L193" s="1208">
        <f>K193*J193</f>
        <v>433372.49999999994</v>
      </c>
      <c r="M193" s="1211">
        <f>L193</f>
        <v>433372.49999999994</v>
      </c>
      <c r="N193" s="1209"/>
      <c r="O193" s="1211"/>
      <c r="P193" s="1211"/>
      <c r="Q193" s="1211"/>
      <c r="R193" s="1211"/>
      <c r="S193" s="1211"/>
      <c r="T193" s="1209"/>
    </row>
    <row r="194" spans="1:27" s="1191" customFormat="1" x14ac:dyDescent="0.2">
      <c r="F194" s="1203"/>
      <c r="G194" s="1203"/>
      <c r="H194" s="1204" t="s">
        <v>232</v>
      </c>
      <c r="I194" s="1235" t="s">
        <v>233</v>
      </c>
      <c r="J194" s="1335">
        <v>75</v>
      </c>
      <c r="K194" s="1244">
        <f>J194</f>
        <v>75</v>
      </c>
      <c r="L194" s="1274">
        <v>1000</v>
      </c>
      <c r="M194" s="1211">
        <f>L194*K194</f>
        <v>75000</v>
      </c>
      <c r="N194" s="1209"/>
      <c r="O194" s="1211"/>
      <c r="P194" s="1211"/>
      <c r="Q194" s="1211"/>
      <c r="R194" s="1211"/>
      <c r="S194" s="1211"/>
      <c r="T194" s="1209"/>
    </row>
    <row r="195" spans="1:27" s="1191" customFormat="1" x14ac:dyDescent="0.2">
      <c r="F195" s="1203"/>
      <c r="G195" s="1203"/>
      <c r="H195" s="1204" t="s">
        <v>234</v>
      </c>
      <c r="I195" s="1235" t="s">
        <v>235</v>
      </c>
      <c r="J195" s="1294">
        <v>200</v>
      </c>
      <c r="K195" s="1240">
        <f>J17</f>
        <v>335.8</v>
      </c>
      <c r="L195" s="1208">
        <f>K195*J195</f>
        <v>67160</v>
      </c>
      <c r="M195" s="1211">
        <f>L195</f>
        <v>67160</v>
      </c>
      <c r="N195" s="1209"/>
      <c r="O195" s="1211"/>
      <c r="P195" s="1211"/>
      <c r="Q195" s="1211"/>
      <c r="R195" s="1211"/>
      <c r="S195" s="1211"/>
      <c r="T195" s="1209"/>
    </row>
    <row r="196" spans="1:27" x14ac:dyDescent="0.2">
      <c r="A196" s="1107" t="s">
        <v>712</v>
      </c>
      <c r="B196" s="1107" t="s">
        <v>448</v>
      </c>
      <c r="F196" s="1203"/>
      <c r="G196" s="1203"/>
      <c r="H196" s="1212" t="s">
        <v>364</v>
      </c>
      <c r="I196" s="1243"/>
      <c r="J196" s="1192"/>
      <c r="K196" s="1192"/>
      <c r="L196" s="1216"/>
      <c r="M196" s="1256">
        <f>SUM(M189:M195)</f>
        <v>1765532.5</v>
      </c>
      <c r="N196" s="1209"/>
      <c r="O196" s="1211"/>
      <c r="P196" s="1211"/>
      <c r="Q196" s="1211"/>
      <c r="R196" s="1211"/>
      <c r="S196" s="1211"/>
      <c r="T196" s="1209"/>
    </row>
    <row r="197" spans="1:27" x14ac:dyDescent="0.2">
      <c r="F197" s="1203"/>
      <c r="G197" s="1203"/>
      <c r="H197" s="1212"/>
      <c r="I197" s="1243"/>
      <c r="J197" s="1192"/>
      <c r="K197" s="1192"/>
      <c r="L197" s="1216"/>
      <c r="M197" s="1192"/>
      <c r="N197" s="1209"/>
      <c r="O197" s="1211"/>
      <c r="P197" s="1211"/>
      <c r="Q197" s="1211"/>
      <c r="R197" s="1211"/>
      <c r="S197" s="1211"/>
      <c r="T197" s="1209"/>
    </row>
    <row r="198" spans="1:27" ht="25.5" x14ac:dyDescent="0.2">
      <c r="F198" s="1203"/>
      <c r="G198" s="1196" t="s">
        <v>450</v>
      </c>
      <c r="H198" s="1336" t="s">
        <v>451</v>
      </c>
      <c r="I198" s="1276" t="s">
        <v>20</v>
      </c>
      <c r="J198" s="1198" t="s">
        <v>213</v>
      </c>
      <c r="K198" s="1198" t="s">
        <v>72</v>
      </c>
      <c r="L198" s="1199" t="s">
        <v>73</v>
      </c>
      <c r="M198" s="1198" t="s">
        <v>130</v>
      </c>
      <c r="N198" s="1202"/>
      <c r="O198" s="1318" t="s">
        <v>76</v>
      </c>
      <c r="P198" s="1187"/>
      <c r="Q198" s="1187"/>
      <c r="R198" s="1187"/>
      <c r="S198" s="1187"/>
      <c r="T198" s="1202"/>
    </row>
    <row r="199" spans="1:27" x14ac:dyDescent="0.2">
      <c r="F199" s="1203"/>
      <c r="G199" s="1203"/>
      <c r="H199" s="1204" t="s">
        <v>237</v>
      </c>
      <c r="I199" s="1235" t="s">
        <v>238</v>
      </c>
      <c r="J199" s="1294"/>
      <c r="K199" s="1192"/>
      <c r="L199" s="1299"/>
      <c r="M199" s="1192"/>
      <c r="N199" s="1209"/>
      <c r="O199" s="1211"/>
      <c r="P199" s="1211"/>
      <c r="Q199" s="1211"/>
      <c r="R199" s="1211"/>
      <c r="S199" s="1211"/>
      <c r="T199" s="1209"/>
    </row>
    <row r="200" spans="1:27" ht="14.25" x14ac:dyDescent="0.2">
      <c r="F200" s="1203"/>
      <c r="G200" s="1203"/>
      <c r="H200" s="1204" t="s">
        <v>221</v>
      </c>
      <c r="I200" s="1235" t="s">
        <v>239</v>
      </c>
      <c r="J200" s="1335">
        <v>8000</v>
      </c>
      <c r="K200" s="1192"/>
      <c r="L200" s="1279"/>
      <c r="M200" s="1192"/>
      <c r="N200" s="1209"/>
      <c r="O200" s="1210" t="s">
        <v>240</v>
      </c>
      <c r="P200" s="1211"/>
      <c r="Q200" s="1236">
        <v>0.6</v>
      </c>
      <c r="R200" s="1210" t="s">
        <v>241</v>
      </c>
      <c r="S200" s="1236">
        <v>37</v>
      </c>
      <c r="T200" s="1241" t="s">
        <v>242</v>
      </c>
    </row>
    <row r="201" spans="1:27" x14ac:dyDescent="0.2">
      <c r="F201" s="1203"/>
      <c r="G201" s="1203"/>
      <c r="H201" s="1192"/>
      <c r="I201" s="1235" t="s">
        <v>243</v>
      </c>
      <c r="J201" s="1335">
        <f>J200*Q200*S200</f>
        <v>177600</v>
      </c>
      <c r="K201" s="1240">
        <f>J17</f>
        <v>335.8</v>
      </c>
      <c r="L201" s="1279">
        <f>7/1000</f>
        <v>7.0000000000000001E-3</v>
      </c>
      <c r="M201" s="1337"/>
      <c r="N201" s="1209"/>
      <c r="O201" s="1211"/>
      <c r="P201" s="1211"/>
      <c r="Q201" s="1211"/>
      <c r="R201" s="1211"/>
      <c r="S201" s="1211"/>
      <c r="T201" s="1209"/>
    </row>
    <row r="202" spans="1:27" x14ac:dyDescent="0.2">
      <c r="F202" s="1203"/>
      <c r="G202" s="1203"/>
      <c r="H202" s="1204" t="s">
        <v>244</v>
      </c>
      <c r="I202" s="1235" t="s">
        <v>245</v>
      </c>
      <c r="J202" s="1244" t="str">
        <f>K150</f>
        <v xml:space="preserve"> Quantity</v>
      </c>
      <c r="K202" s="1338">
        <f>K147/1000</f>
        <v>25910.24879581152</v>
      </c>
      <c r="L202" s="1294">
        <v>80</v>
      </c>
      <c r="M202" s="1210">
        <f>L202*K202</f>
        <v>2072819.9036649216</v>
      </c>
      <c r="N202" s="1192"/>
      <c r="O202" s="1339" t="s">
        <v>246</v>
      </c>
      <c r="P202" s="1211"/>
      <c r="Q202" s="1211"/>
      <c r="R202" s="1211"/>
      <c r="S202" s="1211"/>
      <c r="T202" s="1209"/>
    </row>
    <row r="203" spans="1:27" x14ac:dyDescent="0.2">
      <c r="F203" s="1203"/>
      <c r="G203" s="1203"/>
      <c r="H203" s="1204" t="s">
        <v>247</v>
      </c>
      <c r="I203" s="1235"/>
      <c r="J203" s="1192"/>
      <c r="K203" s="1192"/>
      <c r="L203" s="1192"/>
      <c r="M203" s="1192"/>
      <c r="N203" s="1192"/>
      <c r="O203" s="1204"/>
      <c r="P203" s="1211"/>
      <c r="Q203" s="1211"/>
      <c r="R203" s="1211"/>
      <c r="S203" s="1211"/>
      <c r="T203" s="1209"/>
    </row>
    <row r="204" spans="1:27" x14ac:dyDescent="0.2">
      <c r="F204" s="1203"/>
      <c r="G204" s="1203"/>
      <c r="H204" s="1212" t="s">
        <v>365</v>
      </c>
      <c r="I204" s="1235"/>
      <c r="J204" s="1192"/>
      <c r="K204" s="1192"/>
      <c r="L204" s="1192"/>
      <c r="M204" s="1265">
        <f>SUM(M199:M202)</f>
        <v>2072819.9036649216</v>
      </c>
      <c r="N204" s="1192"/>
      <c r="O204" s="1204"/>
      <c r="P204" s="1211"/>
      <c r="Q204" s="1211"/>
      <c r="R204" s="1211"/>
      <c r="S204" s="1211"/>
      <c r="T204" s="1209"/>
    </row>
    <row r="205" spans="1:27" x14ac:dyDescent="0.2">
      <c r="F205" s="1203"/>
      <c r="G205" s="1203"/>
      <c r="H205" s="1204"/>
      <c r="I205" s="1235"/>
      <c r="J205" s="1192"/>
      <c r="K205" s="1192"/>
      <c r="L205" s="1192"/>
      <c r="M205" s="1192"/>
      <c r="N205" s="1209"/>
      <c r="O205" s="1210"/>
      <c r="P205" s="1211"/>
      <c r="Q205" s="1211"/>
      <c r="R205" s="1211"/>
      <c r="S205" s="1211"/>
      <c r="T205" s="1209"/>
    </row>
    <row r="206" spans="1:27" x14ac:dyDescent="0.2">
      <c r="F206" s="1203"/>
      <c r="G206" s="1224"/>
      <c r="H206" s="1225"/>
      <c r="I206" s="1226"/>
      <c r="J206" s="1340">
        <v>0</v>
      </c>
      <c r="K206" s="1341">
        <v>1</v>
      </c>
      <c r="L206" s="1341">
        <v>2</v>
      </c>
      <c r="M206" s="1341">
        <v>3</v>
      </c>
      <c r="N206" s="1341">
        <v>4</v>
      </c>
      <c r="O206" s="1341">
        <v>5</v>
      </c>
      <c r="P206" s="1341">
        <v>6</v>
      </c>
      <c r="Q206" s="1341">
        <v>7</v>
      </c>
      <c r="R206" s="1341">
        <v>8</v>
      </c>
      <c r="S206" s="1341">
        <v>9</v>
      </c>
      <c r="T206" s="1341">
        <v>10</v>
      </c>
      <c r="U206" s="1341">
        <v>11</v>
      </c>
      <c r="V206" s="1341">
        <v>12</v>
      </c>
      <c r="W206" s="1341">
        <v>13</v>
      </c>
      <c r="X206" s="1341">
        <v>14</v>
      </c>
      <c r="Y206" s="1341">
        <v>15</v>
      </c>
      <c r="Z206" s="1342">
        <v>16</v>
      </c>
    </row>
    <row r="207" spans="1:27" x14ac:dyDescent="0.2">
      <c r="F207" s="1203"/>
      <c r="G207" s="1196">
        <v>12</v>
      </c>
      <c r="H207" s="1343" t="s">
        <v>248</v>
      </c>
      <c r="I207" s="1344"/>
      <c r="J207" s="1198" t="s">
        <v>249</v>
      </c>
      <c r="K207" s="1199" t="s">
        <v>250</v>
      </c>
      <c r="L207" s="1199" t="s">
        <v>251</v>
      </c>
      <c r="M207" s="1199" t="s">
        <v>252</v>
      </c>
      <c r="N207" s="1345" t="s">
        <v>253</v>
      </c>
      <c r="O207" s="1345" t="s">
        <v>254</v>
      </c>
      <c r="P207" s="1345" t="s">
        <v>255</v>
      </c>
      <c r="Q207" s="1345" t="s">
        <v>256</v>
      </c>
      <c r="R207" s="1345" t="s">
        <v>257</v>
      </c>
      <c r="S207" s="1345" t="s">
        <v>258</v>
      </c>
      <c r="T207" s="1345" t="s">
        <v>259</v>
      </c>
      <c r="U207" s="1345" t="s">
        <v>260</v>
      </c>
      <c r="V207" s="1345" t="s">
        <v>261</v>
      </c>
      <c r="W207" s="1345" t="s">
        <v>262</v>
      </c>
      <c r="X207" s="1345" t="s">
        <v>263</v>
      </c>
      <c r="Y207" s="1345" t="s">
        <v>264</v>
      </c>
      <c r="Z207" s="1346" t="s">
        <v>265</v>
      </c>
    </row>
    <row r="208" spans="1:27" x14ac:dyDescent="0.2">
      <c r="F208" s="1203"/>
      <c r="G208" s="1203"/>
      <c r="H208" s="1204" t="s">
        <v>266</v>
      </c>
      <c r="I208" s="1235"/>
      <c r="J208" s="1347">
        <v>0</v>
      </c>
      <c r="K208" s="1348">
        <f t="shared" ref="K208:Z209" si="13">J208</f>
        <v>0</v>
      </c>
      <c r="L208" s="1348">
        <f t="shared" si="13"/>
        <v>0</v>
      </c>
      <c r="M208" s="1348">
        <f t="shared" si="13"/>
        <v>0</v>
      </c>
      <c r="N208" s="1349">
        <f t="shared" si="13"/>
        <v>0</v>
      </c>
      <c r="O208" s="1259">
        <f t="shared" si="13"/>
        <v>0</v>
      </c>
      <c r="P208" s="1349">
        <f t="shared" si="13"/>
        <v>0</v>
      </c>
      <c r="Q208" s="1349">
        <f t="shared" si="13"/>
        <v>0</v>
      </c>
      <c r="R208" s="1349">
        <f t="shared" si="13"/>
        <v>0</v>
      </c>
      <c r="S208" s="1349">
        <f t="shared" si="13"/>
        <v>0</v>
      </c>
      <c r="T208" s="1349">
        <f t="shared" si="13"/>
        <v>0</v>
      </c>
      <c r="U208" s="1349">
        <f t="shared" si="13"/>
        <v>0</v>
      </c>
      <c r="V208" s="1349">
        <f t="shared" si="13"/>
        <v>0</v>
      </c>
      <c r="W208" s="1349">
        <f t="shared" si="13"/>
        <v>0</v>
      </c>
      <c r="X208" s="1349">
        <f t="shared" si="13"/>
        <v>0</v>
      </c>
      <c r="Y208" s="1349">
        <f t="shared" si="13"/>
        <v>0</v>
      </c>
      <c r="Z208" s="1350">
        <f t="shared" si="13"/>
        <v>0</v>
      </c>
      <c r="AA208" s="1351"/>
    </row>
    <row r="209" spans="3:28" x14ac:dyDescent="0.2">
      <c r="F209" s="1203"/>
      <c r="G209" s="1203"/>
      <c r="H209" s="1204" t="s">
        <v>267</v>
      </c>
      <c r="I209" s="1235"/>
      <c r="J209" s="1347">
        <v>0</v>
      </c>
      <c r="K209" s="1348">
        <f t="shared" si="13"/>
        <v>0</v>
      </c>
      <c r="L209" s="1348">
        <f t="shared" si="13"/>
        <v>0</v>
      </c>
      <c r="M209" s="1348">
        <f t="shared" si="13"/>
        <v>0</v>
      </c>
      <c r="N209" s="1349">
        <f t="shared" si="13"/>
        <v>0</v>
      </c>
      <c r="O209" s="1259">
        <f t="shared" si="13"/>
        <v>0</v>
      </c>
      <c r="P209" s="1349">
        <f t="shared" si="13"/>
        <v>0</v>
      </c>
      <c r="Q209" s="1349">
        <f t="shared" si="13"/>
        <v>0</v>
      </c>
      <c r="R209" s="1349">
        <f t="shared" si="13"/>
        <v>0</v>
      </c>
      <c r="S209" s="1349">
        <f t="shared" si="13"/>
        <v>0</v>
      </c>
      <c r="T209" s="1349">
        <f t="shared" si="13"/>
        <v>0</v>
      </c>
      <c r="U209" s="1349">
        <f t="shared" si="13"/>
        <v>0</v>
      </c>
      <c r="V209" s="1349">
        <f t="shared" si="13"/>
        <v>0</v>
      </c>
      <c r="W209" s="1349">
        <f t="shared" si="13"/>
        <v>0</v>
      </c>
      <c r="X209" s="1349">
        <f t="shared" si="13"/>
        <v>0</v>
      </c>
      <c r="Y209" s="1349">
        <f t="shared" si="13"/>
        <v>0</v>
      </c>
      <c r="Z209" s="1350">
        <f t="shared" si="13"/>
        <v>0</v>
      </c>
      <c r="AA209" s="1351"/>
    </row>
    <row r="210" spans="3:28" x14ac:dyDescent="0.2">
      <c r="F210" s="1203"/>
      <c r="G210" s="1203"/>
      <c r="H210" s="1204" t="s">
        <v>268</v>
      </c>
      <c r="I210" s="1235"/>
      <c r="J210" s="1352">
        <v>1</v>
      </c>
      <c r="K210" s="1348"/>
      <c r="L210" s="1348"/>
      <c r="M210" s="1348"/>
      <c r="N210" s="1349"/>
      <c r="O210" s="1259"/>
      <c r="P210" s="1349"/>
      <c r="Q210" s="1349"/>
      <c r="R210" s="1349"/>
      <c r="S210" s="1349"/>
      <c r="T210" s="1349"/>
      <c r="U210" s="1349"/>
      <c r="V210" s="1349"/>
      <c r="W210" s="1349"/>
      <c r="X210" s="1349"/>
      <c r="Y210" s="1349"/>
      <c r="Z210" s="1350"/>
      <c r="AA210" s="1351"/>
    </row>
    <row r="211" spans="3:28" x14ac:dyDescent="0.2">
      <c r="F211" s="1203"/>
      <c r="G211" s="1203"/>
      <c r="H211" s="1204" t="s">
        <v>269</v>
      </c>
      <c r="I211" s="1235"/>
      <c r="J211" s="1352">
        <v>1</v>
      </c>
      <c r="K211" s="1204"/>
      <c r="L211" s="1192"/>
      <c r="M211" s="1192"/>
      <c r="N211" s="1349"/>
      <c r="O211" s="1259"/>
      <c r="P211" s="1349"/>
      <c r="Q211" s="1349"/>
      <c r="R211" s="1349"/>
      <c r="S211" s="1349"/>
      <c r="T211" s="1349"/>
      <c r="U211" s="1349"/>
      <c r="V211" s="1349"/>
      <c r="W211" s="1349"/>
      <c r="X211" s="1349"/>
      <c r="Y211" s="1349"/>
      <c r="Z211" s="1350"/>
    </row>
    <row r="212" spans="3:28" x14ac:dyDescent="0.2">
      <c r="F212" s="1203"/>
      <c r="G212" s="1203"/>
      <c r="H212" s="1204" t="s">
        <v>270</v>
      </c>
      <c r="I212" s="1235"/>
      <c r="J212" s="1294">
        <v>0</v>
      </c>
      <c r="K212" s="983">
        <v>0</v>
      </c>
      <c r="L212" s="1250">
        <v>0.75</v>
      </c>
      <c r="M212" s="1250">
        <v>1</v>
      </c>
      <c r="N212" s="1353">
        <f t="shared" ref="N212:Z212" si="14">M212</f>
        <v>1</v>
      </c>
      <c r="O212" s="1353">
        <f t="shared" si="14"/>
        <v>1</v>
      </c>
      <c r="P212" s="1353">
        <f t="shared" si="14"/>
        <v>1</v>
      </c>
      <c r="Q212" s="1353">
        <f t="shared" si="14"/>
        <v>1</v>
      </c>
      <c r="R212" s="1353">
        <f t="shared" si="14"/>
        <v>1</v>
      </c>
      <c r="S212" s="1353">
        <f t="shared" si="14"/>
        <v>1</v>
      </c>
      <c r="T212" s="1353">
        <f t="shared" si="14"/>
        <v>1</v>
      </c>
      <c r="U212" s="1353">
        <f t="shared" si="14"/>
        <v>1</v>
      </c>
      <c r="V212" s="1353">
        <f t="shared" si="14"/>
        <v>1</v>
      </c>
      <c r="W212" s="1353">
        <f t="shared" si="14"/>
        <v>1</v>
      </c>
      <c r="X212" s="1353">
        <f t="shared" si="14"/>
        <v>1</v>
      </c>
      <c r="Y212" s="1353">
        <f t="shared" si="14"/>
        <v>1</v>
      </c>
      <c r="Z212" s="1354">
        <f t="shared" si="14"/>
        <v>1</v>
      </c>
      <c r="AA212" s="1332"/>
    </row>
    <row r="213" spans="3:28" x14ac:dyDescent="0.2">
      <c r="F213" s="1203"/>
      <c r="G213" s="1203"/>
      <c r="H213" s="1355" t="s">
        <v>271</v>
      </c>
      <c r="I213" s="1235"/>
      <c r="J213" s="1308">
        <f t="shared" ref="J213:Z213" si="15">(1+J208)^J206</f>
        <v>1</v>
      </c>
      <c r="K213" s="1308">
        <f t="shared" si="15"/>
        <v>1</v>
      </c>
      <c r="L213" s="1308">
        <f t="shared" si="15"/>
        <v>1</v>
      </c>
      <c r="M213" s="1308">
        <f t="shared" si="15"/>
        <v>1</v>
      </c>
      <c r="N213" s="1278">
        <f t="shared" si="15"/>
        <v>1</v>
      </c>
      <c r="O213" s="1278">
        <f t="shared" si="15"/>
        <v>1</v>
      </c>
      <c r="P213" s="1278">
        <f t="shared" si="15"/>
        <v>1</v>
      </c>
      <c r="Q213" s="1278">
        <f t="shared" si="15"/>
        <v>1</v>
      </c>
      <c r="R213" s="1278">
        <f t="shared" si="15"/>
        <v>1</v>
      </c>
      <c r="S213" s="1278">
        <f t="shared" si="15"/>
        <v>1</v>
      </c>
      <c r="T213" s="1278">
        <f t="shared" si="15"/>
        <v>1</v>
      </c>
      <c r="U213" s="1278">
        <f t="shared" si="15"/>
        <v>1</v>
      </c>
      <c r="V213" s="1278">
        <f t="shared" si="15"/>
        <v>1</v>
      </c>
      <c r="W213" s="1278">
        <f t="shared" si="15"/>
        <v>1</v>
      </c>
      <c r="X213" s="1278">
        <f t="shared" si="15"/>
        <v>1</v>
      </c>
      <c r="Y213" s="1278">
        <f t="shared" si="15"/>
        <v>1</v>
      </c>
      <c r="Z213" s="1356">
        <f t="shared" si="15"/>
        <v>1</v>
      </c>
      <c r="AA213" s="1308"/>
    </row>
    <row r="214" spans="3:28" x14ac:dyDescent="0.2">
      <c r="F214" s="1203"/>
      <c r="G214" s="1203"/>
      <c r="H214" s="1355" t="s">
        <v>272</v>
      </c>
      <c r="I214" s="1235"/>
      <c r="J214" s="1308">
        <f t="shared" ref="J214:Z214" si="16">(1+J209)^J206</f>
        <v>1</v>
      </c>
      <c r="K214" s="1308">
        <f t="shared" si="16"/>
        <v>1</v>
      </c>
      <c r="L214" s="1308">
        <f t="shared" si="16"/>
        <v>1</v>
      </c>
      <c r="M214" s="1308">
        <f t="shared" si="16"/>
        <v>1</v>
      </c>
      <c r="N214" s="1278">
        <f t="shared" si="16"/>
        <v>1</v>
      </c>
      <c r="O214" s="1278">
        <f t="shared" si="16"/>
        <v>1</v>
      </c>
      <c r="P214" s="1278">
        <f t="shared" si="16"/>
        <v>1</v>
      </c>
      <c r="Q214" s="1278">
        <f t="shared" si="16"/>
        <v>1</v>
      </c>
      <c r="R214" s="1278">
        <f t="shared" si="16"/>
        <v>1</v>
      </c>
      <c r="S214" s="1278">
        <f t="shared" si="16"/>
        <v>1</v>
      </c>
      <c r="T214" s="1278">
        <f t="shared" si="16"/>
        <v>1</v>
      </c>
      <c r="U214" s="1278">
        <f t="shared" si="16"/>
        <v>1</v>
      </c>
      <c r="V214" s="1278">
        <f t="shared" si="16"/>
        <v>1</v>
      </c>
      <c r="W214" s="1278">
        <f t="shared" si="16"/>
        <v>1</v>
      </c>
      <c r="X214" s="1278">
        <f t="shared" si="16"/>
        <v>1</v>
      </c>
      <c r="Y214" s="1278">
        <f t="shared" si="16"/>
        <v>1</v>
      </c>
      <c r="Z214" s="1356">
        <f t="shared" si="16"/>
        <v>1</v>
      </c>
      <c r="AA214" s="1308"/>
    </row>
    <row r="215" spans="3:28" x14ac:dyDescent="0.2">
      <c r="F215" s="1203"/>
      <c r="G215" s="1203"/>
      <c r="H215" s="1355" t="s">
        <v>547</v>
      </c>
      <c r="I215" s="1235"/>
      <c r="J215" s="1308">
        <v>100</v>
      </c>
      <c r="K215" s="1308"/>
      <c r="L215" s="1308"/>
      <c r="M215" s="1308"/>
      <c r="N215" s="1278"/>
      <c r="O215" s="1278"/>
      <c r="P215" s="1278"/>
      <c r="Q215" s="1278"/>
      <c r="R215" s="1278"/>
      <c r="S215" s="1278"/>
      <c r="T215" s="1278"/>
      <c r="U215" s="1278"/>
      <c r="V215" s="1278"/>
      <c r="W215" s="1278"/>
      <c r="X215" s="1278"/>
      <c r="Y215" s="1278"/>
      <c r="Z215" s="1356"/>
      <c r="AA215" s="1308"/>
    </row>
    <row r="216" spans="3:28" x14ac:dyDescent="0.2">
      <c r="F216" s="1203"/>
      <c r="G216" s="1203"/>
      <c r="H216" s="1355" t="s">
        <v>548</v>
      </c>
      <c r="I216" s="1235"/>
      <c r="J216" s="1308">
        <v>0.66</v>
      </c>
      <c r="K216" s="1308"/>
      <c r="L216" s="1308"/>
      <c r="M216" s="1308"/>
      <c r="N216" s="1278"/>
      <c r="O216" s="1278"/>
      <c r="P216" s="1278"/>
      <c r="Q216" s="1278"/>
      <c r="R216" s="1278"/>
      <c r="S216" s="1278"/>
      <c r="T216" s="1278"/>
      <c r="U216" s="1278"/>
      <c r="V216" s="1278"/>
      <c r="W216" s="1278"/>
      <c r="X216" s="1278"/>
      <c r="Y216" s="1278"/>
      <c r="Z216" s="1356"/>
      <c r="AA216" s="1308"/>
    </row>
    <row r="217" spans="3:28" x14ac:dyDescent="0.2">
      <c r="F217" s="1203"/>
      <c r="G217" s="1203"/>
      <c r="H217" s="1357" t="s">
        <v>273</v>
      </c>
      <c r="I217" s="1235"/>
      <c r="J217" s="1358">
        <v>1</v>
      </c>
      <c r="K217" s="1308"/>
      <c r="L217" s="1308"/>
      <c r="M217" s="1308"/>
      <c r="N217" s="1349"/>
      <c r="O217" s="1349"/>
      <c r="P217" s="1349"/>
      <c r="Q217" s="1349"/>
      <c r="R217" s="1349"/>
      <c r="S217" s="1349"/>
      <c r="T217" s="1349"/>
      <c r="U217" s="1349"/>
      <c r="V217" s="1349"/>
      <c r="W217" s="1349"/>
      <c r="X217" s="1349"/>
      <c r="Y217" s="1349"/>
      <c r="Z217" s="1350"/>
      <c r="AA217" s="1308"/>
    </row>
    <row r="218" spans="3:28" x14ac:dyDescent="0.2">
      <c r="F218" s="1203"/>
      <c r="G218" s="1203"/>
      <c r="H218" s="1357" t="s">
        <v>274</v>
      </c>
      <c r="I218" s="1235"/>
      <c r="J218" s="1358">
        <v>0.4</v>
      </c>
      <c r="K218" s="1358">
        <v>0.6</v>
      </c>
      <c r="L218" s="1308"/>
      <c r="M218" s="1308"/>
      <c r="N218" s="1349"/>
      <c r="O218" s="1349"/>
      <c r="P218" s="1349"/>
      <c r="Q218" s="1349"/>
      <c r="R218" s="1349"/>
      <c r="S218" s="1349"/>
      <c r="T218" s="1349"/>
      <c r="U218" s="1349"/>
      <c r="V218" s="1349"/>
      <c r="W218" s="1349"/>
      <c r="X218" s="1349"/>
      <c r="Y218" s="1349"/>
      <c r="Z218" s="1350"/>
      <c r="AA218" s="1308"/>
    </row>
    <row r="219" spans="3:28" x14ac:dyDescent="0.2">
      <c r="F219" s="1203"/>
      <c r="G219" s="1203"/>
      <c r="H219" s="1357" t="s">
        <v>275</v>
      </c>
      <c r="I219" s="1235"/>
      <c r="J219" s="1333">
        <v>0.01</v>
      </c>
      <c r="K219" s="1359">
        <f t="shared" ref="K219:Z219" si="17">J219</f>
        <v>0.01</v>
      </c>
      <c r="L219" s="1359">
        <f t="shared" si="17"/>
        <v>0.01</v>
      </c>
      <c r="M219" s="1359">
        <f t="shared" si="17"/>
        <v>0.01</v>
      </c>
      <c r="N219" s="1349">
        <f t="shared" si="17"/>
        <v>0.01</v>
      </c>
      <c r="O219" s="1349">
        <f t="shared" si="17"/>
        <v>0.01</v>
      </c>
      <c r="P219" s="1349">
        <f t="shared" si="17"/>
        <v>0.01</v>
      </c>
      <c r="Q219" s="1349">
        <f t="shared" si="17"/>
        <v>0.01</v>
      </c>
      <c r="R219" s="1349">
        <f t="shared" si="17"/>
        <v>0.01</v>
      </c>
      <c r="S219" s="1349">
        <f t="shared" si="17"/>
        <v>0.01</v>
      </c>
      <c r="T219" s="1349">
        <f t="shared" si="17"/>
        <v>0.01</v>
      </c>
      <c r="U219" s="1349">
        <f t="shared" si="17"/>
        <v>0.01</v>
      </c>
      <c r="V219" s="1349">
        <f t="shared" si="17"/>
        <v>0.01</v>
      </c>
      <c r="W219" s="1349">
        <f t="shared" si="17"/>
        <v>0.01</v>
      </c>
      <c r="X219" s="1349">
        <f t="shared" si="17"/>
        <v>0.01</v>
      </c>
      <c r="Y219" s="1349">
        <f t="shared" si="17"/>
        <v>0.01</v>
      </c>
      <c r="Z219" s="1350">
        <f t="shared" si="17"/>
        <v>0.01</v>
      </c>
      <c r="AA219" s="1359"/>
    </row>
    <row r="220" spans="3:28" x14ac:dyDescent="0.2">
      <c r="F220" s="1203"/>
      <c r="G220" s="1203"/>
      <c r="H220" s="1204" t="s">
        <v>276</v>
      </c>
      <c r="I220" s="1235"/>
      <c r="J220" s="1263">
        <v>0.2</v>
      </c>
      <c r="K220" s="1204" t="s">
        <v>277</v>
      </c>
      <c r="L220" s="1192"/>
      <c r="M220" s="1192"/>
      <c r="N220" s="1211"/>
      <c r="O220" s="1210"/>
      <c r="P220" s="1211"/>
      <c r="Q220" s="1211"/>
      <c r="R220" s="1211"/>
      <c r="S220" s="1211"/>
      <c r="T220" s="1211"/>
      <c r="U220" s="1211"/>
      <c r="V220" s="1211"/>
      <c r="W220" s="1211"/>
      <c r="X220" s="1211"/>
      <c r="Y220" s="1211"/>
      <c r="Z220" s="1209"/>
    </row>
    <row r="221" spans="3:28" x14ac:dyDescent="0.2">
      <c r="F221" s="1203"/>
      <c r="G221" s="1203"/>
      <c r="H221" s="1192"/>
      <c r="I221" s="1243"/>
      <c r="J221" s="1192"/>
      <c r="K221" s="1192"/>
      <c r="L221" s="1216"/>
      <c r="M221" s="1192"/>
      <c r="N221" s="1211"/>
      <c r="O221" s="1211"/>
      <c r="P221" s="1211"/>
      <c r="Q221" s="1211"/>
      <c r="R221" s="1211"/>
      <c r="S221" s="1211"/>
      <c r="T221" s="1211"/>
      <c r="U221" s="1211"/>
      <c r="V221" s="1211"/>
      <c r="W221" s="1211"/>
      <c r="X221" s="1211"/>
      <c r="Y221" s="1211"/>
      <c r="Z221" s="1209"/>
    </row>
    <row r="222" spans="3:28" x14ac:dyDescent="0.2">
      <c r="F222" s="1203"/>
      <c r="G222" s="1196">
        <v>13</v>
      </c>
      <c r="H222" s="1275" t="s">
        <v>278</v>
      </c>
      <c r="I222" s="1276"/>
      <c r="J222" s="1360" t="s">
        <v>249</v>
      </c>
      <c r="K222" s="1361" t="s">
        <v>250</v>
      </c>
      <c r="L222" s="1198" t="s">
        <v>251</v>
      </c>
      <c r="M222" s="1198" t="s">
        <v>252</v>
      </c>
      <c r="N222" s="1362" t="s">
        <v>253</v>
      </c>
      <c r="O222" s="1362" t="s">
        <v>254</v>
      </c>
      <c r="P222" s="1362" t="s">
        <v>255</v>
      </c>
      <c r="Q222" s="1362" t="s">
        <v>256</v>
      </c>
      <c r="R222" s="1362" t="s">
        <v>257</v>
      </c>
      <c r="S222" s="1362" t="s">
        <v>258</v>
      </c>
      <c r="T222" s="1362" t="s">
        <v>259</v>
      </c>
      <c r="U222" s="1362" t="s">
        <v>260</v>
      </c>
      <c r="V222" s="1362" t="s">
        <v>261</v>
      </c>
      <c r="W222" s="1362" t="s">
        <v>262</v>
      </c>
      <c r="X222" s="1362" t="s">
        <v>263</v>
      </c>
      <c r="Y222" s="1362" t="s">
        <v>264</v>
      </c>
      <c r="Z222" s="1200" t="s">
        <v>265</v>
      </c>
      <c r="AB222" s="1198"/>
    </row>
    <row r="223" spans="3:28" x14ac:dyDescent="0.2">
      <c r="C223" s="1363"/>
      <c r="D223" s="1363"/>
      <c r="E223" s="1363"/>
      <c r="F223" s="1203"/>
      <c r="G223" s="1230"/>
      <c r="H223" s="1220" t="s">
        <v>279</v>
      </c>
      <c r="I223" s="1232"/>
      <c r="J223" s="1364"/>
      <c r="K223" s="1365"/>
      <c r="L223" s="1254"/>
      <c r="M223" s="1254"/>
      <c r="N223" s="1366"/>
      <c r="O223" s="1366"/>
      <c r="P223" s="1366"/>
      <c r="Q223" s="1366"/>
      <c r="R223" s="1366"/>
      <c r="S223" s="1366"/>
      <c r="T223" s="1366"/>
      <c r="U223" s="1366"/>
      <c r="V223" s="1366"/>
      <c r="W223" s="1366"/>
      <c r="X223" s="1366"/>
      <c r="Y223" s="1366"/>
      <c r="Z223" s="1367"/>
      <c r="AA223" s="1254"/>
      <c r="AB223" s="1254"/>
    </row>
    <row r="224" spans="3:28" x14ac:dyDescent="0.2">
      <c r="C224" s="1363"/>
      <c r="D224" s="1363"/>
      <c r="E224" s="1363"/>
      <c r="F224" s="1203"/>
      <c r="G224" s="1230"/>
      <c r="H224" s="1368"/>
      <c r="I224" s="1232"/>
      <c r="J224" s="1364"/>
      <c r="K224" s="1365"/>
      <c r="L224" s="1309">
        <f t="shared" ref="L224:Z224" si="18">L212*$J$210*L213*SUM($M$33:$M$34)</f>
        <v>0</v>
      </c>
      <c r="M224" s="1309">
        <f t="shared" si="18"/>
        <v>0</v>
      </c>
      <c r="N224" s="1309">
        <f t="shared" si="18"/>
        <v>0</v>
      </c>
      <c r="O224" s="1309">
        <f t="shared" si="18"/>
        <v>0</v>
      </c>
      <c r="P224" s="1309">
        <f t="shared" si="18"/>
        <v>0</v>
      </c>
      <c r="Q224" s="1309">
        <f t="shared" si="18"/>
        <v>0</v>
      </c>
      <c r="R224" s="1309">
        <f t="shared" si="18"/>
        <v>0</v>
      </c>
      <c r="S224" s="1309">
        <f t="shared" si="18"/>
        <v>0</v>
      </c>
      <c r="T224" s="1309">
        <f t="shared" si="18"/>
        <v>0</v>
      </c>
      <c r="U224" s="1309">
        <f t="shared" si="18"/>
        <v>0</v>
      </c>
      <c r="V224" s="1309">
        <f t="shared" si="18"/>
        <v>0</v>
      </c>
      <c r="W224" s="1309">
        <f t="shared" si="18"/>
        <v>0</v>
      </c>
      <c r="X224" s="1309">
        <f t="shared" si="18"/>
        <v>0</v>
      </c>
      <c r="Y224" s="1309">
        <f t="shared" si="18"/>
        <v>0</v>
      </c>
      <c r="Z224" s="1309">
        <f t="shared" si="18"/>
        <v>0</v>
      </c>
      <c r="AA224" s="1254"/>
      <c r="AB224" s="1254"/>
    </row>
    <row r="225" spans="3:28" x14ac:dyDescent="0.2">
      <c r="C225" s="1363"/>
      <c r="D225" s="1363"/>
      <c r="E225" s="1363"/>
      <c r="F225" s="1203"/>
      <c r="G225" s="1230"/>
      <c r="H225" s="1368"/>
      <c r="I225" s="1232"/>
      <c r="J225" s="1364"/>
      <c r="K225" s="1365"/>
      <c r="L225" s="1309">
        <f t="shared" ref="L225:Z225" si="19">L212*$J$210*L213*$M$35</f>
        <v>0</v>
      </c>
      <c r="M225" s="1309">
        <f t="shared" si="19"/>
        <v>0</v>
      </c>
      <c r="N225" s="1309">
        <f t="shared" si="19"/>
        <v>0</v>
      </c>
      <c r="O225" s="1309">
        <f t="shared" si="19"/>
        <v>0</v>
      </c>
      <c r="P225" s="1309">
        <f t="shared" si="19"/>
        <v>0</v>
      </c>
      <c r="Q225" s="1309">
        <f t="shared" si="19"/>
        <v>0</v>
      </c>
      <c r="R225" s="1309">
        <f t="shared" si="19"/>
        <v>0</v>
      </c>
      <c r="S225" s="1309">
        <f t="shared" si="19"/>
        <v>0</v>
      </c>
      <c r="T225" s="1309">
        <f t="shared" si="19"/>
        <v>0</v>
      </c>
      <c r="U225" s="1309">
        <f t="shared" si="19"/>
        <v>0</v>
      </c>
      <c r="V225" s="1309">
        <f t="shared" si="19"/>
        <v>0</v>
      </c>
      <c r="W225" s="1309">
        <f t="shared" si="19"/>
        <v>0</v>
      </c>
      <c r="X225" s="1309">
        <f t="shared" si="19"/>
        <v>0</v>
      </c>
      <c r="Y225" s="1309">
        <f t="shared" si="19"/>
        <v>0</v>
      </c>
      <c r="Z225" s="1309">
        <f t="shared" si="19"/>
        <v>0</v>
      </c>
      <c r="AA225" s="1254"/>
      <c r="AB225" s="1254"/>
    </row>
    <row r="226" spans="3:28" x14ac:dyDescent="0.2">
      <c r="C226" s="1363"/>
      <c r="D226" s="1363"/>
      <c r="E226" s="1363"/>
      <c r="F226" s="1203"/>
      <c r="G226" s="1230"/>
      <c r="H226" s="1204"/>
      <c r="I226" s="1232"/>
      <c r="J226" s="1364"/>
      <c r="K226" s="1365"/>
      <c r="L226" s="1309">
        <f t="shared" ref="L226:Z226" si="20">L212*$J$210*L213*$M$36</f>
        <v>0</v>
      </c>
      <c r="M226" s="1309">
        <f t="shared" si="20"/>
        <v>0</v>
      </c>
      <c r="N226" s="1309">
        <f t="shared" si="20"/>
        <v>0</v>
      </c>
      <c r="O226" s="1309">
        <f t="shared" si="20"/>
        <v>0</v>
      </c>
      <c r="P226" s="1309">
        <f t="shared" si="20"/>
        <v>0</v>
      </c>
      <c r="Q226" s="1309">
        <f t="shared" si="20"/>
        <v>0</v>
      </c>
      <c r="R226" s="1309">
        <f t="shared" si="20"/>
        <v>0</v>
      </c>
      <c r="S226" s="1309">
        <f t="shared" si="20"/>
        <v>0</v>
      </c>
      <c r="T226" s="1309">
        <f t="shared" si="20"/>
        <v>0</v>
      </c>
      <c r="U226" s="1309">
        <f t="shared" si="20"/>
        <v>0</v>
      </c>
      <c r="V226" s="1309">
        <f t="shared" si="20"/>
        <v>0</v>
      </c>
      <c r="W226" s="1309">
        <f t="shared" si="20"/>
        <v>0</v>
      </c>
      <c r="X226" s="1309">
        <f t="shared" si="20"/>
        <v>0</v>
      </c>
      <c r="Y226" s="1309">
        <f t="shared" si="20"/>
        <v>0</v>
      </c>
      <c r="Z226" s="1309">
        <f t="shared" si="20"/>
        <v>0</v>
      </c>
      <c r="AA226" s="1254"/>
      <c r="AB226" s="1254"/>
    </row>
    <row r="227" spans="3:28" x14ac:dyDescent="0.2">
      <c r="C227" s="1363"/>
      <c r="D227" s="1363"/>
      <c r="E227" s="1363"/>
      <c r="F227" s="1203"/>
      <c r="G227" s="1203"/>
      <c r="H227" s="1204" t="s">
        <v>280</v>
      </c>
      <c r="I227" s="1235"/>
      <c r="J227" s="1339"/>
      <c r="K227" s="1369"/>
      <c r="L227" s="1309">
        <f t="shared" ref="L227:Z227" si="21">L212*$J$210*L213*$M$15</f>
        <v>67500000</v>
      </c>
      <c r="M227" s="1309">
        <f t="shared" si="21"/>
        <v>90000000</v>
      </c>
      <c r="N227" s="1309">
        <f t="shared" si="21"/>
        <v>90000000</v>
      </c>
      <c r="O227" s="1309">
        <f t="shared" si="21"/>
        <v>90000000</v>
      </c>
      <c r="P227" s="1309">
        <f t="shared" si="21"/>
        <v>90000000</v>
      </c>
      <c r="Q227" s="1309">
        <f t="shared" si="21"/>
        <v>90000000</v>
      </c>
      <c r="R227" s="1309">
        <f t="shared" si="21"/>
        <v>90000000</v>
      </c>
      <c r="S227" s="1309">
        <f t="shared" si="21"/>
        <v>90000000</v>
      </c>
      <c r="T227" s="1309">
        <f t="shared" si="21"/>
        <v>90000000</v>
      </c>
      <c r="U227" s="1309">
        <f t="shared" si="21"/>
        <v>90000000</v>
      </c>
      <c r="V227" s="1309">
        <f t="shared" si="21"/>
        <v>90000000</v>
      </c>
      <c r="W227" s="1309">
        <f t="shared" si="21"/>
        <v>90000000</v>
      </c>
      <c r="X227" s="1309">
        <f t="shared" si="21"/>
        <v>90000000</v>
      </c>
      <c r="Y227" s="1309">
        <f t="shared" si="21"/>
        <v>90000000</v>
      </c>
      <c r="Z227" s="1309">
        <f t="shared" si="21"/>
        <v>90000000</v>
      </c>
      <c r="AA227" s="1208"/>
    </row>
    <row r="228" spans="3:28" x14ac:dyDescent="0.2">
      <c r="C228" s="1363">
        <v>8</v>
      </c>
      <c r="D228" s="1363" t="s">
        <v>631</v>
      </c>
      <c r="E228" s="1363"/>
      <c r="F228" s="1203"/>
      <c r="G228" s="1203"/>
      <c r="H228" s="1204" t="s">
        <v>454</v>
      </c>
      <c r="I228" s="1235"/>
      <c r="J228" s="1339"/>
      <c r="K228" s="1369"/>
      <c r="L228" s="1309">
        <f t="shared" ref="L228:Z228" si="22">L212*$J$210*L213*$M$66</f>
        <v>3763862.0848098099</v>
      </c>
      <c r="M228" s="1309">
        <f t="shared" si="22"/>
        <v>5018482.7797464132</v>
      </c>
      <c r="N228" s="1309">
        <f t="shared" si="22"/>
        <v>5018482.7797464132</v>
      </c>
      <c r="O228" s="1309">
        <f t="shared" si="22"/>
        <v>5018482.7797464132</v>
      </c>
      <c r="P228" s="1309">
        <f t="shared" si="22"/>
        <v>5018482.7797464132</v>
      </c>
      <c r="Q228" s="1309">
        <f t="shared" si="22"/>
        <v>5018482.7797464132</v>
      </c>
      <c r="R228" s="1309">
        <f t="shared" si="22"/>
        <v>5018482.7797464132</v>
      </c>
      <c r="S228" s="1309">
        <f t="shared" si="22"/>
        <v>5018482.7797464132</v>
      </c>
      <c r="T228" s="1309">
        <f t="shared" si="22"/>
        <v>5018482.7797464132</v>
      </c>
      <c r="U228" s="1309">
        <f t="shared" si="22"/>
        <v>5018482.7797464132</v>
      </c>
      <c r="V228" s="1309">
        <f t="shared" si="22"/>
        <v>5018482.7797464132</v>
      </c>
      <c r="W228" s="1309">
        <f t="shared" si="22"/>
        <v>5018482.7797464132</v>
      </c>
      <c r="X228" s="1309">
        <f t="shared" si="22"/>
        <v>5018482.7797464132</v>
      </c>
      <c r="Y228" s="1309">
        <f t="shared" si="22"/>
        <v>5018482.7797464132</v>
      </c>
      <c r="Z228" s="1309">
        <f t="shared" si="22"/>
        <v>5018482.7797464132</v>
      </c>
      <c r="AA228" s="1208"/>
    </row>
    <row r="229" spans="3:28" x14ac:dyDescent="0.2">
      <c r="C229" s="1363">
        <v>8</v>
      </c>
      <c r="D229" s="1363" t="s">
        <v>631</v>
      </c>
      <c r="E229" s="1363"/>
      <c r="F229" s="1203"/>
      <c r="G229" s="1203"/>
      <c r="H229" s="1204" t="s">
        <v>281</v>
      </c>
      <c r="I229" s="1235"/>
      <c r="J229" s="1339"/>
      <c r="K229" s="1369"/>
      <c r="L229" s="1309">
        <f t="shared" ref="L229:Z229" si="23">L212*$J$210*L213*$M$204</f>
        <v>1554614.9277486913</v>
      </c>
      <c r="M229" s="1309">
        <f t="shared" si="23"/>
        <v>2072819.9036649216</v>
      </c>
      <c r="N229" s="1309">
        <f t="shared" si="23"/>
        <v>2072819.9036649216</v>
      </c>
      <c r="O229" s="1309">
        <f t="shared" si="23"/>
        <v>2072819.9036649216</v>
      </c>
      <c r="P229" s="1309">
        <f t="shared" si="23"/>
        <v>2072819.9036649216</v>
      </c>
      <c r="Q229" s="1309">
        <f t="shared" si="23"/>
        <v>2072819.9036649216</v>
      </c>
      <c r="R229" s="1309">
        <f t="shared" si="23"/>
        <v>2072819.9036649216</v>
      </c>
      <c r="S229" s="1309">
        <f t="shared" si="23"/>
        <v>2072819.9036649216</v>
      </c>
      <c r="T229" s="1309">
        <f t="shared" si="23"/>
        <v>2072819.9036649216</v>
      </c>
      <c r="U229" s="1309">
        <f t="shared" si="23"/>
        <v>2072819.9036649216</v>
      </c>
      <c r="V229" s="1309">
        <f t="shared" si="23"/>
        <v>2072819.9036649216</v>
      </c>
      <c r="W229" s="1309">
        <f t="shared" si="23"/>
        <v>2072819.9036649216</v>
      </c>
      <c r="X229" s="1309">
        <f t="shared" si="23"/>
        <v>2072819.9036649216</v>
      </c>
      <c r="Y229" s="1309">
        <f t="shared" si="23"/>
        <v>2072819.9036649216</v>
      </c>
      <c r="Z229" s="1309">
        <f t="shared" si="23"/>
        <v>2072819.9036649216</v>
      </c>
      <c r="AA229" s="1208"/>
    </row>
    <row r="230" spans="3:28" x14ac:dyDescent="0.2">
      <c r="C230" s="1363"/>
      <c r="D230" s="1363"/>
      <c r="E230" s="1363"/>
      <c r="F230" s="1203"/>
      <c r="G230" s="1203"/>
      <c r="H230" s="1204"/>
      <c r="I230" s="1235"/>
      <c r="J230" s="1339"/>
      <c r="K230" s="1369"/>
      <c r="L230" s="1370">
        <f t="shared" ref="L230:Z230" si="24">SUM(L224:L229)</f>
        <v>72818477.012558505</v>
      </c>
      <c r="M230" s="1371">
        <f t="shared" si="24"/>
        <v>97091302.68341133</v>
      </c>
      <c r="N230" s="1371">
        <f t="shared" si="24"/>
        <v>97091302.68341133</v>
      </c>
      <c r="O230" s="1371">
        <f t="shared" si="24"/>
        <v>97091302.68341133</v>
      </c>
      <c r="P230" s="1371">
        <f t="shared" si="24"/>
        <v>97091302.68341133</v>
      </c>
      <c r="Q230" s="1371">
        <f t="shared" si="24"/>
        <v>97091302.68341133</v>
      </c>
      <c r="R230" s="1371">
        <f t="shared" si="24"/>
        <v>97091302.68341133</v>
      </c>
      <c r="S230" s="1371">
        <f t="shared" si="24"/>
        <v>97091302.68341133</v>
      </c>
      <c r="T230" s="1371">
        <f t="shared" si="24"/>
        <v>97091302.68341133</v>
      </c>
      <c r="U230" s="1371">
        <f t="shared" si="24"/>
        <v>97091302.68341133</v>
      </c>
      <c r="V230" s="1371">
        <f t="shared" si="24"/>
        <v>97091302.68341133</v>
      </c>
      <c r="W230" s="1371">
        <f t="shared" si="24"/>
        <v>97091302.68341133</v>
      </c>
      <c r="X230" s="1371">
        <f t="shared" si="24"/>
        <v>97091302.68341133</v>
      </c>
      <c r="Y230" s="1371">
        <f t="shared" si="24"/>
        <v>97091302.68341133</v>
      </c>
      <c r="Z230" s="1372">
        <f t="shared" si="24"/>
        <v>97091302.68341133</v>
      </c>
      <c r="AA230" s="1208"/>
    </row>
    <row r="231" spans="3:28" x14ac:dyDescent="0.2">
      <c r="C231" s="1363"/>
      <c r="D231" s="1363"/>
      <c r="E231" s="1363"/>
      <c r="F231" s="1203"/>
      <c r="G231" s="1203"/>
      <c r="H231" s="1220" t="s">
        <v>282</v>
      </c>
      <c r="I231" s="1243"/>
      <c r="J231" s="1203"/>
      <c r="K231" s="1369"/>
      <c r="AA231" s="1208"/>
    </row>
    <row r="232" spans="3:28" x14ac:dyDescent="0.2">
      <c r="C232" s="1363"/>
      <c r="D232" s="1363"/>
      <c r="E232" s="1363"/>
      <c r="F232" s="1203"/>
      <c r="G232" s="1203"/>
      <c r="H232" s="1368"/>
      <c r="I232" s="1243"/>
      <c r="J232" s="1203"/>
      <c r="K232" s="1369"/>
      <c r="L232" s="1309">
        <f>-$M$152*$J$211*L212*L214</f>
        <v>0</v>
      </c>
      <c r="M232" s="1309">
        <f>-$M$152*$J$211*M212*M214</f>
        <v>0</v>
      </c>
      <c r="N232" s="1309">
        <f t="shared" ref="N232:Z232" si="25">-$M$151*$J$211*N212*N214</f>
        <v>0</v>
      </c>
      <c r="O232" s="1309">
        <f t="shared" si="25"/>
        <v>0</v>
      </c>
      <c r="P232" s="1309">
        <f t="shared" si="25"/>
        <v>0</v>
      </c>
      <c r="Q232" s="1309">
        <f t="shared" si="25"/>
        <v>0</v>
      </c>
      <c r="R232" s="1309">
        <f t="shared" si="25"/>
        <v>0</v>
      </c>
      <c r="S232" s="1309">
        <f t="shared" si="25"/>
        <v>0</v>
      </c>
      <c r="T232" s="1309">
        <f t="shared" si="25"/>
        <v>0</v>
      </c>
      <c r="U232" s="1309">
        <f t="shared" si="25"/>
        <v>0</v>
      </c>
      <c r="V232" s="1309">
        <f t="shared" si="25"/>
        <v>0</v>
      </c>
      <c r="W232" s="1309">
        <f t="shared" si="25"/>
        <v>0</v>
      </c>
      <c r="X232" s="1309">
        <f t="shared" si="25"/>
        <v>0</v>
      </c>
      <c r="Y232" s="1309">
        <f t="shared" si="25"/>
        <v>0</v>
      </c>
      <c r="Z232" s="1309">
        <f t="shared" si="25"/>
        <v>0</v>
      </c>
      <c r="AA232" s="1208"/>
    </row>
    <row r="233" spans="3:28" x14ac:dyDescent="0.2">
      <c r="C233" s="1363"/>
      <c r="D233" s="1363"/>
      <c r="E233" s="1363"/>
      <c r="F233" s="1203"/>
      <c r="G233" s="1203"/>
      <c r="H233" s="1368"/>
      <c r="I233" s="1243"/>
      <c r="J233" s="1203"/>
      <c r="K233" s="1369"/>
      <c r="L233" s="1309">
        <f>-$M$153*$J$211*L212*L214</f>
        <v>0</v>
      </c>
      <c r="M233" s="1309">
        <f>-$M$153*$J$211*M212*M214</f>
        <v>0</v>
      </c>
      <c r="N233" s="1309">
        <f t="shared" ref="N233:Z233" si="26">-$M$152*$J$211*N212*N214</f>
        <v>0</v>
      </c>
      <c r="O233" s="1309">
        <f t="shared" si="26"/>
        <v>0</v>
      </c>
      <c r="P233" s="1309">
        <f t="shared" si="26"/>
        <v>0</v>
      </c>
      <c r="Q233" s="1309">
        <f t="shared" si="26"/>
        <v>0</v>
      </c>
      <c r="R233" s="1309">
        <f t="shared" si="26"/>
        <v>0</v>
      </c>
      <c r="S233" s="1309">
        <f t="shared" si="26"/>
        <v>0</v>
      </c>
      <c r="T233" s="1309">
        <f t="shared" si="26"/>
        <v>0</v>
      </c>
      <c r="U233" s="1309">
        <f t="shared" si="26"/>
        <v>0</v>
      </c>
      <c r="V233" s="1309">
        <f t="shared" si="26"/>
        <v>0</v>
      </c>
      <c r="W233" s="1309">
        <f t="shared" si="26"/>
        <v>0</v>
      </c>
      <c r="X233" s="1309">
        <f t="shared" si="26"/>
        <v>0</v>
      </c>
      <c r="Y233" s="1309">
        <f t="shared" si="26"/>
        <v>0</v>
      </c>
      <c r="Z233" s="1309">
        <f t="shared" si="26"/>
        <v>0</v>
      </c>
      <c r="AA233" s="1208"/>
    </row>
    <row r="234" spans="3:28" x14ac:dyDescent="0.2">
      <c r="C234" s="1363"/>
      <c r="D234" s="1363"/>
      <c r="E234" s="1363"/>
      <c r="F234" s="1203"/>
      <c r="G234" s="1203"/>
      <c r="H234" s="1204"/>
      <c r="I234" s="1243"/>
      <c r="J234" s="1203"/>
      <c r="K234" s="1369"/>
      <c r="L234" s="1309">
        <f>-$M$154*$J$211*L212*L214</f>
        <v>0</v>
      </c>
      <c r="M234" s="1309">
        <f>-$M$154*$J$211*M212*M214</f>
        <v>0</v>
      </c>
      <c r="N234" s="1309">
        <f t="shared" ref="N234:Z234" si="27">-$M$153*$J$211*N212*N214</f>
        <v>0</v>
      </c>
      <c r="O234" s="1309">
        <f t="shared" si="27"/>
        <v>0</v>
      </c>
      <c r="P234" s="1309">
        <f t="shared" si="27"/>
        <v>0</v>
      </c>
      <c r="Q234" s="1309">
        <f t="shared" si="27"/>
        <v>0</v>
      </c>
      <c r="R234" s="1309">
        <f t="shared" si="27"/>
        <v>0</v>
      </c>
      <c r="S234" s="1309">
        <f t="shared" si="27"/>
        <v>0</v>
      </c>
      <c r="T234" s="1309">
        <f t="shared" si="27"/>
        <v>0</v>
      </c>
      <c r="U234" s="1309">
        <f t="shared" si="27"/>
        <v>0</v>
      </c>
      <c r="V234" s="1309">
        <f t="shared" si="27"/>
        <v>0</v>
      </c>
      <c r="W234" s="1309">
        <f t="shared" si="27"/>
        <v>0</v>
      </c>
      <c r="X234" s="1309">
        <f t="shared" si="27"/>
        <v>0</v>
      </c>
      <c r="Y234" s="1309">
        <f t="shared" si="27"/>
        <v>0</v>
      </c>
      <c r="Z234" s="1309">
        <f t="shared" si="27"/>
        <v>0</v>
      </c>
      <c r="AA234" s="1208"/>
    </row>
    <row r="235" spans="3:28" x14ac:dyDescent="0.2">
      <c r="C235" s="1363">
        <v>7</v>
      </c>
      <c r="D235" s="1363" t="s">
        <v>184</v>
      </c>
      <c r="E235" s="1363"/>
      <c r="F235" s="1203"/>
      <c r="G235" s="1203"/>
      <c r="H235" s="1204" t="s">
        <v>454</v>
      </c>
      <c r="I235" s="1243"/>
      <c r="J235" s="1203"/>
      <c r="K235" s="1369"/>
      <c r="L235" s="1309">
        <f>-$M$155*$J$211*L212*L214</f>
        <v>-376386.20848098095</v>
      </c>
      <c r="M235" s="1309">
        <f t="shared" ref="M235:Z235" si="28">-$M$155*$J$211*M212*M214</f>
        <v>-501848.2779746413</v>
      </c>
      <c r="N235" s="1309">
        <f t="shared" si="28"/>
        <v>-501848.2779746413</v>
      </c>
      <c r="O235" s="1309">
        <f t="shared" si="28"/>
        <v>-501848.2779746413</v>
      </c>
      <c r="P235" s="1309">
        <f t="shared" si="28"/>
        <v>-501848.2779746413</v>
      </c>
      <c r="Q235" s="1309">
        <f t="shared" si="28"/>
        <v>-501848.2779746413</v>
      </c>
      <c r="R235" s="1309">
        <f t="shared" si="28"/>
        <v>-501848.2779746413</v>
      </c>
      <c r="S235" s="1309">
        <f t="shared" si="28"/>
        <v>-501848.2779746413</v>
      </c>
      <c r="T235" s="1309">
        <f t="shared" si="28"/>
        <v>-501848.2779746413</v>
      </c>
      <c r="U235" s="1309">
        <f t="shared" si="28"/>
        <v>-501848.2779746413</v>
      </c>
      <c r="V235" s="1309">
        <f t="shared" si="28"/>
        <v>-501848.2779746413</v>
      </c>
      <c r="W235" s="1309">
        <f t="shared" si="28"/>
        <v>-501848.2779746413</v>
      </c>
      <c r="X235" s="1309">
        <f t="shared" si="28"/>
        <v>-501848.2779746413</v>
      </c>
      <c r="Y235" s="1309">
        <f t="shared" si="28"/>
        <v>-501848.2779746413</v>
      </c>
      <c r="Z235" s="1309">
        <f t="shared" si="28"/>
        <v>-501848.2779746413</v>
      </c>
      <c r="AA235" s="1208"/>
    </row>
    <row r="236" spans="3:28" x14ac:dyDescent="0.2">
      <c r="C236" s="1363">
        <v>7</v>
      </c>
      <c r="D236" s="1363" t="s">
        <v>184</v>
      </c>
      <c r="E236" s="1363"/>
      <c r="F236" s="1203"/>
      <c r="G236" s="1203"/>
      <c r="H236" s="1313" t="s">
        <v>280</v>
      </c>
      <c r="I236" s="1243"/>
      <c r="J236" s="1203"/>
      <c r="K236" s="1369"/>
      <c r="L236" s="1309">
        <f>-$M$161*$J$211*L212*L214</f>
        <v>-654993.28125</v>
      </c>
      <c r="M236" s="1309">
        <f>-$M$161*$J$211*M212*M214</f>
        <v>-873324.375</v>
      </c>
      <c r="N236" s="1309">
        <f t="shared" ref="N236:Z236" si="29">-$M$156*$J$211*N212*N214</f>
        <v>-501848.2779746413</v>
      </c>
      <c r="O236" s="1309">
        <f t="shared" si="29"/>
        <v>-501848.2779746413</v>
      </c>
      <c r="P236" s="1309">
        <f t="shared" si="29"/>
        <v>-501848.2779746413</v>
      </c>
      <c r="Q236" s="1309">
        <f t="shared" si="29"/>
        <v>-501848.2779746413</v>
      </c>
      <c r="R236" s="1309">
        <f t="shared" si="29"/>
        <v>-501848.2779746413</v>
      </c>
      <c r="S236" s="1309">
        <f t="shared" si="29"/>
        <v>-501848.2779746413</v>
      </c>
      <c r="T236" s="1309">
        <f t="shared" si="29"/>
        <v>-501848.2779746413</v>
      </c>
      <c r="U236" s="1309">
        <f t="shared" si="29"/>
        <v>-501848.2779746413</v>
      </c>
      <c r="V236" s="1309">
        <f t="shared" si="29"/>
        <v>-501848.2779746413</v>
      </c>
      <c r="W236" s="1309">
        <f t="shared" si="29"/>
        <v>-501848.2779746413</v>
      </c>
      <c r="X236" s="1309">
        <f t="shared" si="29"/>
        <v>-501848.2779746413</v>
      </c>
      <c r="Y236" s="1309">
        <f t="shared" si="29"/>
        <v>-501848.2779746413</v>
      </c>
      <c r="Z236" s="1309">
        <f t="shared" si="29"/>
        <v>-501848.2779746413</v>
      </c>
      <c r="AA236" s="1208"/>
    </row>
    <row r="237" spans="3:28" x14ac:dyDescent="0.2">
      <c r="C237" s="1363"/>
      <c r="D237" s="1363"/>
      <c r="E237" s="1363"/>
      <c r="F237" s="1203"/>
      <c r="G237" s="1203"/>
      <c r="H237" s="1220" t="s">
        <v>283</v>
      </c>
      <c r="I237" s="1243"/>
      <c r="J237" s="1298"/>
      <c r="K237" s="1373"/>
      <c r="L237" s="1370">
        <f t="shared" ref="L237:Z237" si="30">SUM(L230:L236)</f>
        <v>71787097.522827521</v>
      </c>
      <c r="M237" s="1371">
        <f t="shared" si="30"/>
        <v>95716130.030436695</v>
      </c>
      <c r="N237" s="1371">
        <f t="shared" si="30"/>
        <v>96087606.127462059</v>
      </c>
      <c r="O237" s="1371">
        <f t="shared" si="30"/>
        <v>96087606.127462059</v>
      </c>
      <c r="P237" s="1371">
        <f t="shared" si="30"/>
        <v>96087606.127462059</v>
      </c>
      <c r="Q237" s="1371">
        <f t="shared" si="30"/>
        <v>96087606.127462059</v>
      </c>
      <c r="R237" s="1371">
        <f t="shared" si="30"/>
        <v>96087606.127462059</v>
      </c>
      <c r="S237" s="1371">
        <f t="shared" si="30"/>
        <v>96087606.127462059</v>
      </c>
      <c r="T237" s="1371">
        <f t="shared" si="30"/>
        <v>96087606.127462059</v>
      </c>
      <c r="U237" s="1371">
        <f t="shared" si="30"/>
        <v>96087606.127462059</v>
      </c>
      <c r="V237" s="1371">
        <f t="shared" si="30"/>
        <v>96087606.127462059</v>
      </c>
      <c r="W237" s="1371">
        <f t="shared" si="30"/>
        <v>96087606.127462059</v>
      </c>
      <c r="X237" s="1371">
        <f t="shared" si="30"/>
        <v>96087606.127462059</v>
      </c>
      <c r="Y237" s="1371">
        <f t="shared" si="30"/>
        <v>96087606.127462059</v>
      </c>
      <c r="Z237" s="1372">
        <f t="shared" si="30"/>
        <v>96087606.127462059</v>
      </c>
      <c r="AA237" s="1374"/>
    </row>
    <row r="238" spans="3:28" x14ac:dyDescent="0.2">
      <c r="C238" s="1363"/>
      <c r="D238" s="1363"/>
      <c r="E238" s="1363"/>
      <c r="F238" s="1203"/>
      <c r="G238" s="1203"/>
      <c r="H238" s="1220" t="s">
        <v>284</v>
      </c>
      <c r="I238" s="1243"/>
      <c r="J238" s="1298"/>
      <c r="K238" s="1373"/>
      <c r="L238" s="1309"/>
      <c r="M238" s="1309"/>
      <c r="N238" s="1309"/>
      <c r="O238" s="1309"/>
      <c r="P238" s="1309"/>
      <c r="Q238" s="1309"/>
      <c r="R238" s="1309"/>
      <c r="S238" s="1309"/>
      <c r="T238" s="1309"/>
      <c r="U238" s="1309"/>
      <c r="V238" s="1309"/>
      <c r="W238" s="1309"/>
      <c r="X238" s="1309"/>
      <c r="Y238" s="1309"/>
      <c r="Z238" s="1375"/>
      <c r="AA238" s="1212"/>
    </row>
    <row r="239" spans="3:28" x14ac:dyDescent="0.2">
      <c r="C239" s="1363">
        <v>1</v>
      </c>
      <c r="D239" s="1363" t="str">
        <f>H239</f>
        <v>Feedstock</v>
      </c>
      <c r="E239" s="1363"/>
      <c r="F239" s="1203"/>
      <c r="G239" s="1203"/>
      <c r="H239" s="1204" t="s">
        <v>285</v>
      </c>
      <c r="I239" s="1243"/>
      <c r="J239" s="1298"/>
      <c r="K239" s="1373"/>
      <c r="L239" s="1309">
        <f t="shared" ref="L239:Z239" si="31">-L212*$M$77*$L$214*$J$211</f>
        <v>-47752536.476880386</v>
      </c>
      <c r="M239" s="1309">
        <f t="shared" si="31"/>
        <v>-63670048.635840513</v>
      </c>
      <c r="N239" s="1309">
        <f t="shared" si="31"/>
        <v>-63670048.635840513</v>
      </c>
      <c r="O239" s="1309">
        <f t="shared" si="31"/>
        <v>-63670048.635840513</v>
      </c>
      <c r="P239" s="1309">
        <f t="shared" si="31"/>
        <v>-63670048.635840513</v>
      </c>
      <c r="Q239" s="1309">
        <f t="shared" si="31"/>
        <v>-63670048.635840513</v>
      </c>
      <c r="R239" s="1309">
        <f t="shared" si="31"/>
        <v>-63670048.635840513</v>
      </c>
      <c r="S239" s="1309">
        <f t="shared" si="31"/>
        <v>-63670048.635840513</v>
      </c>
      <c r="T239" s="1309">
        <f t="shared" si="31"/>
        <v>-63670048.635840513</v>
      </c>
      <c r="U239" s="1309">
        <f t="shared" si="31"/>
        <v>-63670048.635840513</v>
      </c>
      <c r="V239" s="1309">
        <f t="shared" si="31"/>
        <v>-63670048.635840513</v>
      </c>
      <c r="W239" s="1309">
        <f t="shared" si="31"/>
        <v>-63670048.635840513</v>
      </c>
      <c r="X239" s="1309">
        <f t="shared" si="31"/>
        <v>-63670048.635840513</v>
      </c>
      <c r="Y239" s="1309">
        <f t="shared" si="31"/>
        <v>-63670048.635840513</v>
      </c>
      <c r="Z239" s="1309">
        <f t="shared" si="31"/>
        <v>-63670048.635840513</v>
      </c>
      <c r="AA239" s="1309"/>
    </row>
    <row r="240" spans="3:28" x14ac:dyDescent="0.2">
      <c r="C240" s="1363">
        <v>2</v>
      </c>
      <c r="D240" s="1363" t="str">
        <f>H240</f>
        <v>Chemicals</v>
      </c>
      <c r="E240" s="1363"/>
      <c r="F240" s="1203"/>
      <c r="G240" s="1203"/>
      <c r="H240" s="1204" t="s">
        <v>86</v>
      </c>
      <c r="I240" s="1243"/>
      <c r="J240" s="1298"/>
      <c r="K240" s="1373"/>
      <c r="L240" s="1309">
        <f t="shared" ref="L240:Z240" si="32">-L$212*$M$111*L$214*$J$211</f>
        <v>-2036788.1207805029</v>
      </c>
      <c r="M240" s="1309">
        <f t="shared" si="32"/>
        <v>-2715717.4943740037</v>
      </c>
      <c r="N240" s="1309">
        <f t="shared" si="32"/>
        <v>-2715717.4943740037</v>
      </c>
      <c r="O240" s="1309">
        <f t="shared" si="32"/>
        <v>-2715717.4943740037</v>
      </c>
      <c r="P240" s="1309">
        <f t="shared" si="32"/>
        <v>-2715717.4943740037</v>
      </c>
      <c r="Q240" s="1309">
        <f t="shared" si="32"/>
        <v>-2715717.4943740037</v>
      </c>
      <c r="R240" s="1309">
        <f t="shared" si="32"/>
        <v>-2715717.4943740037</v>
      </c>
      <c r="S240" s="1309">
        <f t="shared" si="32"/>
        <v>-2715717.4943740037</v>
      </c>
      <c r="T240" s="1309">
        <f t="shared" si="32"/>
        <v>-2715717.4943740037</v>
      </c>
      <c r="U240" s="1309">
        <f t="shared" si="32"/>
        <v>-2715717.4943740037</v>
      </c>
      <c r="V240" s="1309">
        <f t="shared" si="32"/>
        <v>-2715717.4943740037</v>
      </c>
      <c r="W240" s="1309">
        <f t="shared" si="32"/>
        <v>-2715717.4943740037</v>
      </c>
      <c r="X240" s="1309">
        <f t="shared" si="32"/>
        <v>-2715717.4943740037</v>
      </c>
      <c r="Y240" s="1309">
        <f t="shared" si="32"/>
        <v>-2715717.4943740037</v>
      </c>
      <c r="Z240" s="1309">
        <f t="shared" si="32"/>
        <v>-2715717.4943740037</v>
      </c>
      <c r="AA240" s="1220"/>
    </row>
    <row r="241" spans="1:27" x14ac:dyDescent="0.2">
      <c r="C241" s="1363">
        <v>3</v>
      </c>
      <c r="D241" s="1363" t="s">
        <v>129</v>
      </c>
      <c r="E241" s="1363"/>
      <c r="F241" s="1203"/>
      <c r="G241" s="1203"/>
      <c r="H241" s="1204" t="s">
        <v>139</v>
      </c>
      <c r="I241" s="1243"/>
      <c r="J241" s="1298"/>
      <c r="K241" s="1373"/>
      <c r="L241" s="1309">
        <f t="shared" ref="L241:Z241" si="33">-L$212*$M$134*L$214*$J$211</f>
        <v>-2047500</v>
      </c>
      <c r="M241" s="1309">
        <f t="shared" si="33"/>
        <v>-2730000</v>
      </c>
      <c r="N241" s="1309">
        <f t="shared" si="33"/>
        <v>-2730000</v>
      </c>
      <c r="O241" s="1309">
        <f t="shared" si="33"/>
        <v>-2730000</v>
      </c>
      <c r="P241" s="1309">
        <f t="shared" si="33"/>
        <v>-2730000</v>
      </c>
      <c r="Q241" s="1309">
        <f t="shared" si="33"/>
        <v>-2730000</v>
      </c>
      <c r="R241" s="1309">
        <f t="shared" si="33"/>
        <v>-2730000</v>
      </c>
      <c r="S241" s="1309">
        <f t="shared" si="33"/>
        <v>-2730000</v>
      </c>
      <c r="T241" s="1309">
        <f t="shared" si="33"/>
        <v>-2730000</v>
      </c>
      <c r="U241" s="1309">
        <f t="shared" si="33"/>
        <v>-2730000</v>
      </c>
      <c r="V241" s="1309">
        <f t="shared" si="33"/>
        <v>-2730000</v>
      </c>
      <c r="W241" s="1309">
        <f t="shared" si="33"/>
        <v>-2730000</v>
      </c>
      <c r="X241" s="1309">
        <f t="shared" si="33"/>
        <v>-2730000</v>
      </c>
      <c r="Y241" s="1309">
        <f t="shared" si="33"/>
        <v>-2730000</v>
      </c>
      <c r="Z241" s="1309">
        <f t="shared" si="33"/>
        <v>-2730000</v>
      </c>
      <c r="AA241" s="1220"/>
    </row>
    <row r="242" spans="1:27" x14ac:dyDescent="0.2">
      <c r="C242" s="1363">
        <v>3</v>
      </c>
      <c r="D242" s="1363" t="s">
        <v>129</v>
      </c>
      <c r="E242" s="1363"/>
      <c r="F242" s="1203"/>
      <c r="G242" s="1203"/>
      <c r="H242" s="1204" t="s">
        <v>286</v>
      </c>
      <c r="I242" s="1243"/>
      <c r="J242" s="1298"/>
      <c r="K242" s="1373"/>
      <c r="L242" s="1309">
        <f t="shared" ref="L242:Z242" si="34">-L$212*SUM($M$147,$M$120)*L$214*$J$211</f>
        <v>-2226519.5333680059</v>
      </c>
      <c r="M242" s="1309">
        <f t="shared" si="34"/>
        <v>-2968692.711157341</v>
      </c>
      <c r="N242" s="1309">
        <f t="shared" si="34"/>
        <v>-2968692.711157341</v>
      </c>
      <c r="O242" s="1309">
        <f t="shared" si="34"/>
        <v>-2968692.711157341</v>
      </c>
      <c r="P242" s="1309">
        <f t="shared" si="34"/>
        <v>-2968692.711157341</v>
      </c>
      <c r="Q242" s="1309">
        <f t="shared" si="34"/>
        <v>-2968692.711157341</v>
      </c>
      <c r="R242" s="1309">
        <f t="shared" si="34"/>
        <v>-2968692.711157341</v>
      </c>
      <c r="S242" s="1309">
        <f t="shared" si="34"/>
        <v>-2968692.711157341</v>
      </c>
      <c r="T242" s="1309">
        <f t="shared" si="34"/>
        <v>-2968692.711157341</v>
      </c>
      <c r="U242" s="1309">
        <f t="shared" si="34"/>
        <v>-2968692.711157341</v>
      </c>
      <c r="V242" s="1309">
        <f t="shared" si="34"/>
        <v>-2968692.711157341</v>
      </c>
      <c r="W242" s="1309">
        <f t="shared" si="34"/>
        <v>-2968692.711157341</v>
      </c>
      <c r="X242" s="1309">
        <f t="shared" si="34"/>
        <v>-2968692.711157341</v>
      </c>
      <c r="Y242" s="1309">
        <f t="shared" si="34"/>
        <v>-2968692.711157341</v>
      </c>
      <c r="Z242" s="1309">
        <f t="shared" si="34"/>
        <v>-2968692.711157341</v>
      </c>
      <c r="AA242" s="1220"/>
    </row>
    <row r="243" spans="1:27" x14ac:dyDescent="0.2">
      <c r="C243" s="1363">
        <v>4</v>
      </c>
      <c r="D243" s="1363" t="s">
        <v>218</v>
      </c>
      <c r="E243" s="1363"/>
      <c r="F243" s="1203"/>
      <c r="G243" s="1203"/>
      <c r="H243" s="1204" t="s">
        <v>218</v>
      </c>
      <c r="I243" s="1243"/>
      <c r="J243" s="1298"/>
      <c r="K243" s="1373"/>
      <c r="L243" s="1309">
        <f t="shared" ref="L243:Z243" si="35">-L$212*$M$170*L$214*$J$211</f>
        <v>-2230481.25</v>
      </c>
      <c r="M243" s="1309">
        <f t="shared" si="35"/>
        <v>-2973975</v>
      </c>
      <c r="N243" s="1309">
        <f t="shared" si="35"/>
        <v>-2973975</v>
      </c>
      <c r="O243" s="1309">
        <f t="shared" si="35"/>
        <v>-2973975</v>
      </c>
      <c r="P243" s="1309">
        <f t="shared" si="35"/>
        <v>-2973975</v>
      </c>
      <c r="Q243" s="1309">
        <f t="shared" si="35"/>
        <v>-2973975</v>
      </c>
      <c r="R243" s="1309">
        <f t="shared" si="35"/>
        <v>-2973975</v>
      </c>
      <c r="S243" s="1309">
        <f t="shared" si="35"/>
        <v>-2973975</v>
      </c>
      <c r="T243" s="1309">
        <f t="shared" si="35"/>
        <v>-2973975</v>
      </c>
      <c r="U243" s="1309">
        <f t="shared" si="35"/>
        <v>-2973975</v>
      </c>
      <c r="V243" s="1309">
        <f t="shared" si="35"/>
        <v>-2973975</v>
      </c>
      <c r="W243" s="1309">
        <f t="shared" si="35"/>
        <v>-2973975</v>
      </c>
      <c r="X243" s="1309">
        <f t="shared" si="35"/>
        <v>-2973975</v>
      </c>
      <c r="Y243" s="1309">
        <f t="shared" si="35"/>
        <v>-2973975</v>
      </c>
      <c r="Z243" s="1309">
        <f t="shared" si="35"/>
        <v>-2973975</v>
      </c>
      <c r="AA243" s="1220"/>
    </row>
    <row r="244" spans="1:27" x14ac:dyDescent="0.2">
      <c r="C244" s="1363">
        <v>5</v>
      </c>
      <c r="D244" s="1363" t="s">
        <v>287</v>
      </c>
      <c r="E244" s="1363"/>
      <c r="F244" s="1203"/>
      <c r="G244" s="1203"/>
      <c r="H244" s="1204" t="s">
        <v>190</v>
      </c>
      <c r="I244" s="1243"/>
      <c r="J244" s="1298"/>
      <c r="K244" s="1373"/>
      <c r="L244" s="1309">
        <f>-$M$186*$L$214*$J$211*L212</f>
        <v>-2313000</v>
      </c>
      <c r="M244" s="1309">
        <f t="shared" ref="M244:Z244" si="36">-$M$186*$L$214*$J$211*M212</f>
        <v>-3084000</v>
      </c>
      <c r="N244" s="1309">
        <f t="shared" si="36"/>
        <v>-3084000</v>
      </c>
      <c r="O244" s="1309">
        <f t="shared" si="36"/>
        <v>-3084000</v>
      </c>
      <c r="P244" s="1309">
        <f t="shared" si="36"/>
        <v>-3084000</v>
      </c>
      <c r="Q244" s="1309">
        <f t="shared" si="36"/>
        <v>-3084000</v>
      </c>
      <c r="R244" s="1309">
        <f t="shared" si="36"/>
        <v>-3084000</v>
      </c>
      <c r="S244" s="1309">
        <f t="shared" si="36"/>
        <v>-3084000</v>
      </c>
      <c r="T244" s="1309">
        <f t="shared" si="36"/>
        <v>-3084000</v>
      </c>
      <c r="U244" s="1309">
        <f t="shared" si="36"/>
        <v>-3084000</v>
      </c>
      <c r="V244" s="1309">
        <f t="shared" si="36"/>
        <v>-3084000</v>
      </c>
      <c r="W244" s="1309">
        <f t="shared" si="36"/>
        <v>-3084000</v>
      </c>
      <c r="X244" s="1309">
        <f t="shared" si="36"/>
        <v>-3084000</v>
      </c>
      <c r="Y244" s="1309">
        <f t="shared" si="36"/>
        <v>-3084000</v>
      </c>
      <c r="Z244" s="1309">
        <f t="shared" si="36"/>
        <v>-3084000</v>
      </c>
      <c r="AA244" s="1220"/>
    </row>
    <row r="245" spans="1:27" x14ac:dyDescent="0.2">
      <c r="C245" s="1363">
        <v>6</v>
      </c>
      <c r="D245" s="1363" t="s">
        <v>448</v>
      </c>
      <c r="E245" s="1363"/>
      <c r="F245" s="1203"/>
      <c r="G245" s="1203"/>
      <c r="H245" s="1204" t="s">
        <v>288</v>
      </c>
      <c r="I245" s="1243"/>
      <c r="J245" s="1298"/>
      <c r="K245" s="1373"/>
      <c r="L245" s="1309">
        <f>-L$212*$M196*L$214*$J$211</f>
        <v>-1324149.375</v>
      </c>
      <c r="M245" s="1309">
        <f t="shared" ref="M245:Z245" si="37">-M$212*$M196*M$214*$J$211</f>
        <v>-1765532.5</v>
      </c>
      <c r="N245" s="1309">
        <f t="shared" si="37"/>
        <v>-1765532.5</v>
      </c>
      <c r="O245" s="1309">
        <f t="shared" si="37"/>
        <v>-1765532.5</v>
      </c>
      <c r="P245" s="1309">
        <f t="shared" si="37"/>
        <v>-1765532.5</v>
      </c>
      <c r="Q245" s="1309">
        <f t="shared" si="37"/>
        <v>-1765532.5</v>
      </c>
      <c r="R245" s="1309">
        <f t="shared" si="37"/>
        <v>-1765532.5</v>
      </c>
      <c r="S245" s="1309">
        <f t="shared" si="37"/>
        <v>-1765532.5</v>
      </c>
      <c r="T245" s="1309">
        <f t="shared" si="37"/>
        <v>-1765532.5</v>
      </c>
      <c r="U245" s="1309">
        <f t="shared" si="37"/>
        <v>-1765532.5</v>
      </c>
      <c r="V245" s="1309">
        <f t="shared" si="37"/>
        <v>-1765532.5</v>
      </c>
      <c r="W245" s="1309">
        <f t="shared" si="37"/>
        <v>-1765532.5</v>
      </c>
      <c r="X245" s="1309">
        <f t="shared" si="37"/>
        <v>-1765532.5</v>
      </c>
      <c r="Y245" s="1309">
        <f t="shared" si="37"/>
        <v>-1765532.5</v>
      </c>
      <c r="Z245" s="1309">
        <f t="shared" si="37"/>
        <v>-1765532.5</v>
      </c>
      <c r="AA245" s="1220"/>
    </row>
    <row r="246" spans="1:27" x14ac:dyDescent="0.2">
      <c r="C246" s="1363"/>
      <c r="D246" s="1363"/>
      <c r="E246" s="1363"/>
      <c r="F246" s="1203"/>
      <c r="G246" s="1203"/>
      <c r="H246" s="1204" t="s">
        <v>289</v>
      </c>
      <c r="I246" s="1243"/>
      <c r="J246" s="1298"/>
      <c r="K246" s="1373"/>
      <c r="L246" s="1309"/>
      <c r="M246" s="1309"/>
      <c r="N246" s="1309"/>
      <c r="O246" s="1309"/>
      <c r="P246" s="1309"/>
      <c r="Q246" s="1309"/>
      <c r="R246" s="1309"/>
      <c r="S246" s="1309"/>
      <c r="T246" s="1309"/>
      <c r="U246" s="1309"/>
      <c r="V246" s="1309"/>
      <c r="W246" s="1309"/>
      <c r="X246" s="1309"/>
      <c r="Y246" s="1309"/>
      <c r="Z246" s="1375"/>
      <c r="AA246" s="1220"/>
    </row>
    <row r="247" spans="1:27" x14ac:dyDescent="0.2">
      <c r="A247" s="1107" t="s">
        <v>715</v>
      </c>
      <c r="B247" s="1107" t="s">
        <v>692</v>
      </c>
      <c r="C247" s="1363">
        <v>4</v>
      </c>
      <c r="D247" s="1363" t="s">
        <v>218</v>
      </c>
      <c r="E247" s="1363"/>
      <c r="F247" s="1203"/>
      <c r="G247" s="1203"/>
      <c r="H247" s="1204" t="s">
        <v>275</v>
      </c>
      <c r="I247" s="1243"/>
      <c r="J247" s="1298"/>
      <c r="K247" s="1373"/>
      <c r="L247" s="1309">
        <f>-L269*10^6</f>
        <v>-1444575</v>
      </c>
      <c r="M247" s="1309">
        <f t="shared" ref="M247:Z247" si="38">-M269*10^6</f>
        <v>-1444575</v>
      </c>
      <c r="N247" s="1309">
        <f t="shared" si="38"/>
        <v>-1444575</v>
      </c>
      <c r="O247" s="1309">
        <f t="shared" si="38"/>
        <v>-1444575</v>
      </c>
      <c r="P247" s="1309">
        <f t="shared" si="38"/>
        <v>-1444575</v>
      </c>
      <c r="Q247" s="1309">
        <f t="shared" si="38"/>
        <v>-1444575</v>
      </c>
      <c r="R247" s="1309">
        <f t="shared" si="38"/>
        <v>-1444575</v>
      </c>
      <c r="S247" s="1309">
        <f t="shared" si="38"/>
        <v>-1444575</v>
      </c>
      <c r="T247" s="1309">
        <f t="shared" si="38"/>
        <v>-1444575</v>
      </c>
      <c r="U247" s="1309">
        <f t="shared" si="38"/>
        <v>-1444575</v>
      </c>
      <c r="V247" s="1309">
        <f t="shared" si="38"/>
        <v>-1444575</v>
      </c>
      <c r="W247" s="1309">
        <f t="shared" si="38"/>
        <v>-1444575</v>
      </c>
      <c r="X247" s="1309">
        <f t="shared" si="38"/>
        <v>-1444575</v>
      </c>
      <c r="Y247" s="1309">
        <f t="shared" si="38"/>
        <v>-1444575</v>
      </c>
      <c r="Z247" s="1309">
        <f t="shared" si="38"/>
        <v>-1444575</v>
      </c>
      <c r="AA247" s="1220"/>
    </row>
    <row r="248" spans="1:27" x14ac:dyDescent="0.2">
      <c r="C248" s="1363"/>
      <c r="D248" s="1363"/>
      <c r="E248" s="1363"/>
      <c r="F248" s="1203"/>
      <c r="G248" s="1203"/>
      <c r="H248" s="1313" t="s">
        <v>247</v>
      </c>
      <c r="I248" s="1243"/>
      <c r="J248" s="1298"/>
      <c r="K248" s="1373"/>
      <c r="L248" s="1212"/>
      <c r="M248" s="1220"/>
      <c r="N248" s="1265"/>
      <c r="O248" s="1265"/>
      <c r="P248" s="1265"/>
      <c r="Q248" s="1265"/>
      <c r="R248" s="1265"/>
      <c r="S248" s="1265"/>
      <c r="T248" s="1265"/>
      <c r="U248" s="1265"/>
      <c r="V248" s="1265"/>
      <c r="W248" s="1265"/>
      <c r="X248" s="1265"/>
      <c r="Y248" s="1265"/>
      <c r="Z248" s="1223"/>
      <c r="AA248" s="1220"/>
    </row>
    <row r="249" spans="1:27" x14ac:dyDescent="0.2">
      <c r="C249" s="1363"/>
      <c r="D249" s="1363"/>
      <c r="E249" s="1363"/>
      <c r="F249" s="1203"/>
      <c r="G249" s="1203"/>
      <c r="H249" s="1220" t="s">
        <v>290</v>
      </c>
      <c r="I249" s="1243"/>
      <c r="J249" s="1298"/>
      <c r="K249" s="1373"/>
      <c r="L249" s="1376">
        <f t="shared" ref="L249:Z249" si="39">SUM(L237:L248)</f>
        <v>10411547.766798627</v>
      </c>
      <c r="M249" s="1376">
        <f t="shared" si="39"/>
        <v>14363588.689064838</v>
      </c>
      <c r="N249" s="1376">
        <f t="shared" si="39"/>
        <v>14735064.786090203</v>
      </c>
      <c r="O249" s="1376">
        <f t="shared" si="39"/>
        <v>14735064.786090203</v>
      </c>
      <c r="P249" s="1376">
        <f t="shared" si="39"/>
        <v>14735064.786090203</v>
      </c>
      <c r="Q249" s="1376">
        <f t="shared" si="39"/>
        <v>14735064.786090203</v>
      </c>
      <c r="R249" s="1376">
        <f t="shared" si="39"/>
        <v>14735064.786090203</v>
      </c>
      <c r="S249" s="1376">
        <f t="shared" si="39"/>
        <v>14735064.786090203</v>
      </c>
      <c r="T249" s="1376">
        <f t="shared" si="39"/>
        <v>14735064.786090203</v>
      </c>
      <c r="U249" s="1376">
        <f t="shared" si="39"/>
        <v>14735064.786090203</v>
      </c>
      <c r="V249" s="1376">
        <f t="shared" si="39"/>
        <v>14735064.786090203</v>
      </c>
      <c r="W249" s="1376">
        <f t="shared" si="39"/>
        <v>14735064.786090203</v>
      </c>
      <c r="X249" s="1376">
        <f t="shared" si="39"/>
        <v>14735064.786090203</v>
      </c>
      <c r="Y249" s="1376">
        <f t="shared" si="39"/>
        <v>14735064.786090203</v>
      </c>
      <c r="Z249" s="1376">
        <f t="shared" si="39"/>
        <v>14735064.786090203</v>
      </c>
      <c r="AA249" s="1220"/>
    </row>
    <row r="250" spans="1:27" x14ac:dyDescent="0.2">
      <c r="C250" s="1363"/>
      <c r="D250" s="1363"/>
      <c r="E250" s="1363"/>
      <c r="F250" s="1203"/>
      <c r="G250" s="1203"/>
      <c r="H250" s="1192"/>
      <c r="I250" s="1243"/>
      <c r="J250" s="1203"/>
      <c r="K250" s="1369"/>
      <c r="L250" s="1216"/>
      <c r="M250" s="1192"/>
      <c r="N250" s="1211"/>
      <c r="O250" s="1211"/>
      <c r="P250" s="1211"/>
      <c r="Q250" s="1211"/>
      <c r="R250" s="1211"/>
      <c r="S250" s="1211"/>
      <c r="T250" s="1211"/>
      <c r="U250" s="1211"/>
      <c r="V250" s="1211"/>
      <c r="W250" s="1211"/>
      <c r="X250" s="1211"/>
      <c r="Y250" s="1211"/>
      <c r="Z250" s="1209"/>
    </row>
    <row r="251" spans="1:27" x14ac:dyDescent="0.2">
      <c r="F251" s="1203"/>
      <c r="G251" s="1196">
        <v>14</v>
      </c>
      <c r="H251" s="1275" t="s">
        <v>291</v>
      </c>
      <c r="I251" s="1276" t="s">
        <v>21</v>
      </c>
      <c r="J251" s="1360" t="s">
        <v>249</v>
      </c>
      <c r="K251" s="1361" t="s">
        <v>250</v>
      </c>
      <c r="L251" s="1198" t="s">
        <v>251</v>
      </c>
      <c r="M251" s="1198" t="s">
        <v>252</v>
      </c>
      <c r="N251" s="1362" t="s">
        <v>253</v>
      </c>
      <c r="O251" s="1362" t="s">
        <v>254</v>
      </c>
      <c r="P251" s="1362" t="s">
        <v>255</v>
      </c>
      <c r="Q251" s="1362" t="s">
        <v>256</v>
      </c>
      <c r="R251" s="1362" t="s">
        <v>257</v>
      </c>
      <c r="S251" s="1362" t="s">
        <v>258</v>
      </c>
      <c r="T251" s="1362" t="s">
        <v>259</v>
      </c>
      <c r="U251" s="1362" t="s">
        <v>260</v>
      </c>
      <c r="V251" s="1362" t="s">
        <v>261</v>
      </c>
      <c r="W251" s="1362" t="s">
        <v>262</v>
      </c>
      <c r="X251" s="1362" t="s">
        <v>263</v>
      </c>
      <c r="Y251" s="1362" t="s">
        <v>264</v>
      </c>
      <c r="Z251" s="1200" t="s">
        <v>265</v>
      </c>
    </row>
    <row r="252" spans="1:27" x14ac:dyDescent="0.2">
      <c r="E252" s="1107" t="s">
        <v>484</v>
      </c>
      <c r="F252" s="1192"/>
      <c r="G252" s="1203"/>
      <c r="H252" s="1204" t="s">
        <v>455</v>
      </c>
      <c r="I252" s="1326">
        <v>5</v>
      </c>
      <c r="J252" s="1377">
        <f>J$218*$I252*$J$214*$J$217*($J$15/$J$215)^$J$216</f>
        <v>2</v>
      </c>
      <c r="K252" s="1378">
        <f>K$218*$I252*$J$214*$J$217*($J$15/$J$215)^$J$216</f>
        <v>3</v>
      </c>
      <c r="L252" s="1216"/>
      <c r="M252" s="1192"/>
      <c r="N252" s="1211"/>
      <c r="O252" s="1211"/>
      <c r="P252" s="1211"/>
      <c r="Q252" s="1211"/>
      <c r="R252" s="1211"/>
      <c r="S252" s="1211"/>
      <c r="T252" s="1211"/>
      <c r="U252" s="1211"/>
      <c r="V252" s="1211"/>
      <c r="W252" s="1211"/>
      <c r="X252" s="1211"/>
      <c r="Y252" s="1211"/>
      <c r="Z252" s="1209"/>
    </row>
    <row r="253" spans="1:27" x14ac:dyDescent="0.2">
      <c r="E253" s="1107">
        <v>0</v>
      </c>
      <c r="F253" s="1192"/>
      <c r="G253" s="1203"/>
      <c r="H253" s="1204" t="s">
        <v>456</v>
      </c>
      <c r="I253" s="1326"/>
      <c r="J253" s="1377">
        <f>J$218*$I253*$J$214*$J$217</f>
        <v>0</v>
      </c>
      <c r="K253" s="1378">
        <f>K$218*$I253*$J$214*$J$217</f>
        <v>0</v>
      </c>
      <c r="L253" s="1216"/>
      <c r="M253" s="1192"/>
      <c r="N253" s="1211"/>
      <c r="O253" s="1211"/>
      <c r="P253" s="1211"/>
      <c r="Q253" s="1211"/>
      <c r="R253" s="1211"/>
      <c r="S253" s="1211"/>
      <c r="T253" s="1211"/>
      <c r="U253" s="1211"/>
      <c r="V253" s="1211"/>
      <c r="W253" s="1211"/>
      <c r="X253" s="1211"/>
      <c r="Y253" s="1211"/>
      <c r="Z253" s="1209"/>
    </row>
    <row r="254" spans="1:27" x14ac:dyDescent="0.2">
      <c r="E254" s="1107">
        <v>0</v>
      </c>
      <c r="F254" s="1192"/>
      <c r="G254" s="1203"/>
      <c r="H254" s="1204" t="s">
        <v>457</v>
      </c>
      <c r="I254" s="1326"/>
      <c r="J254" s="1377">
        <f>J$218*$I254*$J$214*$J$217</f>
        <v>0</v>
      </c>
      <c r="K254" s="1378">
        <f>K$218*$I254*$J$214*$J$217</f>
        <v>0</v>
      </c>
      <c r="L254" s="1216"/>
      <c r="M254" s="1192"/>
      <c r="N254" s="1211"/>
      <c r="O254" s="1211"/>
      <c r="P254" s="1211"/>
      <c r="Q254" s="1211"/>
      <c r="R254" s="1211"/>
      <c r="S254" s="1211"/>
      <c r="T254" s="1211"/>
      <c r="U254" s="1211"/>
      <c r="V254" s="1211"/>
      <c r="W254" s="1211"/>
      <c r="X254" s="1211"/>
      <c r="Y254" s="1211"/>
      <c r="Z254" s="1209"/>
    </row>
    <row r="255" spans="1:27" x14ac:dyDescent="0.2">
      <c r="E255" s="1107">
        <v>1</v>
      </c>
      <c r="F255" s="1192"/>
      <c r="G255" s="1203"/>
      <c r="H255" s="1204" t="s">
        <v>458</v>
      </c>
      <c r="I255" s="1326">
        <v>8</v>
      </c>
      <c r="J255" s="1377">
        <f t="shared" ref="J255:K263" si="40">J$218*$I255*$J$214*$J$217*($J$15/$J$215)^$J$216</f>
        <v>3.2</v>
      </c>
      <c r="K255" s="1378">
        <f t="shared" si="40"/>
        <v>4.8</v>
      </c>
      <c r="L255" s="1216"/>
      <c r="M255" s="1192"/>
      <c r="N255" s="1211"/>
      <c r="O255" s="1211"/>
      <c r="P255" s="1211"/>
      <c r="Q255" s="1211"/>
      <c r="R255" s="1211"/>
      <c r="S255" s="1211"/>
      <c r="T255" s="1211"/>
      <c r="U255" s="1211"/>
      <c r="V255" s="1211"/>
      <c r="W255" s="1211"/>
      <c r="X255" s="1211"/>
      <c r="Y255" s="1211"/>
      <c r="Z255" s="1209"/>
    </row>
    <row r="256" spans="1:27" x14ac:dyDescent="0.2">
      <c r="E256" s="1107">
        <v>1</v>
      </c>
      <c r="F256" s="1192"/>
      <c r="G256" s="1203"/>
      <c r="H256" s="1204" t="s">
        <v>293</v>
      </c>
      <c r="I256" s="1326">
        <v>18</v>
      </c>
      <c r="J256" s="1377">
        <f t="shared" si="40"/>
        <v>7.2</v>
      </c>
      <c r="K256" s="1378">
        <f t="shared" si="40"/>
        <v>10.799999999999999</v>
      </c>
      <c r="L256" s="1216"/>
      <c r="M256" s="1192"/>
      <c r="N256" s="1211"/>
      <c r="O256" s="1211"/>
      <c r="P256" s="1211"/>
      <c r="Q256" s="1211"/>
      <c r="R256" s="1211"/>
      <c r="S256" s="1211"/>
      <c r="T256" s="1211"/>
      <c r="U256" s="1211"/>
      <c r="V256" s="1211"/>
      <c r="W256" s="1211"/>
      <c r="X256" s="1211"/>
      <c r="Y256" s="1211"/>
      <c r="Z256" s="1209"/>
    </row>
    <row r="257" spans="3:27" x14ac:dyDescent="0.2">
      <c r="E257" s="1107">
        <v>1</v>
      </c>
      <c r="F257" s="1192"/>
      <c r="G257" s="1203"/>
      <c r="H257" s="1204" t="s">
        <v>294</v>
      </c>
      <c r="I257" s="1326">
        <v>23</v>
      </c>
      <c r="J257" s="1377">
        <f t="shared" si="40"/>
        <v>9.2000000000000011</v>
      </c>
      <c r="K257" s="1378">
        <f t="shared" si="40"/>
        <v>13.799999999999999</v>
      </c>
      <c r="L257" s="1216"/>
      <c r="M257" s="1192"/>
      <c r="N257" s="1211"/>
      <c r="O257" s="1211"/>
      <c r="P257" s="1211"/>
      <c r="Q257" s="1211"/>
      <c r="R257" s="1211"/>
      <c r="S257" s="1211"/>
      <c r="T257" s="1211"/>
      <c r="U257" s="1211"/>
      <c r="V257" s="1211"/>
      <c r="W257" s="1211"/>
      <c r="X257" s="1211"/>
      <c r="Y257" s="1211"/>
      <c r="Z257" s="1209"/>
    </row>
    <row r="258" spans="3:27" x14ac:dyDescent="0.2">
      <c r="E258" s="1107">
        <v>1</v>
      </c>
      <c r="F258" s="1192"/>
      <c r="G258" s="1203"/>
      <c r="H258" s="1204" t="s">
        <v>295</v>
      </c>
      <c r="I258" s="1410">
        <v>1</v>
      </c>
      <c r="J258" s="1377">
        <f t="shared" si="40"/>
        <v>0.4</v>
      </c>
      <c r="K258" s="1378">
        <f t="shared" si="40"/>
        <v>0.6</v>
      </c>
      <c r="L258" s="1216"/>
      <c r="M258" s="1192"/>
      <c r="N258" s="1211"/>
      <c r="O258" s="1211"/>
      <c r="P258" s="1211"/>
      <c r="Q258" s="1211"/>
      <c r="R258" s="1211"/>
      <c r="S258" s="1211"/>
      <c r="T258" s="1211"/>
      <c r="U258" s="1211"/>
      <c r="V258" s="1211"/>
      <c r="W258" s="1211"/>
      <c r="X258" s="1211"/>
      <c r="Y258" s="1211"/>
      <c r="Z258" s="1209"/>
    </row>
    <row r="259" spans="3:27" x14ac:dyDescent="0.2">
      <c r="E259" s="1107">
        <v>1</v>
      </c>
      <c r="F259" s="1192"/>
      <c r="G259" s="1203"/>
      <c r="H259" s="1204" t="s">
        <v>459</v>
      </c>
      <c r="I259" s="1326">
        <v>10</v>
      </c>
      <c r="J259" s="1377">
        <f t="shared" si="40"/>
        <v>4</v>
      </c>
      <c r="K259" s="1378">
        <f t="shared" si="40"/>
        <v>6</v>
      </c>
      <c r="L259" s="1216"/>
      <c r="M259" s="1192"/>
      <c r="N259" s="1211"/>
      <c r="O259" s="1211"/>
      <c r="P259" s="1211"/>
      <c r="Q259" s="1211"/>
      <c r="R259" s="1211"/>
      <c r="S259" s="1211"/>
      <c r="T259" s="1211"/>
      <c r="U259" s="1211"/>
      <c r="V259" s="1211"/>
      <c r="W259" s="1211"/>
      <c r="X259" s="1211"/>
      <c r="Y259" s="1211"/>
      <c r="Z259" s="1209"/>
    </row>
    <row r="260" spans="3:27" x14ac:dyDescent="0.2">
      <c r="E260" s="1107">
        <v>1</v>
      </c>
      <c r="F260" s="1192"/>
      <c r="G260" s="1203"/>
      <c r="H260" s="1313" t="s">
        <v>688</v>
      </c>
      <c r="I260" s="1326">
        <v>1</v>
      </c>
      <c r="J260" s="1377">
        <f t="shared" si="40"/>
        <v>0.4</v>
      </c>
      <c r="K260" s="1378">
        <f t="shared" si="40"/>
        <v>0.6</v>
      </c>
      <c r="L260" s="1216"/>
      <c r="M260" s="1192"/>
      <c r="N260" s="1211"/>
      <c r="O260" s="1211"/>
      <c r="P260" s="1211"/>
      <c r="Q260" s="1211"/>
      <c r="R260" s="1211"/>
      <c r="S260" s="1211"/>
      <c r="T260" s="1211"/>
      <c r="U260" s="1211"/>
      <c r="V260" s="1211"/>
      <c r="W260" s="1211"/>
      <c r="X260" s="1211"/>
      <c r="Y260" s="1211"/>
      <c r="Z260" s="1209"/>
    </row>
    <row r="261" spans="3:27" x14ac:dyDescent="0.2">
      <c r="E261" s="1107">
        <v>1</v>
      </c>
      <c r="F261" s="1192"/>
      <c r="G261" s="1203"/>
      <c r="H261" s="1204" t="s">
        <v>167</v>
      </c>
      <c r="I261" s="1326">
        <v>13</v>
      </c>
      <c r="J261" s="1377">
        <f t="shared" si="40"/>
        <v>5.2</v>
      </c>
      <c r="K261" s="1378">
        <f t="shared" si="40"/>
        <v>7.8</v>
      </c>
      <c r="L261" s="1216"/>
      <c r="M261" s="1192"/>
      <c r="N261" s="1211"/>
      <c r="O261" s="1211"/>
      <c r="P261" s="1211"/>
      <c r="Q261" s="1211"/>
      <c r="R261" s="1211"/>
      <c r="S261" s="1211"/>
      <c r="T261" s="1211"/>
      <c r="U261" s="1211"/>
      <c r="V261" s="1211"/>
      <c r="W261" s="1211"/>
      <c r="X261" s="1211"/>
      <c r="Y261" s="1211"/>
      <c r="Z261" s="1209"/>
    </row>
    <row r="262" spans="3:27" x14ac:dyDescent="0.2">
      <c r="E262" s="1107">
        <v>1</v>
      </c>
      <c r="F262" s="1192"/>
      <c r="G262" s="1203"/>
      <c r="H262" s="1204" t="s">
        <v>461</v>
      </c>
      <c r="I262" s="1326">
        <v>10</v>
      </c>
      <c r="J262" s="1377">
        <f t="shared" si="40"/>
        <v>4</v>
      </c>
      <c r="K262" s="1378">
        <f t="shared" si="40"/>
        <v>6</v>
      </c>
      <c r="L262" s="1216"/>
      <c r="M262" s="1192"/>
      <c r="N262" s="1211"/>
      <c r="O262" s="1211"/>
      <c r="P262" s="1211"/>
      <c r="Q262" s="1211"/>
      <c r="R262" s="1211"/>
      <c r="S262" s="1211"/>
      <c r="T262" s="1211"/>
      <c r="U262" s="1211"/>
      <c r="V262" s="1211"/>
      <c r="W262" s="1211"/>
      <c r="X262" s="1211"/>
      <c r="Y262" s="1211"/>
      <c r="Z262" s="1209"/>
    </row>
    <row r="263" spans="3:27" x14ac:dyDescent="0.2">
      <c r="E263" s="1107">
        <v>1</v>
      </c>
      <c r="F263" s="1192"/>
      <c r="G263" s="1203"/>
      <c r="H263" s="1204" t="s">
        <v>462</v>
      </c>
      <c r="I263" s="1326">
        <v>5</v>
      </c>
      <c r="J263" s="1377">
        <f t="shared" si="40"/>
        <v>2</v>
      </c>
      <c r="K263" s="1378">
        <f t="shared" si="40"/>
        <v>3</v>
      </c>
      <c r="L263" s="1216"/>
      <c r="M263" s="1192"/>
      <c r="N263" s="1211"/>
      <c r="O263" s="1211"/>
      <c r="P263" s="1211"/>
      <c r="Q263" s="1211"/>
      <c r="R263" s="1211"/>
      <c r="S263" s="1211"/>
      <c r="T263" s="1211"/>
      <c r="U263" s="1211"/>
      <c r="V263" s="1211"/>
      <c r="W263" s="1211"/>
      <c r="X263" s="1211"/>
      <c r="Y263" s="1211"/>
      <c r="Z263" s="1209"/>
    </row>
    <row r="264" spans="3:27" x14ac:dyDescent="0.2">
      <c r="E264" s="1107">
        <v>1</v>
      </c>
      <c r="F264" s="1192"/>
      <c r="G264" s="1203"/>
      <c r="H264" s="1204" t="s">
        <v>298</v>
      </c>
      <c r="I264" s="1205">
        <v>0.125</v>
      </c>
      <c r="J264" s="1377">
        <f>SUM(J252:J263)*$I264</f>
        <v>4.6999999999999993</v>
      </c>
      <c r="K264" s="1378">
        <f>SUM(K252:K263)*$I264</f>
        <v>7.05</v>
      </c>
      <c r="L264" s="1204" t="s">
        <v>367</v>
      </c>
      <c r="N264" s="1211"/>
      <c r="O264" s="1211"/>
      <c r="P264" s="1211"/>
      <c r="Q264" s="1211"/>
      <c r="R264" s="1211"/>
      <c r="S264" s="1211"/>
      <c r="T264" s="1211"/>
      <c r="U264" s="1211"/>
      <c r="V264" s="1211"/>
      <c r="W264" s="1211"/>
      <c r="X264" s="1211"/>
      <c r="Y264" s="1211"/>
      <c r="Z264" s="1209"/>
    </row>
    <row r="265" spans="3:27" x14ac:dyDescent="0.2">
      <c r="F265" s="1192"/>
      <c r="G265" s="1203"/>
      <c r="H265" s="1204" t="s">
        <v>368</v>
      </c>
      <c r="I265" s="1205">
        <v>0.1</v>
      </c>
      <c r="J265" s="1377">
        <f>SUM(J252:J264)*$I265</f>
        <v>4.2299999999999995</v>
      </c>
      <c r="K265" s="1378">
        <f>SUM(K252:K264)*$I265</f>
        <v>6.3449999999999998</v>
      </c>
      <c r="L265" s="1221" t="s">
        <v>369</v>
      </c>
      <c r="M265" s="1204"/>
      <c r="N265" s="1211"/>
      <c r="O265" s="1211"/>
      <c r="P265" s="1211"/>
      <c r="Q265" s="1211"/>
      <c r="R265" s="1211"/>
      <c r="S265" s="1211"/>
      <c r="T265" s="1211"/>
      <c r="U265" s="1211"/>
      <c r="V265" s="1211"/>
      <c r="W265" s="1211"/>
      <c r="X265" s="1211"/>
      <c r="Y265" s="1211"/>
      <c r="Z265" s="1209"/>
    </row>
    <row r="266" spans="3:27" x14ac:dyDescent="0.2">
      <c r="F266" s="1192"/>
      <c r="G266" s="1203"/>
      <c r="H266" s="1204" t="s">
        <v>370</v>
      </c>
      <c r="I266" s="1326">
        <v>5</v>
      </c>
      <c r="J266" s="1377">
        <f>I266</f>
        <v>5</v>
      </c>
      <c r="K266" s="1378"/>
      <c r="L266" s="1267" t="s">
        <v>371</v>
      </c>
      <c r="M266" s="1192"/>
      <c r="N266" s="1211"/>
      <c r="O266" s="1211"/>
      <c r="P266" s="1211"/>
      <c r="Q266" s="1211"/>
      <c r="R266" s="1211"/>
      <c r="S266" s="1211"/>
      <c r="T266" s="1211"/>
      <c r="U266" s="1211"/>
      <c r="V266" s="1211"/>
      <c r="W266" s="1211"/>
      <c r="X266" s="1211"/>
      <c r="Y266" s="1211"/>
      <c r="Z266" s="1209"/>
    </row>
    <row r="267" spans="3:27" x14ac:dyDescent="0.2">
      <c r="F267" s="1192"/>
      <c r="G267" s="1203"/>
      <c r="H267" s="1204" t="s">
        <v>372</v>
      </c>
      <c r="I267" s="1326">
        <v>10</v>
      </c>
      <c r="J267" s="1377">
        <f>J$218*$I267*$J$214*$J$217</f>
        <v>4</v>
      </c>
      <c r="K267" s="1378">
        <f>K$218*$I267*$J$214*$J$217</f>
        <v>6</v>
      </c>
      <c r="L267" s="1216"/>
      <c r="M267" s="1192"/>
      <c r="N267" s="1211"/>
      <c r="O267" s="1211"/>
      <c r="P267" s="1211"/>
      <c r="Q267" s="1211"/>
      <c r="R267" s="1211"/>
      <c r="S267" s="1211"/>
      <c r="T267" s="1211"/>
      <c r="U267" s="1211"/>
      <c r="V267" s="1211"/>
      <c r="W267" s="1211"/>
      <c r="X267" s="1211"/>
      <c r="Y267" s="1211"/>
      <c r="Z267" s="1209"/>
    </row>
    <row r="268" spans="3:27" x14ac:dyDescent="0.2">
      <c r="F268" s="1192"/>
      <c r="G268" s="1203"/>
      <c r="H268" s="1204" t="s">
        <v>299</v>
      </c>
      <c r="I268" s="1379">
        <v>0.1</v>
      </c>
      <c r="J268" s="1377">
        <f>SUM(J252:J267)*$I268</f>
        <v>5.5529999999999999</v>
      </c>
      <c r="K268" s="1378">
        <f>SUM(K252:K267)*$I268</f>
        <v>7.5795000000000003</v>
      </c>
      <c r="L268" s="1216"/>
      <c r="M268" s="1192"/>
      <c r="N268" s="1211"/>
      <c r="O268" s="1211"/>
      <c r="P268" s="1211"/>
      <c r="Q268" s="1211"/>
      <c r="R268" s="1211"/>
      <c r="S268" s="1211"/>
      <c r="T268" s="1211"/>
      <c r="U268" s="1211"/>
      <c r="V268" s="1211"/>
      <c r="W268" s="1211"/>
      <c r="X268" s="1211"/>
      <c r="Y268" s="1211"/>
      <c r="Z268" s="1209"/>
    </row>
    <row r="269" spans="3:27" x14ac:dyDescent="0.2">
      <c r="C269" s="1363"/>
      <c r="D269" s="1363"/>
      <c r="F269" s="1192"/>
      <c r="G269" s="1203"/>
      <c r="H269" s="1313" t="s">
        <v>275</v>
      </c>
      <c r="I269" s="1235" t="s">
        <v>300</v>
      </c>
      <c r="J269" s="1380"/>
      <c r="K269" s="1381"/>
      <c r="L269" s="1382">
        <f>L214*L219*SUM($J$270:$K$270)</f>
        <v>1.4445749999999999</v>
      </c>
      <c r="M269" s="1382">
        <f t="shared" ref="M269:Z269" si="41">M214*M219*SUM($J$270:$K$270)</f>
        <v>1.4445749999999999</v>
      </c>
      <c r="N269" s="1208">
        <f t="shared" si="41"/>
        <v>1.4445749999999999</v>
      </c>
      <c r="O269" s="1208">
        <f t="shared" si="41"/>
        <v>1.4445749999999999</v>
      </c>
      <c r="P269" s="1208">
        <f t="shared" si="41"/>
        <v>1.4445749999999999</v>
      </c>
      <c r="Q269" s="1208">
        <f t="shared" si="41"/>
        <v>1.4445749999999999</v>
      </c>
      <c r="R269" s="1208">
        <f t="shared" si="41"/>
        <v>1.4445749999999999</v>
      </c>
      <c r="S269" s="1208">
        <f t="shared" si="41"/>
        <v>1.4445749999999999</v>
      </c>
      <c r="T269" s="1208">
        <f t="shared" si="41"/>
        <v>1.4445749999999999</v>
      </c>
      <c r="U269" s="1208">
        <f t="shared" si="41"/>
        <v>1.4445749999999999</v>
      </c>
      <c r="V269" s="1208">
        <f t="shared" si="41"/>
        <v>1.4445749999999999</v>
      </c>
      <c r="W269" s="1208">
        <f t="shared" si="41"/>
        <v>1.4445749999999999</v>
      </c>
      <c r="X269" s="1208">
        <f t="shared" si="41"/>
        <v>1.4445749999999999</v>
      </c>
      <c r="Y269" s="1208">
        <f t="shared" si="41"/>
        <v>1.4445749999999999</v>
      </c>
      <c r="Z269" s="1383">
        <f t="shared" si="41"/>
        <v>1.4445749999999999</v>
      </c>
      <c r="AA269" s="1382">
        <f>AA214*AA219*SUM($J$231:Z270)</f>
        <v>0</v>
      </c>
    </row>
    <row r="270" spans="3:27" x14ac:dyDescent="0.2">
      <c r="F270" s="1192"/>
      <c r="G270" s="1203"/>
      <c r="H270" s="1220" t="s">
        <v>301</v>
      </c>
      <c r="I270" s="1243"/>
      <c r="J270" s="1384">
        <f t="shared" ref="J270:Z270" si="42">SUM(J252:J269)</f>
        <v>61.082999999999991</v>
      </c>
      <c r="K270" s="1385">
        <f t="shared" si="42"/>
        <v>83.374499999999998</v>
      </c>
      <c r="L270" s="1384">
        <f t="shared" si="42"/>
        <v>1.4445749999999999</v>
      </c>
      <c r="M270" s="1384">
        <f t="shared" si="42"/>
        <v>1.4445749999999999</v>
      </c>
      <c r="N270" s="1273">
        <f t="shared" si="42"/>
        <v>1.4445749999999999</v>
      </c>
      <c r="O270" s="1273">
        <f t="shared" si="42"/>
        <v>1.4445749999999999</v>
      </c>
      <c r="P270" s="1273">
        <f t="shared" si="42"/>
        <v>1.4445749999999999</v>
      </c>
      <c r="Q270" s="1273">
        <f t="shared" si="42"/>
        <v>1.4445749999999999</v>
      </c>
      <c r="R270" s="1273">
        <f t="shared" si="42"/>
        <v>1.4445749999999999</v>
      </c>
      <c r="S270" s="1273">
        <f t="shared" si="42"/>
        <v>1.4445749999999999</v>
      </c>
      <c r="T270" s="1273">
        <f t="shared" si="42"/>
        <v>1.4445749999999999</v>
      </c>
      <c r="U270" s="1273">
        <f t="shared" si="42"/>
        <v>1.4445749999999999</v>
      </c>
      <c r="V270" s="1273">
        <f t="shared" si="42"/>
        <v>1.4445749999999999</v>
      </c>
      <c r="W270" s="1273">
        <f t="shared" si="42"/>
        <v>1.4445749999999999</v>
      </c>
      <c r="X270" s="1273">
        <f t="shared" si="42"/>
        <v>1.4445749999999999</v>
      </c>
      <c r="Y270" s="1273">
        <f t="shared" si="42"/>
        <v>1.4445749999999999</v>
      </c>
      <c r="Z270" s="1218">
        <f t="shared" si="42"/>
        <v>1.4445749999999999</v>
      </c>
    </row>
    <row r="271" spans="3:27" x14ac:dyDescent="0.2">
      <c r="F271" s="1192"/>
      <c r="G271" s="1203"/>
      <c r="H271" s="1192"/>
      <c r="I271" s="1243"/>
      <c r="J271" s="1203"/>
      <c r="K271" s="1369"/>
      <c r="L271" s="1216"/>
      <c r="M271" s="1192"/>
      <c r="N271" s="1211"/>
      <c r="O271" s="1211"/>
      <c r="P271" s="1211"/>
      <c r="Q271" s="1211"/>
      <c r="R271" s="1211"/>
      <c r="S271" s="1211"/>
      <c r="T271" s="1211"/>
      <c r="U271" s="1211"/>
      <c r="V271" s="1211"/>
      <c r="W271" s="1211"/>
      <c r="X271" s="1211"/>
      <c r="Y271" s="1211"/>
      <c r="Z271" s="1209"/>
    </row>
    <row r="272" spans="3:27" x14ac:dyDescent="0.2">
      <c r="F272" s="1192"/>
      <c r="G272" s="1224"/>
      <c r="H272" s="1225"/>
      <c r="I272" s="1226"/>
      <c r="J272" s="1224"/>
      <c r="K272" s="1386"/>
      <c r="L272" s="1227"/>
      <c r="M272" s="1225"/>
      <c r="N272" s="1229"/>
      <c r="O272" s="1229"/>
      <c r="P272" s="1229"/>
      <c r="Q272" s="1229"/>
      <c r="R272" s="1229"/>
      <c r="S272" s="1229"/>
      <c r="T272" s="1229"/>
      <c r="U272" s="1229"/>
      <c r="V272" s="1229"/>
      <c r="W272" s="1229"/>
      <c r="X272" s="1229"/>
      <c r="Y272" s="1229"/>
      <c r="Z272" s="1228"/>
    </row>
    <row r="273" spans="3:28" x14ac:dyDescent="0.2">
      <c r="F273" s="1192"/>
      <c r="G273" s="1192"/>
      <c r="K273" s="1192"/>
      <c r="L273" s="1216"/>
      <c r="M273" s="1192"/>
      <c r="N273" s="1211"/>
      <c r="O273" s="1211"/>
      <c r="P273" s="1211"/>
      <c r="Q273" s="1211"/>
      <c r="R273" s="1211"/>
      <c r="S273" s="1211"/>
      <c r="T273" s="1211"/>
    </row>
    <row r="274" spans="3:28" x14ac:dyDescent="0.2">
      <c r="F274" s="1203"/>
      <c r="G274" s="1203"/>
      <c r="H274" s="1192"/>
      <c r="I274" s="1243"/>
      <c r="J274" s="1192"/>
      <c r="K274" s="1192"/>
      <c r="L274" s="1216"/>
      <c r="M274" s="1192"/>
      <c r="N274" s="1209"/>
      <c r="O274" s="1211"/>
      <c r="P274" s="1211"/>
      <c r="Q274" s="1211"/>
      <c r="R274" s="1211"/>
      <c r="S274" s="1211"/>
      <c r="T274" s="1209"/>
    </row>
    <row r="275" spans="3:28" x14ac:dyDescent="0.2">
      <c r="F275" s="1203"/>
      <c r="G275" s="1203"/>
      <c r="H275" s="1192"/>
      <c r="I275" s="1243"/>
      <c r="J275" s="1192"/>
      <c r="K275" s="1192"/>
      <c r="L275" s="1216"/>
      <c r="M275" s="1192"/>
      <c r="N275" s="1209"/>
      <c r="O275" s="1211"/>
      <c r="P275" s="1211"/>
      <c r="Q275" s="1211"/>
      <c r="R275" s="1211"/>
      <c r="S275" s="1211"/>
      <c r="T275" s="1209"/>
    </row>
    <row r="276" spans="3:28" x14ac:dyDescent="0.2">
      <c r="F276" s="1203"/>
      <c r="G276" s="1203"/>
      <c r="H276" s="1192"/>
      <c r="I276" s="1243"/>
      <c r="J276" s="1192"/>
      <c r="K276" s="1192"/>
      <c r="L276" s="1216"/>
      <c r="M276" s="1192"/>
      <c r="N276" s="1209"/>
      <c r="O276" s="1211"/>
      <c r="P276" s="1211"/>
      <c r="Q276" s="1211"/>
      <c r="R276" s="1211"/>
      <c r="S276" s="1211"/>
      <c r="T276" s="1209"/>
    </row>
    <row r="277" spans="3:28" x14ac:dyDescent="0.2">
      <c r="F277" s="1203"/>
      <c r="G277" s="1203"/>
      <c r="H277" s="1192"/>
      <c r="I277" s="1243"/>
      <c r="J277" s="1192"/>
      <c r="K277" s="1192"/>
      <c r="L277" s="1216"/>
      <c r="M277" s="1192"/>
      <c r="N277" s="1209"/>
      <c r="O277" s="1211"/>
      <c r="P277" s="1211"/>
      <c r="Q277" s="1211"/>
      <c r="R277" s="1211"/>
      <c r="S277" s="1211"/>
      <c r="T277" s="1209"/>
    </row>
    <row r="278" spans="3:28" s="1191" customFormat="1" x14ac:dyDescent="0.2">
      <c r="C278" s="1107"/>
      <c r="D278" s="1107"/>
      <c r="E278" s="1107"/>
      <c r="F278" s="1203"/>
      <c r="G278" s="1203"/>
      <c r="H278" s="1192"/>
      <c r="I278" s="1243"/>
      <c r="J278" s="1192"/>
      <c r="K278" s="1192"/>
      <c r="L278" s="1216"/>
      <c r="M278" s="1192"/>
      <c r="N278" s="1209"/>
      <c r="O278" s="1211"/>
      <c r="P278" s="1211"/>
      <c r="Q278" s="1211"/>
      <c r="R278" s="1211"/>
      <c r="S278" s="1211"/>
      <c r="T278" s="1209"/>
      <c r="AA278" s="1107"/>
      <c r="AB278" s="1107"/>
    </row>
    <row r="279" spans="3:28" s="1191" customFormat="1" x14ac:dyDescent="0.2">
      <c r="F279" s="1203"/>
      <c r="G279" s="1203"/>
      <c r="H279" s="1192"/>
      <c r="I279" s="1243"/>
      <c r="J279" s="1192"/>
      <c r="K279" s="1192"/>
      <c r="L279" s="1216"/>
      <c r="M279" s="1192"/>
      <c r="N279" s="1209"/>
      <c r="O279" s="1211"/>
      <c r="P279" s="1211"/>
      <c r="Q279" s="1211"/>
      <c r="R279" s="1211"/>
      <c r="S279" s="1211"/>
      <c r="T279" s="1209"/>
    </row>
    <row r="280" spans="3:28" s="1191" customFormat="1" x14ac:dyDescent="0.2">
      <c r="F280" s="1203"/>
      <c r="G280" s="1203"/>
      <c r="H280" s="1192"/>
      <c r="I280" s="1243"/>
      <c r="J280" s="1192"/>
      <c r="K280" s="1192"/>
      <c r="L280" s="1216"/>
      <c r="M280" s="1192"/>
      <c r="N280" s="1209"/>
      <c r="O280" s="1211"/>
      <c r="P280" s="1211"/>
      <c r="Q280" s="1211"/>
      <c r="R280" s="1211"/>
      <c r="S280" s="1211"/>
      <c r="T280" s="1209"/>
    </row>
    <row r="281" spans="3:28" s="1191" customFormat="1" x14ac:dyDescent="0.2">
      <c r="F281" s="1203"/>
      <c r="G281" s="1203"/>
      <c r="H281" s="1192"/>
      <c r="I281" s="1243"/>
      <c r="J281" s="1192"/>
      <c r="K281" s="1192"/>
      <c r="L281" s="1216"/>
      <c r="M281" s="1192"/>
      <c r="N281" s="1209"/>
      <c r="O281" s="1211"/>
      <c r="P281" s="1211"/>
      <c r="Q281" s="1211"/>
      <c r="R281" s="1211"/>
      <c r="S281" s="1211"/>
      <c r="T281" s="1209"/>
    </row>
    <row r="282" spans="3:28" s="1191" customFormat="1" x14ac:dyDescent="0.2">
      <c r="F282" s="1203"/>
      <c r="G282" s="1203"/>
      <c r="H282" s="1192"/>
      <c r="I282" s="1243"/>
      <c r="J282" s="1192"/>
      <c r="K282" s="1192"/>
      <c r="L282" s="1216"/>
      <c r="M282" s="1192"/>
      <c r="N282" s="1209"/>
      <c r="O282" s="1211"/>
      <c r="P282" s="1211"/>
      <c r="Q282" s="1211"/>
      <c r="R282" s="1211"/>
      <c r="S282" s="1211"/>
      <c r="T282" s="1209"/>
    </row>
    <row r="283" spans="3:28" s="1191" customFormat="1" x14ac:dyDescent="0.2">
      <c r="F283" s="1203"/>
      <c r="G283" s="1203"/>
      <c r="H283" s="1192"/>
      <c r="I283" s="1243"/>
      <c r="J283" s="1192"/>
      <c r="K283" s="1192"/>
      <c r="L283" s="1216"/>
      <c r="M283" s="1192"/>
      <c r="N283" s="1209"/>
      <c r="O283" s="1211"/>
      <c r="P283" s="1211"/>
      <c r="Q283" s="1211"/>
      <c r="R283" s="1211"/>
      <c r="S283" s="1211"/>
      <c r="T283" s="1209"/>
    </row>
    <row r="284" spans="3:28" s="1191" customFormat="1" x14ac:dyDescent="0.2">
      <c r="F284" s="1203"/>
      <c r="G284" s="1203"/>
      <c r="H284" s="1192"/>
      <c r="I284" s="1243"/>
      <c r="J284" s="1192"/>
      <c r="K284" s="1192"/>
      <c r="L284" s="1216"/>
      <c r="M284" s="1192"/>
      <c r="N284" s="1209"/>
      <c r="O284" s="1211"/>
      <c r="P284" s="1211"/>
      <c r="Q284" s="1211"/>
      <c r="R284" s="1211"/>
      <c r="S284" s="1211"/>
      <c r="T284" s="1209"/>
    </row>
    <row r="285" spans="3:28" s="1191" customFormat="1" x14ac:dyDescent="0.2">
      <c r="F285" s="1203"/>
      <c r="G285" s="1203"/>
      <c r="H285" s="1192"/>
      <c r="I285" s="1243"/>
      <c r="J285" s="1192"/>
      <c r="K285" s="1192"/>
      <c r="L285" s="1216"/>
      <c r="M285" s="1192"/>
      <c r="N285" s="1209"/>
      <c r="O285" s="1211"/>
      <c r="P285" s="1211"/>
      <c r="Q285" s="1211"/>
      <c r="R285" s="1211"/>
      <c r="S285" s="1211"/>
      <c r="T285" s="1209"/>
    </row>
    <row r="286" spans="3:28" s="1191" customFormat="1" x14ac:dyDescent="0.2">
      <c r="F286" s="1203"/>
      <c r="G286" s="1203"/>
      <c r="H286" s="1192"/>
      <c r="I286" s="1243"/>
      <c r="J286" s="1192"/>
      <c r="K286" s="1192"/>
      <c r="L286" s="1216"/>
      <c r="M286" s="1192"/>
      <c r="N286" s="1209"/>
      <c r="O286" s="1211"/>
      <c r="P286" s="1211"/>
      <c r="Q286" s="1211"/>
      <c r="R286" s="1211"/>
      <c r="S286" s="1211"/>
      <c r="T286" s="1209"/>
    </row>
    <row r="287" spans="3:28" s="1191" customFormat="1" x14ac:dyDescent="0.2">
      <c r="F287" s="1203"/>
      <c r="G287" s="1203"/>
      <c r="H287" s="1192"/>
      <c r="I287" s="1243"/>
      <c r="J287" s="1192"/>
      <c r="K287" s="1192"/>
      <c r="L287" s="1216"/>
      <c r="M287" s="1192"/>
      <c r="N287" s="1209"/>
      <c r="O287" s="1211"/>
      <c r="P287" s="1211"/>
      <c r="Q287" s="1211"/>
      <c r="R287" s="1211"/>
      <c r="S287" s="1211"/>
      <c r="T287" s="1209"/>
    </row>
    <row r="288" spans="3:28" s="1191" customFormat="1" x14ac:dyDescent="0.2">
      <c r="F288" s="1203"/>
      <c r="G288" s="1203"/>
      <c r="H288" s="1192"/>
      <c r="I288" s="1243"/>
      <c r="J288" s="1192"/>
      <c r="K288" s="1192"/>
      <c r="L288" s="1216"/>
      <c r="M288" s="1192"/>
      <c r="N288" s="1209"/>
      <c r="O288" s="1211"/>
      <c r="P288" s="1211"/>
      <c r="Q288" s="1211"/>
      <c r="R288" s="1211"/>
      <c r="S288" s="1211"/>
      <c r="T288" s="1209"/>
    </row>
    <row r="289" spans="6:20" s="1191" customFormat="1" x14ac:dyDescent="0.2">
      <c r="F289" s="1203"/>
      <c r="G289" s="1203"/>
      <c r="H289" s="1192"/>
      <c r="I289" s="1243"/>
      <c r="J289" s="1192"/>
      <c r="K289" s="1192"/>
      <c r="L289" s="1216"/>
      <c r="M289" s="1192"/>
      <c r="N289" s="1209"/>
      <c r="O289" s="1211"/>
      <c r="P289" s="1211"/>
      <c r="Q289" s="1211"/>
      <c r="R289" s="1211"/>
      <c r="S289" s="1211"/>
      <c r="T289" s="1209"/>
    </row>
    <row r="290" spans="6:20" s="1191" customFormat="1" x14ac:dyDescent="0.2">
      <c r="F290" s="1203"/>
      <c r="G290" s="1203"/>
      <c r="H290" s="1192"/>
      <c r="I290" s="1243"/>
      <c r="J290" s="1192"/>
      <c r="K290" s="1192"/>
      <c r="L290" s="1216"/>
      <c r="M290" s="1192"/>
      <c r="N290" s="1209"/>
      <c r="O290" s="1211"/>
      <c r="P290" s="1211"/>
      <c r="Q290" s="1211"/>
      <c r="R290" s="1211"/>
      <c r="S290" s="1211"/>
      <c r="T290" s="1209"/>
    </row>
    <row r="291" spans="6:20" s="1191" customFormat="1" x14ac:dyDescent="0.2">
      <c r="F291" s="1203"/>
      <c r="G291" s="1203"/>
      <c r="H291" s="1192"/>
      <c r="I291" s="1243"/>
      <c r="J291" s="1192"/>
      <c r="K291" s="1192"/>
      <c r="L291" s="1216"/>
      <c r="M291" s="1192"/>
      <c r="N291" s="1209"/>
      <c r="O291" s="1211"/>
      <c r="P291" s="1211"/>
      <c r="Q291" s="1211"/>
      <c r="R291" s="1211"/>
      <c r="S291" s="1211"/>
      <c r="T291" s="1209"/>
    </row>
    <row r="292" spans="6:20" s="1191" customFormat="1" x14ac:dyDescent="0.2">
      <c r="F292" s="1203"/>
      <c r="G292" s="1203"/>
      <c r="H292" s="1192"/>
      <c r="I292" s="1243"/>
      <c r="J292" s="1192"/>
      <c r="K292" s="1192"/>
      <c r="L292" s="1216"/>
      <c r="M292" s="1192"/>
      <c r="N292" s="1209"/>
      <c r="O292" s="1211"/>
      <c r="P292" s="1211"/>
      <c r="Q292" s="1211"/>
      <c r="R292" s="1211"/>
      <c r="S292" s="1211"/>
      <c r="T292" s="1209"/>
    </row>
    <row r="293" spans="6:20" s="1191" customFormat="1" x14ac:dyDescent="0.2">
      <c r="F293" s="1203"/>
      <c r="G293" s="1203"/>
      <c r="H293" s="1192"/>
      <c r="I293" s="1243"/>
      <c r="J293" s="1192"/>
      <c r="K293" s="1192"/>
      <c r="L293" s="1216"/>
      <c r="M293" s="1192"/>
      <c r="N293" s="1209"/>
      <c r="O293" s="1211"/>
      <c r="P293" s="1211"/>
      <c r="Q293" s="1211"/>
      <c r="R293" s="1211"/>
      <c r="S293" s="1211"/>
      <c r="T293" s="1209"/>
    </row>
    <row r="294" spans="6:20" s="1191" customFormat="1" x14ac:dyDescent="0.2">
      <c r="F294" s="1203"/>
      <c r="G294" s="1203"/>
      <c r="H294" s="1192"/>
      <c r="I294" s="1243"/>
      <c r="J294" s="1192"/>
      <c r="K294" s="1192"/>
      <c r="L294" s="1216"/>
      <c r="M294" s="1192"/>
      <c r="N294" s="1209"/>
      <c r="O294" s="1211"/>
      <c r="P294" s="1211"/>
      <c r="Q294" s="1211"/>
      <c r="R294" s="1211"/>
      <c r="S294" s="1211"/>
      <c r="T294" s="1209"/>
    </row>
    <row r="295" spans="6:20" s="1191" customFormat="1" x14ac:dyDescent="0.2">
      <c r="F295" s="1203"/>
      <c r="G295" s="1203"/>
      <c r="H295" s="1192"/>
      <c r="I295" s="1243"/>
      <c r="J295" s="1192"/>
      <c r="K295" s="1192"/>
      <c r="L295" s="1216"/>
      <c r="M295" s="1192"/>
      <c r="N295" s="1209"/>
      <c r="O295" s="1211"/>
      <c r="P295" s="1211"/>
      <c r="Q295" s="1211"/>
      <c r="R295" s="1211"/>
      <c r="S295" s="1211"/>
      <c r="T295" s="1209"/>
    </row>
    <row r="296" spans="6:20" s="1191" customFormat="1" x14ac:dyDescent="0.2">
      <c r="F296" s="1203"/>
      <c r="G296" s="1203"/>
      <c r="H296" s="1192"/>
      <c r="I296" s="1243"/>
      <c r="J296" s="1192"/>
      <c r="K296" s="1192"/>
      <c r="L296" s="1216"/>
      <c r="M296" s="1192"/>
      <c r="N296" s="1209"/>
      <c r="O296" s="1211"/>
      <c r="P296" s="1211"/>
      <c r="Q296" s="1211"/>
      <c r="R296" s="1211"/>
      <c r="S296" s="1211"/>
      <c r="T296" s="1209"/>
    </row>
    <row r="297" spans="6:20" s="1191" customFormat="1" x14ac:dyDescent="0.2">
      <c r="F297" s="1203"/>
      <c r="G297" s="1203"/>
      <c r="H297" s="1192"/>
      <c r="I297" s="1243"/>
      <c r="J297" s="1192"/>
      <c r="K297" s="1192"/>
      <c r="L297" s="1216"/>
      <c r="M297" s="1192"/>
      <c r="N297" s="1209"/>
      <c r="O297" s="1211"/>
      <c r="P297" s="1211"/>
      <c r="Q297" s="1211"/>
      <c r="R297" s="1211"/>
      <c r="S297" s="1211"/>
      <c r="T297" s="1209"/>
    </row>
    <row r="298" spans="6:20" s="1191" customFormat="1" x14ac:dyDescent="0.2">
      <c r="F298" s="1203"/>
      <c r="G298" s="1203"/>
      <c r="H298" s="1192"/>
      <c r="I298" s="1243"/>
      <c r="J298" s="1192"/>
      <c r="K298" s="1192"/>
      <c r="L298" s="1216"/>
      <c r="M298" s="1192"/>
      <c r="N298" s="1209"/>
      <c r="O298" s="1211"/>
      <c r="P298" s="1211"/>
      <c r="Q298" s="1211"/>
      <c r="R298" s="1211"/>
      <c r="S298" s="1211"/>
      <c r="T298" s="1209"/>
    </row>
    <row r="299" spans="6:20" s="1191" customFormat="1" x14ac:dyDescent="0.2">
      <c r="F299" s="1203"/>
      <c r="G299" s="1203"/>
      <c r="H299" s="1192"/>
      <c r="I299" s="1243"/>
      <c r="J299" s="1192"/>
      <c r="K299" s="1192"/>
      <c r="L299" s="1216"/>
      <c r="M299" s="1192"/>
      <c r="N299" s="1209"/>
      <c r="O299" s="1211"/>
      <c r="P299" s="1211"/>
      <c r="Q299" s="1211"/>
      <c r="R299" s="1211"/>
      <c r="S299" s="1211"/>
      <c r="T299" s="1209"/>
    </row>
    <row r="300" spans="6:20" s="1191" customFormat="1" x14ac:dyDescent="0.2">
      <c r="F300" s="1203"/>
      <c r="G300" s="1203"/>
      <c r="H300" s="1192"/>
      <c r="I300" s="1243"/>
      <c r="J300" s="1192"/>
      <c r="K300" s="1192"/>
      <c r="L300" s="1216"/>
      <c r="M300" s="1192"/>
      <c r="N300" s="1209"/>
      <c r="O300" s="1211"/>
      <c r="P300" s="1211"/>
      <c r="Q300" s="1211"/>
      <c r="R300" s="1211"/>
      <c r="S300" s="1211"/>
      <c r="T300" s="1209"/>
    </row>
    <row r="301" spans="6:20" s="1191" customFormat="1" x14ac:dyDescent="0.2">
      <c r="F301" s="1203"/>
      <c r="G301" s="1203"/>
      <c r="H301" s="1192"/>
      <c r="I301" s="1243"/>
      <c r="J301" s="1192"/>
      <c r="K301" s="1192"/>
      <c r="L301" s="1216"/>
      <c r="M301" s="1192"/>
      <c r="N301" s="1209"/>
      <c r="O301" s="1211"/>
      <c r="P301" s="1211"/>
      <c r="Q301" s="1211"/>
      <c r="R301" s="1211"/>
      <c r="S301" s="1211"/>
      <c r="T301" s="1209"/>
    </row>
    <row r="302" spans="6:20" s="1191" customFormat="1" x14ac:dyDescent="0.2">
      <c r="F302" s="1203"/>
      <c r="G302" s="1203"/>
      <c r="H302" s="1192"/>
      <c r="I302" s="1243"/>
      <c r="J302" s="1192"/>
      <c r="K302" s="1192"/>
      <c r="L302" s="1216"/>
      <c r="M302" s="1192"/>
      <c r="N302" s="1209"/>
      <c r="O302" s="1211"/>
      <c r="P302" s="1211"/>
      <c r="Q302" s="1211"/>
      <c r="R302" s="1211"/>
      <c r="S302" s="1211"/>
      <c r="T302" s="1209"/>
    </row>
    <row r="303" spans="6:20" s="1191" customFormat="1" x14ac:dyDescent="0.2">
      <c r="F303" s="1203"/>
      <c r="G303" s="1203"/>
      <c r="H303" s="1192"/>
      <c r="I303" s="1243"/>
      <c r="J303" s="1192"/>
      <c r="K303" s="1192"/>
      <c r="L303" s="1216"/>
      <c r="M303" s="1192"/>
      <c r="N303" s="1209"/>
      <c r="O303" s="1211"/>
      <c r="P303" s="1211"/>
      <c r="Q303" s="1211"/>
      <c r="R303" s="1211"/>
      <c r="S303" s="1211"/>
      <c r="T303" s="1209"/>
    </row>
    <row r="304" spans="6:20" s="1191" customFormat="1" x14ac:dyDescent="0.2">
      <c r="F304" s="1203"/>
      <c r="G304" s="1203"/>
      <c r="H304" s="1192"/>
      <c r="I304" s="1243"/>
      <c r="J304" s="1192"/>
      <c r="K304" s="1192"/>
      <c r="L304" s="1216"/>
      <c r="M304" s="1192"/>
      <c r="N304" s="1209"/>
      <c r="O304" s="1211"/>
      <c r="P304" s="1211"/>
      <c r="Q304" s="1211"/>
      <c r="R304" s="1211"/>
      <c r="S304" s="1211"/>
      <c r="T304" s="1209"/>
    </row>
    <row r="305" spans="6:20" s="1191" customFormat="1" x14ac:dyDescent="0.2">
      <c r="F305" s="1203"/>
      <c r="G305" s="1203"/>
      <c r="H305" s="1192"/>
      <c r="I305" s="1243"/>
      <c r="J305" s="1192"/>
      <c r="K305" s="1192"/>
      <c r="L305" s="1216"/>
      <c r="M305" s="1192"/>
      <c r="N305" s="1209"/>
      <c r="O305" s="1211"/>
      <c r="P305" s="1211"/>
      <c r="Q305" s="1211"/>
      <c r="R305" s="1211"/>
      <c r="S305" s="1211"/>
      <c r="T305" s="1209"/>
    </row>
    <row r="306" spans="6:20" s="1191" customFormat="1" x14ac:dyDescent="0.2">
      <c r="F306" s="1203"/>
      <c r="G306" s="1196" t="s">
        <v>217</v>
      </c>
      <c r="H306" s="1275"/>
      <c r="I306" s="1276"/>
      <c r="J306" s="1198"/>
      <c r="K306" s="1198"/>
      <c r="L306" s="1199"/>
      <c r="M306" s="1198"/>
      <c r="N306" s="1202"/>
      <c r="O306" s="1277"/>
      <c r="P306" s="1187"/>
      <c r="Q306" s="1187"/>
      <c r="R306" s="1187"/>
      <c r="S306" s="1187"/>
      <c r="T306" s="1202"/>
    </row>
    <row r="307" spans="6:20" s="1191" customFormat="1" x14ac:dyDescent="0.2">
      <c r="F307" s="1192"/>
      <c r="G307" s="1203"/>
      <c r="H307" s="1204"/>
      <c r="I307" s="1243"/>
      <c r="J307" s="1192"/>
      <c r="K307" s="1192"/>
      <c r="L307" s="1216"/>
      <c r="M307" s="1192"/>
      <c r="N307" s="1209"/>
      <c r="O307" s="1387"/>
      <c r="P307" s="1211"/>
      <c r="Q307" s="1211"/>
      <c r="R307" s="1211"/>
      <c r="S307" s="1211"/>
      <c r="T307" s="1209"/>
    </row>
    <row r="308" spans="6:20" s="1191" customFormat="1" x14ac:dyDescent="0.2">
      <c r="F308" s="1192"/>
      <c r="G308" s="1203"/>
      <c r="H308" s="1204"/>
      <c r="I308" s="1243"/>
      <c r="J308" s="1192"/>
      <c r="K308" s="1192"/>
      <c r="L308" s="1216"/>
      <c r="M308" s="1192"/>
      <c r="N308" s="1209"/>
      <c r="O308" s="1387"/>
      <c r="P308" s="1211"/>
      <c r="Q308" s="1211"/>
      <c r="R308" s="1211"/>
      <c r="S308" s="1211"/>
      <c r="T308" s="1209"/>
    </row>
    <row r="309" spans="6:20" s="1191" customFormat="1" x14ac:dyDescent="0.2">
      <c r="F309" s="1192"/>
      <c r="G309" s="1203"/>
      <c r="H309" s="1204"/>
      <c r="I309" s="1243"/>
      <c r="J309" s="1192"/>
      <c r="K309" s="1192"/>
      <c r="L309" s="1216"/>
      <c r="M309" s="1192"/>
      <c r="N309" s="1209"/>
      <c r="O309" s="1387"/>
      <c r="P309" s="1211"/>
      <c r="Q309" s="1211"/>
      <c r="R309" s="1211"/>
      <c r="S309" s="1211"/>
      <c r="T309" s="1209"/>
    </row>
    <row r="310" spans="6:20" s="1191" customFormat="1" x14ac:dyDescent="0.2">
      <c r="F310" s="1192"/>
      <c r="G310" s="1203"/>
      <c r="H310" s="1204"/>
      <c r="I310" s="1243"/>
      <c r="J310" s="1192"/>
      <c r="K310" s="1192"/>
      <c r="L310" s="1216"/>
      <c r="M310" s="1192"/>
      <c r="N310" s="1209"/>
      <c r="O310" s="1387"/>
      <c r="P310" s="1211"/>
      <c r="Q310" s="1211"/>
      <c r="R310" s="1211"/>
      <c r="S310" s="1211"/>
      <c r="T310" s="1209"/>
    </row>
    <row r="311" spans="6:20" s="1191" customFormat="1" x14ac:dyDescent="0.2">
      <c r="F311" s="1192"/>
      <c r="G311" s="1203"/>
      <c r="H311" s="1204"/>
      <c r="I311" s="1243"/>
      <c r="J311" s="1192"/>
      <c r="K311" s="1192"/>
      <c r="L311" s="1216"/>
      <c r="M311" s="1192"/>
      <c r="N311" s="1209"/>
      <c r="O311" s="1387"/>
      <c r="P311" s="1211"/>
      <c r="Q311" s="1211"/>
      <c r="R311" s="1211"/>
      <c r="S311" s="1211"/>
      <c r="T311" s="1209"/>
    </row>
    <row r="312" spans="6:20" s="1191" customFormat="1" x14ac:dyDescent="0.2">
      <c r="F312" s="1192"/>
      <c r="G312" s="1203"/>
      <c r="H312" s="1204"/>
      <c r="I312" s="1243"/>
      <c r="J312" s="1192"/>
      <c r="K312" s="1192"/>
      <c r="L312" s="1216"/>
      <c r="M312" s="1192"/>
      <c r="N312" s="1209"/>
      <c r="O312" s="1387"/>
      <c r="P312" s="1211"/>
      <c r="Q312" s="1211"/>
      <c r="R312" s="1211"/>
      <c r="S312" s="1211"/>
      <c r="T312" s="1209"/>
    </row>
    <row r="313" spans="6:20" s="1191" customFormat="1" x14ac:dyDescent="0.2">
      <c r="F313" s="1192"/>
      <c r="G313" s="1203"/>
      <c r="H313" s="1204"/>
      <c r="I313" s="1243"/>
      <c r="J313" s="1192"/>
      <c r="K313" s="1192"/>
      <c r="L313" s="1216"/>
      <c r="M313" s="1192"/>
      <c r="N313" s="1209"/>
      <c r="O313" s="1387"/>
      <c r="P313" s="1211"/>
      <c r="Q313" s="1211"/>
      <c r="R313" s="1211"/>
      <c r="S313" s="1211"/>
      <c r="T313" s="1209"/>
    </row>
    <row r="314" spans="6:20" s="1191" customFormat="1" x14ac:dyDescent="0.2">
      <c r="F314" s="1192"/>
      <c r="G314" s="1203"/>
      <c r="H314" s="1204"/>
      <c r="I314" s="1243"/>
      <c r="J314" s="1192"/>
      <c r="K314" s="1192"/>
      <c r="L314" s="1216"/>
      <c r="M314" s="1192"/>
      <c r="N314" s="1209"/>
      <c r="O314" s="1387"/>
      <c r="P314" s="1211"/>
      <c r="Q314" s="1211"/>
      <c r="R314" s="1211"/>
      <c r="S314" s="1211"/>
      <c r="T314" s="1209"/>
    </row>
    <row r="315" spans="6:20" s="1191" customFormat="1" x14ac:dyDescent="0.2">
      <c r="F315" s="1192"/>
      <c r="G315" s="1203"/>
      <c r="H315" s="1204"/>
      <c r="I315" s="1243"/>
      <c r="J315" s="1192"/>
      <c r="K315" s="1192"/>
      <c r="L315" s="1216"/>
      <c r="M315" s="1192"/>
      <c r="N315" s="1209"/>
      <c r="O315" s="1387"/>
      <c r="P315" s="1211"/>
      <c r="Q315" s="1211"/>
      <c r="R315" s="1211"/>
      <c r="S315" s="1211"/>
      <c r="T315" s="1209"/>
    </row>
    <row r="316" spans="6:20" s="1191" customFormat="1" x14ac:dyDescent="0.2">
      <c r="F316" s="1192"/>
      <c r="G316" s="1203"/>
      <c r="H316" s="1204"/>
      <c r="I316" s="1243"/>
      <c r="J316" s="1192"/>
      <c r="K316" s="1192"/>
      <c r="L316" s="1216"/>
      <c r="M316" s="1192"/>
      <c r="N316" s="1209"/>
      <c r="O316" s="1387"/>
      <c r="P316" s="1211"/>
      <c r="Q316" s="1211"/>
      <c r="R316" s="1211"/>
      <c r="S316" s="1211"/>
      <c r="T316" s="1209"/>
    </row>
    <row r="317" spans="6:20" s="1191" customFormat="1" x14ac:dyDescent="0.2">
      <c r="F317" s="1192"/>
      <c r="G317" s="1203"/>
      <c r="H317" s="1204"/>
      <c r="I317" s="1243"/>
      <c r="J317" s="1192"/>
      <c r="K317" s="1192"/>
      <c r="L317" s="1216"/>
      <c r="M317" s="1192"/>
      <c r="N317" s="1209"/>
      <c r="O317" s="1387"/>
      <c r="P317" s="1211"/>
      <c r="Q317" s="1211"/>
      <c r="R317" s="1211"/>
      <c r="S317" s="1211"/>
      <c r="T317" s="1209"/>
    </row>
    <row r="318" spans="6:20" s="1191" customFormat="1" x14ac:dyDescent="0.2">
      <c r="F318" s="1192"/>
      <c r="G318" s="1203"/>
      <c r="H318" s="1220"/>
      <c r="I318" s="1243"/>
      <c r="J318" s="1192"/>
      <c r="K318" s="1192"/>
      <c r="L318" s="1216"/>
      <c r="M318" s="1192"/>
      <c r="N318" s="1209"/>
      <c r="O318" s="1387"/>
      <c r="P318" s="1211"/>
      <c r="Q318" s="1211"/>
      <c r="R318" s="1211"/>
      <c r="S318" s="1211"/>
      <c r="T318" s="1209"/>
    </row>
    <row r="319" spans="6:20" s="1191" customFormat="1" x14ac:dyDescent="0.2">
      <c r="F319" s="1192"/>
      <c r="G319" s="1224"/>
      <c r="H319" s="1225"/>
      <c r="I319" s="1226"/>
      <c r="J319" s="1225"/>
      <c r="K319" s="1225"/>
      <c r="L319" s="1227"/>
      <c r="M319" s="1225"/>
      <c r="N319" s="1228"/>
      <c r="O319" s="1388"/>
      <c r="P319" s="1229"/>
      <c r="Q319" s="1229"/>
      <c r="R319" s="1229"/>
      <c r="S319" s="1229"/>
      <c r="T319" s="1228"/>
    </row>
    <row r="320" spans="6:20" s="1191" customFormat="1" x14ac:dyDescent="0.2">
      <c r="F320" s="1192"/>
      <c r="G320" s="1192"/>
      <c r="H320" s="1107"/>
      <c r="I320" s="1189"/>
      <c r="J320" s="1107"/>
      <c r="K320" s="1192"/>
      <c r="L320" s="1216"/>
      <c r="M320" s="1192"/>
      <c r="N320" s="1211"/>
      <c r="O320" s="1211"/>
      <c r="P320" s="1211"/>
      <c r="Q320" s="1211"/>
      <c r="R320" s="1211"/>
      <c r="S320" s="1211"/>
      <c r="T320" s="1211"/>
    </row>
    <row r="322" spans="6:21" s="1191" customFormat="1" ht="23.25" x14ac:dyDescent="0.35">
      <c r="F322" s="1107"/>
      <c r="G322" s="1107"/>
      <c r="H322" s="1194"/>
      <c r="I322" s="1189"/>
      <c r="J322" s="1107"/>
      <c r="K322" s="1107"/>
      <c r="L322" s="1190"/>
      <c r="M322" s="1107"/>
    </row>
    <row r="324" spans="6:21" s="1191" customFormat="1" ht="18" x14ac:dyDescent="0.25">
      <c r="F324" s="1107"/>
      <c r="G324" s="1389" t="s">
        <v>0</v>
      </c>
      <c r="H324" s="1390"/>
      <c r="I324" s="1391"/>
      <c r="J324" s="1392"/>
      <c r="K324" s="1392"/>
      <c r="L324" s="1393"/>
      <c r="M324" s="1195"/>
      <c r="N324" s="1187"/>
      <c r="O324" s="1187"/>
      <c r="P324" s="1187"/>
      <c r="Q324" s="1187"/>
      <c r="R324" s="1187"/>
      <c r="S324" s="1187"/>
      <c r="T324" s="1202"/>
    </row>
    <row r="325" spans="6:21" s="1191" customFormat="1" x14ac:dyDescent="0.2">
      <c r="F325" s="1107"/>
      <c r="G325" s="1203"/>
      <c r="H325" s="1394"/>
      <c r="I325" s="1232"/>
      <c r="J325" s="1232"/>
      <c r="K325" s="1394"/>
      <c r="L325" s="1233"/>
      <c r="M325" s="1395"/>
      <c r="N325" s="1211"/>
      <c r="O325" s="1211"/>
      <c r="P325" s="1211"/>
      <c r="Q325" s="1211"/>
      <c r="R325" s="1211"/>
      <c r="S325" s="1211"/>
      <c r="T325" s="1209"/>
    </row>
    <row r="326" spans="6:21" s="1191" customFormat="1" x14ac:dyDescent="0.2">
      <c r="F326" s="1107"/>
      <c r="G326" s="1203"/>
      <c r="H326" s="1204"/>
      <c r="I326" s="1243"/>
      <c r="J326" s="1243"/>
      <c r="K326" s="1192"/>
      <c r="L326" s="1216"/>
      <c r="M326" s="1203"/>
      <c r="N326" s="1211"/>
      <c r="O326" s="1211"/>
      <c r="P326" s="1211"/>
      <c r="Q326" s="1211"/>
      <c r="R326" s="1211"/>
      <c r="S326" s="1211"/>
      <c r="T326" s="1209"/>
    </row>
    <row r="327" spans="6:21" s="1191" customFormat="1" x14ac:dyDescent="0.2">
      <c r="G327" s="1203"/>
      <c r="H327" s="1204"/>
      <c r="I327" s="1243"/>
      <c r="J327" s="1243"/>
      <c r="K327" s="1204"/>
      <c r="L327" s="1216"/>
      <c r="M327" s="1339"/>
      <c r="N327" s="1211"/>
      <c r="O327" s="1211"/>
      <c r="P327" s="1211"/>
      <c r="Q327" s="1211"/>
      <c r="R327" s="1211"/>
      <c r="S327" s="1211"/>
      <c r="T327" s="1209"/>
    </row>
    <row r="328" spans="6:21" s="1191" customFormat="1" x14ac:dyDescent="0.2">
      <c r="G328" s="1203"/>
      <c r="H328" s="1204"/>
      <c r="I328" s="1243"/>
      <c r="J328" s="1243"/>
      <c r="K328" s="1338"/>
      <c r="L328" s="1216"/>
      <c r="M328" s="1211"/>
      <c r="N328" s="1211"/>
      <c r="O328" s="1211"/>
      <c r="P328" s="1211"/>
      <c r="Q328" s="1211"/>
      <c r="R328" s="1210"/>
      <c r="S328" s="1211"/>
      <c r="T328" s="1209"/>
    </row>
    <row r="329" spans="6:21" s="1191" customFormat="1" x14ac:dyDescent="0.2">
      <c r="G329" s="1203"/>
      <c r="H329" s="1204"/>
      <c r="I329" s="1243"/>
      <c r="J329" s="1243"/>
      <c r="K329" s="1192"/>
      <c r="L329" s="1216"/>
      <c r="M329" s="1203"/>
      <c r="N329" s="1211"/>
      <c r="O329" s="1211"/>
      <c r="P329" s="1211"/>
      <c r="Q329" s="1211"/>
      <c r="R329" s="1211"/>
      <c r="S329" s="1211"/>
      <c r="T329" s="1209"/>
    </row>
    <row r="330" spans="6:21" s="1191" customFormat="1" x14ac:dyDescent="0.2">
      <c r="G330" s="1203"/>
      <c r="H330" s="1204"/>
      <c r="I330" s="1243"/>
      <c r="J330" s="1243"/>
      <c r="K330" s="1204"/>
      <c r="L330" s="1216"/>
      <c r="M330" s="1339"/>
      <c r="N330" s="1211"/>
      <c r="O330" s="1211"/>
      <c r="P330" s="1211"/>
      <c r="Q330" s="1211"/>
      <c r="R330" s="1211"/>
      <c r="S330" s="1211"/>
      <c r="T330" s="1209"/>
    </row>
    <row r="331" spans="6:21" s="1191" customFormat="1" x14ac:dyDescent="0.2">
      <c r="G331" s="1203"/>
      <c r="H331" s="1204"/>
      <c r="I331" s="1243"/>
      <c r="J331" s="1243"/>
      <c r="K331" s="1204"/>
      <c r="L331" s="1216"/>
      <c r="M331" s="1339"/>
      <c r="N331" s="1211"/>
      <c r="O331" s="1211"/>
      <c r="P331" s="1211"/>
      <c r="Q331" s="1211"/>
      <c r="R331" s="1211"/>
      <c r="S331" s="1211"/>
      <c r="T331" s="1209"/>
    </row>
    <row r="332" spans="6:21" s="1191" customFormat="1" ht="18" x14ac:dyDescent="0.25">
      <c r="G332" s="1389" t="s">
        <v>18</v>
      </c>
      <c r="H332" s="1390"/>
      <c r="I332" s="1391"/>
      <c r="J332" s="1392"/>
      <c r="K332" s="1392"/>
      <c r="L332" s="1393"/>
      <c r="M332" s="1195"/>
      <c r="N332" s="1187"/>
      <c r="O332" s="1187"/>
      <c r="P332" s="1187"/>
      <c r="Q332" s="1187"/>
      <c r="R332" s="1187"/>
      <c r="S332" s="1187"/>
      <c r="T332" s="1202"/>
    </row>
    <row r="333" spans="6:21" s="1191" customFormat="1" x14ac:dyDescent="0.2">
      <c r="G333" s="1203"/>
      <c r="H333" s="1394"/>
      <c r="I333" s="1232"/>
      <c r="J333" s="1232"/>
      <c r="K333" s="1394"/>
      <c r="L333" s="1233"/>
      <c r="M333" s="1395"/>
      <c r="N333" s="1211"/>
      <c r="O333" s="1211"/>
      <c r="P333" s="1211"/>
      <c r="Q333" s="1211"/>
      <c r="R333" s="1211"/>
      <c r="S333" s="1211"/>
      <c r="T333" s="1209"/>
    </row>
    <row r="334" spans="6:21" s="1191" customFormat="1" x14ac:dyDescent="0.2">
      <c r="G334" s="1203"/>
      <c r="H334" s="1204"/>
      <c r="I334" s="1243"/>
      <c r="J334" s="1243"/>
      <c r="K334" s="1338"/>
      <c r="L334" s="1216"/>
      <c r="M334" s="1339"/>
      <c r="N334" s="1211"/>
      <c r="O334" s="1210"/>
      <c r="P334" s="1211"/>
      <c r="Q334" s="1210"/>
      <c r="R334" s="1211"/>
      <c r="S334" s="1396"/>
      <c r="T334" s="1210"/>
      <c r="U334" s="1208"/>
    </row>
    <row r="335" spans="6:21" s="1191" customFormat="1" x14ac:dyDescent="0.2">
      <c r="G335" s="1389"/>
      <c r="H335" s="1204"/>
      <c r="I335" s="1243"/>
      <c r="J335" s="1243"/>
      <c r="K335" s="1338"/>
      <c r="L335" s="1216"/>
      <c r="M335" s="1339"/>
      <c r="N335" s="1211"/>
      <c r="O335" s="1210"/>
      <c r="P335" s="1211"/>
      <c r="Q335" s="1210"/>
      <c r="R335" s="1211"/>
      <c r="S335" s="1396"/>
      <c r="T335" s="1210"/>
      <c r="U335" s="1208"/>
    </row>
    <row r="336" spans="6:21" s="1191" customFormat="1" x14ac:dyDescent="0.2">
      <c r="G336" s="1203"/>
      <c r="H336" s="1192"/>
      <c r="I336" s="1243"/>
      <c r="J336" s="1243"/>
      <c r="K336" s="1192"/>
      <c r="L336" s="1216"/>
      <c r="M336" s="1203"/>
      <c r="N336" s="1211"/>
      <c r="O336" s="1211"/>
      <c r="P336" s="1211"/>
      <c r="Q336" s="1211"/>
      <c r="R336" s="1211"/>
      <c r="S336" s="1211"/>
      <c r="T336" s="1209"/>
    </row>
    <row r="337" spans="7:20" s="1191" customFormat="1" ht="18" x14ac:dyDescent="0.25">
      <c r="G337" s="1389" t="s">
        <v>69</v>
      </c>
      <c r="H337" s="1390"/>
      <c r="I337" s="1391"/>
      <c r="J337" s="1391"/>
      <c r="K337" s="1392"/>
      <c r="L337" s="1393"/>
      <c r="M337" s="1195"/>
      <c r="N337" s="1187"/>
      <c r="O337" s="1187"/>
      <c r="P337" s="1187"/>
      <c r="Q337" s="1187"/>
      <c r="R337" s="1187"/>
      <c r="S337" s="1187"/>
      <c r="T337" s="1202"/>
    </row>
    <row r="338" spans="7:20" s="1191" customFormat="1" x14ac:dyDescent="0.2">
      <c r="G338" s="1203"/>
      <c r="H338" s="1394"/>
      <c r="I338" s="1232"/>
      <c r="J338" s="1232"/>
      <c r="K338" s="1394"/>
      <c r="L338" s="1233"/>
      <c r="M338" s="1395"/>
      <c r="N338" s="1211"/>
      <c r="O338" s="1211"/>
      <c r="P338" s="1211"/>
      <c r="Q338" s="1211"/>
      <c r="R338" s="1211"/>
      <c r="S338" s="1211"/>
      <c r="T338" s="1209"/>
    </row>
    <row r="339" spans="7:20" s="1191" customFormat="1" x14ac:dyDescent="0.2">
      <c r="G339" s="1203"/>
      <c r="H339" s="1394"/>
      <c r="I339" s="1232"/>
      <c r="J339" s="1232"/>
      <c r="K339" s="1394"/>
      <c r="L339" s="1233"/>
      <c r="M339" s="1395"/>
      <c r="N339" s="1211"/>
      <c r="O339" s="1211"/>
      <c r="P339" s="1211"/>
      <c r="Q339" s="1211"/>
      <c r="R339" s="1211"/>
      <c r="S339" s="1211"/>
      <c r="T339" s="1209"/>
    </row>
    <row r="340" spans="7:20" s="1191" customFormat="1" x14ac:dyDescent="0.2">
      <c r="G340" s="1203"/>
      <c r="H340" s="1204"/>
      <c r="I340" s="1243"/>
      <c r="J340" s="1243"/>
      <c r="K340" s="1204"/>
      <c r="L340" s="1216"/>
      <c r="M340" s="1339"/>
      <c r="N340" s="1211"/>
      <c r="O340" s="1211"/>
      <c r="P340" s="1211"/>
      <c r="Q340" s="1211"/>
      <c r="R340" s="1211"/>
      <c r="S340" s="1211"/>
      <c r="T340" s="1209"/>
    </row>
    <row r="341" spans="7:20" s="1191" customFormat="1" x14ac:dyDescent="0.2">
      <c r="G341" s="1203"/>
      <c r="H341" s="1204"/>
      <c r="I341" s="1243"/>
      <c r="J341" s="1243"/>
      <c r="K341" s="1204"/>
      <c r="L341" s="1216"/>
      <c r="M341" s="1339"/>
      <c r="N341" s="1211"/>
      <c r="O341" s="1211"/>
      <c r="P341" s="1211"/>
      <c r="Q341" s="1211"/>
      <c r="R341" s="1211"/>
      <c r="S341" s="1211"/>
      <c r="T341" s="1209"/>
    </row>
    <row r="342" spans="7:20" s="1191" customFormat="1" x14ac:dyDescent="0.2">
      <c r="G342" s="1203"/>
      <c r="H342" s="1204"/>
      <c r="I342" s="1243"/>
      <c r="J342" s="1243"/>
      <c r="K342" s="1204"/>
      <c r="L342" s="1216"/>
      <c r="M342" s="1339"/>
      <c r="N342" s="1211"/>
      <c r="O342" s="1211"/>
      <c r="P342" s="1211"/>
      <c r="Q342" s="1211"/>
      <c r="R342" s="1211"/>
      <c r="S342" s="1211"/>
      <c r="T342" s="1209"/>
    </row>
    <row r="343" spans="7:20" s="1191" customFormat="1" x14ac:dyDescent="0.2">
      <c r="G343" s="1203"/>
      <c r="H343" s="1204"/>
      <c r="I343" s="1243"/>
      <c r="J343" s="1243"/>
      <c r="K343" s="1204"/>
      <c r="L343" s="1216"/>
      <c r="M343" s="1339"/>
      <c r="N343" s="1211"/>
      <c r="O343" s="1211"/>
      <c r="P343" s="1211"/>
      <c r="Q343" s="1211"/>
      <c r="R343" s="1211"/>
      <c r="S343" s="1211"/>
      <c r="T343" s="1209"/>
    </row>
    <row r="344" spans="7:20" s="1191" customFormat="1" x14ac:dyDescent="0.2">
      <c r="G344" s="1203"/>
      <c r="H344" s="1204"/>
      <c r="I344" s="1243"/>
      <c r="J344" s="1243"/>
      <c r="K344" s="1204"/>
      <c r="L344" s="1216"/>
      <c r="M344" s="1339"/>
      <c r="N344" s="1211"/>
      <c r="O344" s="1211"/>
      <c r="P344" s="1211"/>
      <c r="Q344" s="1211"/>
      <c r="R344" s="1211"/>
      <c r="S344" s="1211"/>
      <c r="T344" s="1209"/>
    </row>
    <row r="345" spans="7:20" s="1191" customFormat="1" x14ac:dyDescent="0.2">
      <c r="G345" s="1203"/>
      <c r="H345" s="1204"/>
      <c r="I345" s="1243"/>
      <c r="J345" s="1243"/>
      <c r="K345" s="1204"/>
      <c r="L345" s="1216"/>
      <c r="M345" s="1339"/>
      <c r="N345" s="1211"/>
      <c r="O345" s="1211"/>
      <c r="P345" s="1211"/>
      <c r="Q345" s="1211"/>
      <c r="R345" s="1211"/>
      <c r="S345" s="1211"/>
      <c r="T345" s="1209"/>
    </row>
    <row r="346" spans="7:20" s="1191" customFormat="1" x14ac:dyDescent="0.2">
      <c r="G346" s="1203"/>
      <c r="H346" s="1204"/>
      <c r="I346" s="1243"/>
      <c r="J346" s="1243"/>
      <c r="K346" s="1204"/>
      <c r="L346" s="1216"/>
      <c r="M346" s="1339"/>
      <c r="N346" s="1211"/>
      <c r="O346" s="1211"/>
      <c r="P346" s="1211"/>
      <c r="Q346" s="1211"/>
      <c r="R346" s="1211"/>
      <c r="S346" s="1211"/>
      <c r="T346" s="1209"/>
    </row>
    <row r="347" spans="7:20" s="1191" customFormat="1" x14ac:dyDescent="0.2">
      <c r="G347" s="1203"/>
      <c r="H347" s="1204"/>
      <c r="I347" s="1243"/>
      <c r="J347" s="1243"/>
      <c r="K347" s="1204"/>
      <c r="L347" s="1216"/>
      <c r="M347" s="1339"/>
      <c r="N347" s="1211"/>
      <c r="O347" s="1211"/>
      <c r="P347" s="1211"/>
      <c r="Q347" s="1211"/>
      <c r="R347" s="1211"/>
      <c r="S347" s="1211"/>
      <c r="T347" s="1209"/>
    </row>
    <row r="348" spans="7:20" s="1191" customFormat="1" x14ac:dyDescent="0.2">
      <c r="G348" s="1203"/>
      <c r="H348" s="1204"/>
      <c r="I348" s="1243"/>
      <c r="J348" s="1243"/>
      <c r="K348" s="1204"/>
      <c r="L348" s="1216"/>
      <c r="M348" s="1339"/>
      <c r="N348" s="1211"/>
      <c r="O348" s="1211"/>
      <c r="P348" s="1211"/>
      <c r="Q348" s="1211"/>
      <c r="R348" s="1211"/>
      <c r="S348" s="1211"/>
      <c r="T348" s="1209"/>
    </row>
    <row r="349" spans="7:20" s="1191" customFormat="1" x14ac:dyDescent="0.2">
      <c r="G349" s="1203"/>
      <c r="H349" s="1204"/>
      <c r="I349" s="1243"/>
      <c r="J349" s="1243"/>
      <c r="K349" s="1204"/>
      <c r="L349" s="1216"/>
      <c r="M349" s="1339"/>
      <c r="N349" s="1211"/>
      <c r="O349" s="1211"/>
      <c r="P349" s="1211"/>
      <c r="Q349" s="1211"/>
      <c r="R349" s="1211"/>
      <c r="S349" s="1211"/>
      <c r="T349" s="1209"/>
    </row>
    <row r="350" spans="7:20" s="1191" customFormat="1" x14ac:dyDescent="0.2">
      <c r="G350" s="1203"/>
      <c r="H350" s="1204"/>
      <c r="I350" s="1243"/>
      <c r="J350" s="1243"/>
      <c r="K350" s="1204"/>
      <c r="L350" s="1216"/>
      <c r="M350" s="1339"/>
      <c r="N350" s="1211"/>
      <c r="O350" s="1211"/>
      <c r="P350" s="1211"/>
      <c r="Q350" s="1211"/>
      <c r="R350" s="1211"/>
      <c r="S350" s="1211"/>
      <c r="T350" s="1209"/>
    </row>
    <row r="351" spans="7:20" s="1191" customFormat="1" x14ac:dyDescent="0.2">
      <c r="G351" s="1203"/>
      <c r="H351" s="1204"/>
      <c r="I351" s="1243"/>
      <c r="J351" s="1243"/>
      <c r="K351" s="1204"/>
      <c r="L351" s="1216"/>
      <c r="M351" s="1339"/>
      <c r="N351" s="1211"/>
      <c r="O351" s="1211"/>
      <c r="P351" s="1211"/>
      <c r="Q351" s="1211"/>
      <c r="R351" s="1211"/>
      <c r="S351" s="1211"/>
      <c r="T351" s="1209"/>
    </row>
    <row r="352" spans="7:20" s="1191" customFormat="1" x14ac:dyDescent="0.2">
      <c r="G352" s="1203"/>
      <c r="H352" s="1204"/>
      <c r="I352" s="1243"/>
      <c r="J352" s="1243"/>
      <c r="K352" s="1204"/>
      <c r="L352" s="1216"/>
      <c r="M352" s="1203"/>
      <c r="N352" s="1211"/>
      <c r="O352" s="1211"/>
      <c r="P352" s="1211"/>
      <c r="Q352" s="1211"/>
      <c r="R352" s="1211"/>
      <c r="S352" s="1211"/>
      <c r="T352" s="1209"/>
    </row>
    <row r="353" spans="7:20" s="1191" customFormat="1" x14ac:dyDescent="0.2">
      <c r="G353" s="1203"/>
      <c r="H353" s="1192"/>
      <c r="I353" s="1243"/>
      <c r="J353" s="1243"/>
      <c r="K353" s="1192"/>
      <c r="L353" s="1216"/>
      <c r="M353" s="1203"/>
      <c r="N353" s="1211"/>
      <c r="O353" s="1211"/>
      <c r="P353" s="1211"/>
      <c r="Q353" s="1211"/>
      <c r="R353" s="1211"/>
      <c r="S353" s="1211"/>
      <c r="T353" s="1209"/>
    </row>
    <row r="354" spans="7:20" s="1191" customFormat="1" x14ac:dyDescent="0.2">
      <c r="G354" s="1203"/>
      <c r="H354" s="1192"/>
      <c r="I354" s="1243"/>
      <c r="J354" s="1243"/>
      <c r="K354" s="1192"/>
      <c r="L354" s="1216"/>
      <c r="M354" s="1203"/>
      <c r="N354" s="1211"/>
      <c r="O354" s="1211"/>
      <c r="P354" s="1211"/>
      <c r="Q354" s="1211"/>
      <c r="R354" s="1211"/>
      <c r="S354" s="1211"/>
      <c r="T354" s="1209"/>
    </row>
    <row r="355" spans="7:20" s="1191" customFormat="1" x14ac:dyDescent="0.2">
      <c r="G355" s="1203"/>
      <c r="H355" s="1192"/>
      <c r="I355" s="1243"/>
      <c r="J355" s="1243"/>
      <c r="K355" s="1192"/>
      <c r="L355" s="1216"/>
      <c r="M355" s="1203"/>
      <c r="N355" s="1211"/>
      <c r="O355" s="1211"/>
      <c r="P355" s="1211"/>
      <c r="Q355" s="1211"/>
      <c r="R355" s="1211"/>
      <c r="S355" s="1211"/>
      <c r="T355" s="1209"/>
    </row>
    <row r="356" spans="7:20" s="1191" customFormat="1" x14ac:dyDescent="0.2">
      <c r="G356" s="1203"/>
      <c r="H356" s="1192"/>
      <c r="I356" s="1243"/>
      <c r="J356" s="1243"/>
      <c r="K356" s="1192"/>
      <c r="L356" s="1216"/>
      <c r="M356" s="1203"/>
      <c r="N356" s="1211"/>
      <c r="O356" s="1211"/>
      <c r="P356" s="1211"/>
      <c r="Q356" s="1211"/>
      <c r="R356" s="1211"/>
      <c r="S356" s="1211"/>
      <c r="T356" s="1209"/>
    </row>
    <row r="357" spans="7:20" s="1191" customFormat="1" x14ac:dyDescent="0.2">
      <c r="G357" s="1203"/>
      <c r="H357" s="1192"/>
      <c r="I357" s="1243"/>
      <c r="J357" s="1243"/>
      <c r="K357" s="1192"/>
      <c r="L357" s="1216"/>
      <c r="M357" s="1203"/>
      <c r="N357" s="1211"/>
      <c r="O357" s="1211"/>
      <c r="P357" s="1211"/>
      <c r="Q357" s="1211"/>
      <c r="R357" s="1211"/>
      <c r="S357" s="1211"/>
      <c r="T357" s="1209"/>
    </row>
    <row r="358" spans="7:20" s="1191" customFormat="1" x14ac:dyDescent="0.2">
      <c r="G358" s="1203"/>
      <c r="H358" s="1192"/>
      <c r="I358" s="1243"/>
      <c r="J358" s="1243"/>
      <c r="K358" s="1192"/>
      <c r="L358" s="1216"/>
      <c r="M358" s="1203"/>
      <c r="N358" s="1211"/>
      <c r="O358" s="1211"/>
      <c r="P358" s="1211"/>
      <c r="Q358" s="1211"/>
      <c r="R358" s="1211"/>
      <c r="S358" s="1211"/>
      <c r="T358" s="1209"/>
    </row>
    <row r="359" spans="7:20" s="1191" customFormat="1" x14ac:dyDescent="0.2">
      <c r="G359" s="1203"/>
      <c r="H359" s="1192"/>
      <c r="I359" s="1243"/>
      <c r="J359" s="1243"/>
      <c r="K359" s="1192"/>
      <c r="L359" s="1216"/>
      <c r="M359" s="1203"/>
      <c r="N359" s="1211"/>
      <c r="O359" s="1211"/>
      <c r="P359" s="1211"/>
      <c r="Q359" s="1211"/>
      <c r="R359" s="1211"/>
      <c r="S359" s="1211"/>
      <c r="T359" s="1209"/>
    </row>
    <row r="360" spans="7:20" s="1191" customFormat="1" ht="18" x14ac:dyDescent="0.25">
      <c r="G360" s="1389" t="s">
        <v>85</v>
      </c>
      <c r="H360" s="1390"/>
      <c r="I360" s="1391"/>
      <c r="J360" s="1391"/>
      <c r="K360" s="1392"/>
      <c r="L360" s="1393"/>
      <c r="M360" s="1195"/>
      <c r="N360" s="1187"/>
      <c r="O360" s="1187"/>
      <c r="P360" s="1187"/>
      <c r="Q360" s="1187"/>
      <c r="R360" s="1187"/>
      <c r="S360" s="1187"/>
      <c r="T360" s="1202"/>
    </row>
    <row r="361" spans="7:20" s="1191" customFormat="1" x14ac:dyDescent="0.2">
      <c r="G361" s="1203"/>
      <c r="H361" s="1394"/>
      <c r="I361" s="1232"/>
      <c r="J361" s="1232"/>
      <c r="K361" s="1394"/>
      <c r="L361" s="1233"/>
      <c r="M361" s="1395"/>
      <c r="N361" s="1211"/>
      <c r="O361" s="1211"/>
      <c r="P361" s="1211"/>
      <c r="Q361" s="1211"/>
      <c r="R361" s="1211"/>
      <c r="S361" s="1211"/>
      <c r="T361" s="1209"/>
    </row>
    <row r="362" spans="7:20" s="1191" customFormat="1" x14ac:dyDescent="0.2">
      <c r="G362" s="1203"/>
      <c r="H362" s="1394"/>
      <c r="I362" s="1232"/>
      <c r="J362" s="1232"/>
      <c r="K362" s="1394"/>
      <c r="L362" s="1233"/>
      <c r="M362" s="1395"/>
      <c r="N362" s="1211"/>
      <c r="O362" s="1211"/>
      <c r="P362" s="1211"/>
      <c r="Q362" s="1211"/>
      <c r="R362" s="1211"/>
      <c r="S362" s="1211"/>
      <c r="T362" s="1209"/>
    </row>
    <row r="363" spans="7:20" s="1191" customFormat="1" x14ac:dyDescent="0.2">
      <c r="G363" s="1203"/>
      <c r="H363" s="1204"/>
      <c r="I363" s="1243"/>
      <c r="J363" s="1243"/>
      <c r="K363" s="1204"/>
      <c r="L363" s="1216"/>
      <c r="M363" s="1339"/>
      <c r="N363" s="1211"/>
      <c r="O363" s="1211"/>
      <c r="P363" s="1211"/>
      <c r="Q363" s="1211"/>
      <c r="R363" s="1211"/>
      <c r="S363" s="1211"/>
      <c r="T363" s="1209"/>
    </row>
    <row r="364" spans="7:20" s="1191" customFormat="1" x14ac:dyDescent="0.2">
      <c r="G364" s="1203"/>
      <c r="H364" s="1204"/>
      <c r="I364" s="1243"/>
      <c r="J364" s="1243"/>
      <c r="K364" s="1204"/>
      <c r="L364" s="1216"/>
      <c r="M364" s="1339"/>
      <c r="N364" s="1211"/>
      <c r="O364" s="1211"/>
      <c r="P364" s="1211"/>
      <c r="Q364" s="1211"/>
      <c r="R364" s="1211"/>
      <c r="S364" s="1211"/>
      <c r="T364" s="1209"/>
    </row>
    <row r="365" spans="7:20" s="1191" customFormat="1" x14ac:dyDescent="0.2">
      <c r="G365" s="1203"/>
      <c r="H365" s="1204"/>
      <c r="I365" s="1243"/>
      <c r="J365" s="1243"/>
      <c r="K365" s="1204"/>
      <c r="L365" s="1216"/>
      <c r="M365" s="1339"/>
      <c r="N365" s="1211"/>
      <c r="O365" s="1211"/>
      <c r="P365" s="1211"/>
      <c r="Q365" s="1211"/>
      <c r="R365" s="1211"/>
      <c r="S365" s="1211"/>
      <c r="T365" s="1209"/>
    </row>
    <row r="366" spans="7:20" s="1191" customFormat="1" x14ac:dyDescent="0.2">
      <c r="G366" s="1203"/>
      <c r="H366" s="1204"/>
      <c r="I366" s="1243"/>
      <c r="J366" s="1243"/>
      <c r="K366" s="1204"/>
      <c r="L366" s="1216"/>
      <c r="M366" s="1339"/>
      <c r="N366" s="1211"/>
      <c r="O366" s="1211"/>
      <c r="P366" s="1211"/>
      <c r="Q366" s="1211"/>
      <c r="R366" s="1211"/>
      <c r="S366" s="1211"/>
      <c r="T366" s="1209"/>
    </row>
    <row r="367" spans="7:20" s="1191" customFormat="1" x14ac:dyDescent="0.2">
      <c r="G367" s="1203"/>
      <c r="H367" s="1204"/>
      <c r="I367" s="1243"/>
      <c r="J367" s="1243"/>
      <c r="K367" s="1204"/>
      <c r="L367" s="1216"/>
      <c r="M367" s="1203"/>
      <c r="N367" s="1211"/>
      <c r="O367" s="1211"/>
      <c r="P367" s="1211"/>
      <c r="Q367" s="1211"/>
      <c r="R367" s="1211"/>
      <c r="S367" s="1211"/>
      <c r="T367" s="1209"/>
    </row>
    <row r="368" spans="7:20" s="1191" customFormat="1" x14ac:dyDescent="0.2">
      <c r="G368" s="1203"/>
      <c r="H368" s="1204"/>
      <c r="I368" s="1243"/>
      <c r="J368" s="1243"/>
      <c r="K368" s="1204"/>
      <c r="L368" s="1216"/>
      <c r="M368" s="1339"/>
      <c r="N368" s="1211"/>
      <c r="O368" s="1211"/>
      <c r="P368" s="1211"/>
      <c r="Q368" s="1211"/>
      <c r="R368" s="1211"/>
      <c r="S368" s="1211"/>
      <c r="T368" s="1209"/>
    </row>
    <row r="369" spans="7:20" s="1191" customFormat="1" x14ac:dyDescent="0.2">
      <c r="G369" s="1203"/>
      <c r="H369" s="1204"/>
      <c r="I369" s="1243"/>
      <c r="J369" s="1243"/>
      <c r="K369" s="1204"/>
      <c r="L369" s="1216"/>
      <c r="M369" s="1339"/>
      <c r="N369" s="1211"/>
      <c r="O369" s="1211"/>
      <c r="P369" s="1211"/>
      <c r="Q369" s="1211"/>
      <c r="R369" s="1211"/>
      <c r="S369" s="1211"/>
      <c r="T369" s="1209"/>
    </row>
    <row r="370" spans="7:20" s="1191" customFormat="1" x14ac:dyDescent="0.2">
      <c r="G370" s="1203"/>
      <c r="H370" s="1204"/>
      <c r="I370" s="1243"/>
      <c r="J370" s="1243"/>
      <c r="K370" s="1204"/>
      <c r="L370" s="1216"/>
      <c r="M370" s="1339"/>
      <c r="N370" s="1211"/>
      <c r="O370" s="1211"/>
      <c r="P370" s="1211"/>
      <c r="Q370" s="1211"/>
      <c r="R370" s="1211"/>
      <c r="S370" s="1211"/>
      <c r="T370" s="1209"/>
    </row>
    <row r="371" spans="7:20" s="1191" customFormat="1" x14ac:dyDescent="0.2">
      <c r="G371" s="1203"/>
      <c r="H371" s="1204"/>
      <c r="I371" s="1243"/>
      <c r="J371" s="1243"/>
      <c r="K371" s="1204"/>
      <c r="L371" s="1216"/>
      <c r="M371" s="1203"/>
      <c r="N371" s="1211"/>
      <c r="O371" s="1211"/>
      <c r="P371" s="1211"/>
      <c r="Q371" s="1211"/>
      <c r="R371" s="1211"/>
      <c r="S371" s="1211"/>
      <c r="T371" s="1209"/>
    </row>
    <row r="372" spans="7:20" s="1191" customFormat="1" x14ac:dyDescent="0.2">
      <c r="G372" s="1203"/>
      <c r="H372" s="1204"/>
      <c r="I372" s="1243"/>
      <c r="J372" s="1243"/>
      <c r="K372" s="1204"/>
      <c r="L372" s="1216"/>
      <c r="M372" s="1203"/>
      <c r="N372" s="1211"/>
      <c r="O372" s="1211"/>
      <c r="P372" s="1211"/>
      <c r="Q372" s="1211"/>
      <c r="R372" s="1211"/>
      <c r="S372" s="1211"/>
      <c r="T372" s="1209"/>
    </row>
    <row r="373" spans="7:20" s="1191" customFormat="1" x14ac:dyDescent="0.2">
      <c r="G373" s="1203"/>
      <c r="H373" s="1204"/>
      <c r="I373" s="1243"/>
      <c r="J373" s="1243"/>
      <c r="K373" s="1204"/>
      <c r="L373" s="1216"/>
      <c r="M373" s="1203"/>
      <c r="N373" s="1211"/>
      <c r="O373" s="1211"/>
      <c r="P373" s="1211"/>
      <c r="Q373" s="1211"/>
      <c r="R373" s="1211"/>
      <c r="S373" s="1211"/>
      <c r="T373" s="1209"/>
    </row>
    <row r="374" spans="7:20" s="1191" customFormat="1" x14ac:dyDescent="0.2">
      <c r="G374" s="1203"/>
      <c r="H374" s="1204"/>
      <c r="I374" s="1243"/>
      <c r="J374" s="1243"/>
      <c r="K374" s="1204"/>
      <c r="L374" s="1216"/>
      <c r="M374" s="1203"/>
      <c r="N374" s="1211"/>
      <c r="O374" s="1211"/>
      <c r="P374" s="1211"/>
      <c r="Q374" s="1211"/>
      <c r="R374" s="1211"/>
      <c r="S374" s="1211"/>
      <c r="T374" s="1209"/>
    </row>
    <row r="375" spans="7:20" s="1191" customFormat="1" x14ac:dyDescent="0.2">
      <c r="G375" s="1203"/>
      <c r="H375" s="1204"/>
      <c r="I375" s="1243"/>
      <c r="J375" s="1243"/>
      <c r="K375" s="1204"/>
      <c r="L375" s="1216"/>
      <c r="M375" s="1203"/>
      <c r="N375" s="1211"/>
      <c r="O375" s="1211"/>
      <c r="P375" s="1211"/>
      <c r="Q375" s="1211"/>
      <c r="R375" s="1211"/>
      <c r="S375" s="1211"/>
      <c r="T375" s="1209"/>
    </row>
    <row r="376" spans="7:20" s="1191" customFormat="1" x14ac:dyDescent="0.2">
      <c r="G376" s="1203"/>
      <c r="H376" s="1204"/>
      <c r="I376" s="1243"/>
      <c r="J376" s="1243"/>
      <c r="K376" s="1204"/>
      <c r="L376" s="1216"/>
      <c r="M376" s="1203"/>
      <c r="N376" s="1211"/>
      <c r="O376" s="1211"/>
      <c r="P376" s="1211"/>
      <c r="Q376" s="1211"/>
      <c r="R376" s="1211"/>
      <c r="S376" s="1211"/>
      <c r="T376" s="1209"/>
    </row>
    <row r="377" spans="7:20" s="1191" customFormat="1" x14ac:dyDescent="0.2">
      <c r="G377" s="1203"/>
      <c r="H377" s="1204"/>
      <c r="I377" s="1243"/>
      <c r="J377" s="1243"/>
      <c r="K377" s="1204"/>
      <c r="L377" s="1216"/>
      <c r="M377" s="1203"/>
      <c r="N377" s="1211"/>
      <c r="O377" s="1211"/>
      <c r="P377" s="1211"/>
      <c r="Q377" s="1211"/>
      <c r="R377" s="1211"/>
      <c r="S377" s="1211"/>
      <c r="T377" s="1209"/>
    </row>
    <row r="378" spans="7:20" s="1191" customFormat="1" x14ac:dyDescent="0.2">
      <c r="G378" s="1203"/>
      <c r="H378" s="1204"/>
      <c r="I378" s="1243"/>
      <c r="J378" s="1243"/>
      <c r="K378" s="1204"/>
      <c r="L378" s="1216"/>
      <c r="M378" s="1203"/>
      <c r="N378" s="1211"/>
      <c r="O378" s="1211"/>
      <c r="P378" s="1211"/>
      <c r="Q378" s="1211"/>
      <c r="R378" s="1211"/>
      <c r="S378" s="1211"/>
      <c r="T378" s="1209"/>
    </row>
    <row r="379" spans="7:20" s="1191" customFormat="1" x14ac:dyDescent="0.2">
      <c r="G379" s="1203"/>
      <c r="H379" s="1204"/>
      <c r="I379" s="1243"/>
      <c r="J379" s="1243"/>
      <c r="K379" s="1204"/>
      <c r="L379" s="1216"/>
      <c r="M379" s="1203"/>
      <c r="N379" s="1211"/>
      <c r="O379" s="1211"/>
      <c r="P379" s="1211"/>
      <c r="Q379" s="1211"/>
      <c r="R379" s="1211"/>
      <c r="S379" s="1211"/>
      <c r="T379" s="1209"/>
    </row>
    <row r="380" spans="7:20" s="1191" customFormat="1" x14ac:dyDescent="0.2">
      <c r="G380" s="1203"/>
      <c r="H380" s="1204"/>
      <c r="I380" s="1243"/>
      <c r="J380" s="1243"/>
      <c r="K380" s="1204"/>
      <c r="L380" s="1216"/>
      <c r="M380" s="1203"/>
      <c r="N380" s="1211"/>
      <c r="O380" s="1211"/>
      <c r="P380" s="1211"/>
      <c r="Q380" s="1211"/>
      <c r="R380" s="1211"/>
      <c r="S380" s="1211"/>
      <c r="T380" s="1209"/>
    </row>
    <row r="381" spans="7:20" s="1191" customFormat="1" x14ac:dyDescent="0.2">
      <c r="G381" s="1203"/>
      <c r="H381" s="1204"/>
      <c r="I381" s="1243"/>
      <c r="J381" s="1243"/>
      <c r="K381" s="1204"/>
      <c r="L381" s="1216"/>
      <c r="M381" s="1203"/>
      <c r="N381" s="1211"/>
      <c r="O381" s="1211"/>
      <c r="P381" s="1211"/>
      <c r="Q381" s="1211"/>
      <c r="R381" s="1211"/>
      <c r="S381" s="1211"/>
      <c r="T381" s="1209"/>
    </row>
    <row r="382" spans="7:20" s="1191" customFormat="1" x14ac:dyDescent="0.2">
      <c r="G382" s="1203"/>
      <c r="H382" s="1204"/>
      <c r="I382" s="1243"/>
      <c r="J382" s="1243"/>
      <c r="K382" s="1204"/>
      <c r="L382" s="1216"/>
      <c r="M382" s="1203"/>
      <c r="N382" s="1211"/>
      <c r="O382" s="1211"/>
      <c r="P382" s="1211"/>
      <c r="Q382" s="1211"/>
      <c r="R382" s="1211"/>
      <c r="S382" s="1211"/>
      <c r="T382" s="1209"/>
    </row>
    <row r="383" spans="7:20" s="1191" customFormat="1" x14ac:dyDescent="0.2">
      <c r="G383" s="1203"/>
      <c r="H383" s="1220"/>
      <c r="I383" s="1243"/>
      <c r="J383" s="1243"/>
      <c r="K383" s="1192"/>
      <c r="L383" s="1216"/>
      <c r="M383" s="1203"/>
      <c r="N383" s="1211"/>
      <c r="O383" s="1211"/>
      <c r="P383" s="1211"/>
      <c r="Q383" s="1211"/>
      <c r="R383" s="1211"/>
      <c r="S383" s="1211"/>
      <c r="T383" s="1209"/>
    </row>
    <row r="384" spans="7:20" s="1191" customFormat="1" x14ac:dyDescent="0.2">
      <c r="G384" s="1203"/>
      <c r="H384" s="1204"/>
      <c r="I384" s="1243"/>
      <c r="J384" s="1243"/>
      <c r="K384" s="1204"/>
      <c r="L384" s="1107"/>
      <c r="M384" s="1397"/>
      <c r="N384" s="1211"/>
      <c r="O384" s="1211"/>
      <c r="P384" s="1211"/>
      <c r="Q384" s="1211"/>
      <c r="R384" s="1211"/>
      <c r="S384" s="1211"/>
      <c r="T384" s="1209"/>
    </row>
    <row r="385" spans="7:20" s="1191" customFormat="1" x14ac:dyDescent="0.2">
      <c r="G385" s="1203"/>
      <c r="H385" s="1204"/>
      <c r="I385" s="1243"/>
      <c r="J385" s="1243"/>
      <c r="K385" s="1204"/>
      <c r="L385" s="1107"/>
      <c r="M385" s="1397"/>
      <c r="N385" s="1211"/>
      <c r="O385" s="1211"/>
      <c r="P385" s="1211"/>
      <c r="Q385" s="1211"/>
      <c r="R385" s="1211"/>
      <c r="S385" s="1211"/>
      <c r="T385" s="1209"/>
    </row>
    <row r="386" spans="7:20" s="1191" customFormat="1" x14ac:dyDescent="0.2">
      <c r="G386" s="1203"/>
      <c r="H386" s="1204"/>
      <c r="I386" s="1243"/>
      <c r="J386" s="1243"/>
      <c r="K386" s="1204"/>
      <c r="L386" s="1107"/>
      <c r="M386" s="1397"/>
      <c r="N386" s="1211"/>
      <c r="O386" s="1211"/>
      <c r="P386" s="1211"/>
      <c r="Q386" s="1211"/>
      <c r="R386" s="1211"/>
      <c r="S386" s="1211"/>
      <c r="T386" s="1209"/>
    </row>
    <row r="387" spans="7:20" s="1191" customFormat="1" x14ac:dyDescent="0.2">
      <c r="G387" s="1203"/>
      <c r="H387" s="1204"/>
      <c r="I387" s="1243"/>
      <c r="J387" s="1243"/>
      <c r="K387" s="1204"/>
      <c r="L387" s="1107"/>
      <c r="M387" s="1397"/>
      <c r="N387" s="1211"/>
      <c r="O387" s="1211"/>
      <c r="P387" s="1211"/>
      <c r="Q387" s="1211"/>
      <c r="R387" s="1211"/>
      <c r="S387" s="1211"/>
      <c r="T387" s="1209"/>
    </row>
    <row r="388" spans="7:20" s="1191" customFormat="1" x14ac:dyDescent="0.2">
      <c r="G388" s="1203"/>
      <c r="H388" s="1204"/>
      <c r="I388" s="1243"/>
      <c r="J388" s="1243"/>
      <c r="K388" s="1204"/>
      <c r="L388" s="1107"/>
      <c r="M388" s="1398"/>
      <c r="N388" s="1211"/>
      <c r="O388" s="1211"/>
      <c r="P388" s="1211"/>
      <c r="Q388" s="1211"/>
      <c r="R388" s="1211"/>
      <c r="S388" s="1211"/>
      <c r="T388" s="1209"/>
    </row>
    <row r="389" spans="7:20" s="1191" customFormat="1" x14ac:dyDescent="0.2">
      <c r="G389" s="1203"/>
      <c r="H389" s="1204"/>
      <c r="I389" s="1243"/>
      <c r="J389" s="1243"/>
      <c r="K389" s="1204"/>
      <c r="L389" s="1107"/>
      <c r="M389" s="1397"/>
      <c r="N389" s="1211"/>
      <c r="O389" s="1211"/>
      <c r="P389" s="1211"/>
      <c r="Q389" s="1211"/>
      <c r="R389" s="1211"/>
      <c r="S389" s="1211"/>
      <c r="T389" s="1209"/>
    </row>
    <row r="390" spans="7:20" s="1191" customFormat="1" x14ac:dyDescent="0.2">
      <c r="G390" s="1203"/>
      <c r="H390" s="1204"/>
      <c r="I390" s="1243"/>
      <c r="J390" s="1243"/>
      <c r="K390" s="1204"/>
      <c r="L390" s="1107"/>
      <c r="M390" s="1398"/>
      <c r="N390" s="1211"/>
      <c r="O390" s="1211"/>
      <c r="P390" s="1211"/>
      <c r="Q390" s="1211"/>
      <c r="R390" s="1211"/>
      <c r="S390" s="1211"/>
      <c r="T390" s="1209"/>
    </row>
    <row r="391" spans="7:20" s="1191" customFormat="1" x14ac:dyDescent="0.2">
      <c r="G391" s="1203"/>
      <c r="H391" s="1204"/>
      <c r="I391" s="1243"/>
      <c r="J391" s="1243"/>
      <c r="K391" s="1204"/>
      <c r="L391" s="1107"/>
      <c r="M391" s="1398"/>
      <c r="N391" s="1211"/>
      <c r="O391" s="1211"/>
      <c r="P391" s="1211"/>
      <c r="Q391" s="1211"/>
      <c r="R391" s="1211"/>
      <c r="S391" s="1211"/>
      <c r="T391" s="1209"/>
    </row>
    <row r="392" spans="7:20" s="1191" customFormat="1" x14ac:dyDescent="0.2">
      <c r="G392" s="1203"/>
      <c r="H392" s="1204"/>
      <c r="I392" s="1243"/>
      <c r="J392" s="1243"/>
      <c r="K392" s="1192"/>
      <c r="L392" s="1107"/>
      <c r="M392" s="1398"/>
      <c r="N392" s="1211"/>
      <c r="O392" s="1211"/>
      <c r="P392" s="1211"/>
      <c r="Q392" s="1211"/>
      <c r="R392" s="1211"/>
      <c r="S392" s="1211"/>
      <c r="T392" s="1209"/>
    </row>
    <row r="393" spans="7:20" s="1191" customFormat="1" x14ac:dyDescent="0.2">
      <c r="G393" s="1203"/>
      <c r="H393" s="1204"/>
      <c r="I393" s="1243"/>
      <c r="J393" s="1243"/>
      <c r="K393" s="1204"/>
      <c r="L393" s="1107"/>
      <c r="M393" s="1398"/>
      <c r="N393" s="1211"/>
      <c r="O393" s="1211"/>
      <c r="P393" s="1211"/>
      <c r="Q393" s="1211"/>
      <c r="R393" s="1211"/>
      <c r="S393" s="1211"/>
      <c r="T393" s="1209"/>
    </row>
    <row r="394" spans="7:20" s="1191" customFormat="1" x14ac:dyDescent="0.2">
      <c r="G394" s="1203"/>
      <c r="H394" s="1204"/>
      <c r="I394" s="1243"/>
      <c r="J394" s="1243"/>
      <c r="K394" s="1204"/>
      <c r="L394" s="1107"/>
      <c r="M394" s="1398"/>
      <c r="N394" s="1211"/>
      <c r="O394" s="1211"/>
      <c r="P394" s="1211"/>
      <c r="Q394" s="1211"/>
      <c r="R394" s="1211"/>
      <c r="S394" s="1211"/>
      <c r="T394" s="1209"/>
    </row>
    <row r="395" spans="7:20" s="1191" customFormat="1" x14ac:dyDescent="0.2">
      <c r="G395" s="1203"/>
      <c r="H395" s="1204"/>
      <c r="I395" s="1243"/>
      <c r="J395" s="1243"/>
      <c r="K395" s="1204"/>
      <c r="L395" s="1107"/>
      <c r="M395" s="1398"/>
      <c r="N395" s="1211"/>
      <c r="O395" s="1211"/>
      <c r="P395" s="1211"/>
      <c r="Q395" s="1211"/>
      <c r="R395" s="1211"/>
      <c r="S395" s="1211"/>
      <c r="T395" s="1209"/>
    </row>
    <row r="396" spans="7:20" s="1191" customFormat="1" x14ac:dyDescent="0.2">
      <c r="G396" s="1203"/>
      <c r="H396" s="1204"/>
      <c r="I396" s="1243"/>
      <c r="J396" s="1243"/>
      <c r="K396" s="1204"/>
      <c r="L396" s="1107"/>
      <c r="M396" s="1398"/>
      <c r="N396" s="1211"/>
      <c r="O396" s="1211"/>
      <c r="P396" s="1211"/>
      <c r="Q396" s="1211"/>
      <c r="R396" s="1211"/>
      <c r="S396" s="1211"/>
      <c r="T396" s="1209"/>
    </row>
    <row r="397" spans="7:20" s="1191" customFormat="1" x14ac:dyDescent="0.2">
      <c r="G397" s="1203"/>
      <c r="H397" s="1204"/>
      <c r="I397" s="1243"/>
      <c r="J397" s="1243"/>
      <c r="K397" s="1204"/>
      <c r="L397" s="1107"/>
      <c r="M397" s="1398"/>
      <c r="N397" s="1211"/>
      <c r="O397" s="1211"/>
      <c r="P397" s="1211"/>
      <c r="Q397" s="1211"/>
      <c r="R397" s="1211"/>
      <c r="S397" s="1211"/>
      <c r="T397" s="1209"/>
    </row>
    <row r="398" spans="7:20" s="1191" customFormat="1" x14ac:dyDescent="0.2">
      <c r="G398" s="1203"/>
      <c r="H398" s="1204"/>
      <c r="I398" s="1243"/>
      <c r="J398" s="1243"/>
      <c r="K398" s="1204"/>
      <c r="L398" s="1107"/>
      <c r="M398" s="1398"/>
      <c r="N398" s="1211"/>
      <c r="O398" s="1211"/>
      <c r="P398" s="1211"/>
      <c r="Q398" s="1211"/>
      <c r="R398" s="1211"/>
      <c r="S398" s="1211"/>
      <c r="T398" s="1209"/>
    </row>
    <row r="399" spans="7:20" s="1191" customFormat="1" x14ac:dyDescent="0.2">
      <c r="G399" s="1203"/>
      <c r="H399" s="1204"/>
      <c r="I399" s="1243"/>
      <c r="J399" s="1243"/>
      <c r="K399" s="1192"/>
      <c r="L399" s="1107"/>
      <c r="M399" s="1398"/>
      <c r="N399" s="1211"/>
      <c r="O399" s="1211"/>
      <c r="P399" s="1211"/>
      <c r="Q399" s="1211"/>
      <c r="R399" s="1211"/>
      <c r="S399" s="1211"/>
      <c r="T399" s="1209"/>
    </row>
    <row r="400" spans="7:20" s="1191" customFormat="1" x14ac:dyDescent="0.2">
      <c r="G400" s="1203"/>
      <c r="H400" s="1192"/>
      <c r="I400" s="1243"/>
      <c r="J400" s="1243"/>
      <c r="K400" s="1204"/>
      <c r="L400" s="1107"/>
      <c r="M400" s="1397"/>
      <c r="N400" s="1211"/>
      <c r="O400" s="1211"/>
      <c r="P400" s="1211"/>
      <c r="Q400" s="1211"/>
      <c r="R400" s="1211"/>
      <c r="S400" s="1211"/>
      <c r="T400" s="1209"/>
    </row>
    <row r="401" spans="7:20" s="1191" customFormat="1" ht="18" x14ac:dyDescent="0.25">
      <c r="G401" s="1389" t="s">
        <v>69</v>
      </c>
      <c r="H401" s="1390"/>
      <c r="I401" s="1391"/>
      <c r="J401" s="1391"/>
      <c r="K401" s="1392"/>
      <c r="L401" s="1393"/>
      <c r="M401" s="1195"/>
      <c r="N401" s="1187"/>
      <c r="O401" s="1187"/>
      <c r="P401" s="1187"/>
      <c r="Q401" s="1187"/>
      <c r="R401" s="1187"/>
      <c r="S401" s="1187"/>
      <c r="T401" s="1202"/>
    </row>
    <row r="402" spans="7:20" s="1191" customFormat="1" x14ac:dyDescent="0.2">
      <c r="G402" s="1203"/>
      <c r="H402" s="1394"/>
      <c r="I402" s="1232"/>
      <c r="J402" s="1232"/>
      <c r="K402" s="1394"/>
      <c r="L402" s="1233"/>
      <c r="M402" s="1395"/>
      <c r="N402" s="1211"/>
      <c r="O402" s="1211"/>
      <c r="P402" s="1211"/>
      <c r="Q402" s="1211"/>
      <c r="R402" s="1211"/>
      <c r="S402" s="1211"/>
      <c r="T402" s="1209"/>
    </row>
    <row r="403" spans="7:20" s="1191" customFormat="1" x14ac:dyDescent="0.2">
      <c r="G403" s="1203"/>
      <c r="H403" s="1220"/>
      <c r="I403" s="1243"/>
      <c r="J403" s="1243"/>
      <c r="K403" s="1192"/>
      <c r="L403" s="1216"/>
      <c r="M403" s="1203"/>
      <c r="N403" s="1211"/>
      <c r="O403" s="1211"/>
      <c r="P403" s="1211"/>
      <c r="Q403" s="1211"/>
      <c r="R403" s="1211"/>
      <c r="S403" s="1211"/>
      <c r="T403" s="1209"/>
    </row>
    <row r="404" spans="7:20" s="1191" customFormat="1" x14ac:dyDescent="0.2">
      <c r="G404" s="1203"/>
      <c r="H404" s="1204"/>
      <c r="I404" s="1243"/>
      <c r="J404" s="1243"/>
      <c r="K404" s="1204"/>
      <c r="L404" s="1192"/>
      <c r="M404" s="1397"/>
      <c r="N404" s="1210"/>
      <c r="O404" s="1211"/>
      <c r="P404" s="1211"/>
      <c r="Q404" s="1211"/>
      <c r="R404" s="1211"/>
      <c r="S404" s="1211"/>
      <c r="T404" s="1209"/>
    </row>
    <row r="405" spans="7:20" s="1191" customFormat="1" x14ac:dyDescent="0.2">
      <c r="G405" s="1203"/>
      <c r="H405" s="1204"/>
      <c r="I405" s="1243"/>
      <c r="J405" s="1243"/>
      <c r="K405" s="1204"/>
      <c r="L405" s="1192"/>
      <c r="M405" s="1397"/>
      <c r="N405" s="1210"/>
      <c r="O405" s="1211"/>
      <c r="P405" s="1211"/>
      <c r="Q405" s="1211"/>
      <c r="R405" s="1211"/>
      <c r="S405" s="1211"/>
      <c r="T405" s="1209"/>
    </row>
    <row r="406" spans="7:20" s="1191" customFormat="1" x14ac:dyDescent="0.2">
      <c r="G406" s="1203"/>
      <c r="H406" s="1204"/>
      <c r="I406" s="1243"/>
      <c r="J406" s="1243"/>
      <c r="K406" s="1204"/>
      <c r="L406" s="1192"/>
      <c r="M406" s="1397"/>
      <c r="N406" s="1210"/>
      <c r="O406" s="1211"/>
      <c r="P406" s="1211"/>
      <c r="Q406" s="1211"/>
      <c r="R406" s="1211"/>
      <c r="S406" s="1211"/>
      <c r="T406" s="1209"/>
    </row>
    <row r="407" spans="7:20" s="1191" customFormat="1" x14ac:dyDescent="0.2">
      <c r="G407" s="1203"/>
      <c r="H407" s="1204"/>
      <c r="I407" s="1243"/>
      <c r="J407" s="1243"/>
      <c r="K407" s="1204"/>
      <c r="L407" s="1192"/>
      <c r="M407" s="1397"/>
      <c r="N407" s="1210"/>
      <c r="O407" s="1211"/>
      <c r="P407" s="1211"/>
      <c r="Q407" s="1211"/>
      <c r="R407" s="1211"/>
      <c r="S407" s="1211"/>
      <c r="T407" s="1209"/>
    </row>
    <row r="408" spans="7:20" s="1191" customFormat="1" x14ac:dyDescent="0.2">
      <c r="G408" s="1203"/>
      <c r="H408" s="1204"/>
      <c r="I408" s="1243"/>
      <c r="J408" s="1243"/>
      <c r="K408" s="1204"/>
      <c r="L408" s="1192"/>
      <c r="M408" s="1397"/>
      <c r="N408" s="1210"/>
      <c r="O408" s="1211"/>
      <c r="P408" s="1211"/>
      <c r="Q408" s="1211"/>
      <c r="R408" s="1211"/>
      <c r="S408" s="1211"/>
      <c r="T408" s="1209"/>
    </row>
    <row r="409" spans="7:20" s="1191" customFormat="1" x14ac:dyDescent="0.2">
      <c r="G409" s="1203"/>
      <c r="H409" s="1204"/>
      <c r="I409" s="1243"/>
      <c r="J409" s="1243"/>
      <c r="K409" s="1204"/>
      <c r="L409" s="1192"/>
      <c r="M409" s="1397"/>
      <c r="N409" s="1210"/>
      <c r="O409" s="1211"/>
      <c r="P409" s="1211"/>
      <c r="Q409" s="1211"/>
      <c r="R409" s="1211"/>
      <c r="S409" s="1211"/>
      <c r="T409" s="1209"/>
    </row>
    <row r="410" spans="7:20" s="1191" customFormat="1" x14ac:dyDescent="0.2">
      <c r="G410" s="1203"/>
      <c r="H410" s="1204"/>
      <c r="I410" s="1243"/>
      <c r="J410" s="1243"/>
      <c r="K410" s="1204"/>
      <c r="L410" s="1192"/>
      <c r="M410" s="1397"/>
      <c r="N410" s="1210"/>
      <c r="O410" s="1211"/>
      <c r="P410" s="1211"/>
      <c r="Q410" s="1211"/>
      <c r="R410" s="1211"/>
      <c r="S410" s="1211"/>
      <c r="T410" s="1209"/>
    </row>
    <row r="411" spans="7:20" s="1191" customFormat="1" x14ac:dyDescent="0.2">
      <c r="G411" s="1203"/>
      <c r="H411" s="1204"/>
      <c r="I411" s="1243"/>
      <c r="J411" s="1243"/>
      <c r="K411" s="1204"/>
      <c r="L411" s="1192"/>
      <c r="M411" s="1397"/>
      <c r="N411" s="1210"/>
      <c r="O411" s="1211"/>
      <c r="P411" s="1211"/>
      <c r="Q411" s="1211"/>
      <c r="R411" s="1211"/>
      <c r="S411" s="1211"/>
      <c r="T411" s="1209"/>
    </row>
    <row r="412" spans="7:20" s="1191" customFormat="1" x14ac:dyDescent="0.2">
      <c r="G412" s="1203"/>
      <c r="H412" s="1204"/>
      <c r="I412" s="1243"/>
      <c r="J412" s="1243"/>
      <c r="K412" s="1204"/>
      <c r="L412" s="1192"/>
      <c r="M412" s="1397"/>
      <c r="N412" s="1210"/>
      <c r="O412" s="1211"/>
      <c r="P412" s="1211"/>
      <c r="Q412" s="1211"/>
      <c r="R412" s="1211"/>
      <c r="S412" s="1211"/>
      <c r="T412" s="1209"/>
    </row>
    <row r="413" spans="7:20" s="1191" customFormat="1" x14ac:dyDescent="0.2">
      <c r="G413" s="1203"/>
      <c r="H413" s="1204"/>
      <c r="I413" s="1243"/>
      <c r="J413" s="1243"/>
      <c r="K413" s="1204"/>
      <c r="L413" s="1192"/>
      <c r="M413" s="1397"/>
      <c r="N413" s="1210"/>
      <c r="O413" s="1211"/>
      <c r="P413" s="1211"/>
      <c r="Q413" s="1211"/>
      <c r="R413" s="1211"/>
      <c r="S413" s="1211"/>
      <c r="T413" s="1209"/>
    </row>
    <row r="414" spans="7:20" s="1191" customFormat="1" x14ac:dyDescent="0.2">
      <c r="G414" s="1203"/>
      <c r="H414" s="1204"/>
      <c r="I414" s="1243"/>
      <c r="J414" s="1243"/>
      <c r="K414" s="1204"/>
      <c r="L414" s="1192"/>
      <c r="M414" s="1397"/>
      <c r="N414" s="1210"/>
      <c r="O414" s="1211"/>
      <c r="P414" s="1211"/>
      <c r="Q414" s="1211"/>
      <c r="R414" s="1211"/>
      <c r="S414" s="1211"/>
      <c r="T414" s="1209"/>
    </row>
    <row r="415" spans="7:20" s="1191" customFormat="1" x14ac:dyDescent="0.2">
      <c r="G415" s="1203"/>
      <c r="H415" s="1192"/>
      <c r="I415" s="1243"/>
      <c r="J415" s="1243"/>
      <c r="K415" s="1192"/>
      <c r="L415" s="1192"/>
      <c r="M415" s="1398"/>
      <c r="N415" s="1211"/>
      <c r="O415" s="1211"/>
      <c r="P415" s="1211"/>
      <c r="Q415" s="1211"/>
      <c r="R415" s="1211"/>
      <c r="S415" s="1211"/>
      <c r="T415" s="1209"/>
    </row>
    <row r="416" spans="7:20" s="1191" customFormat="1" x14ac:dyDescent="0.2">
      <c r="G416" s="1203"/>
      <c r="H416" s="1220"/>
      <c r="I416" s="1243"/>
      <c r="J416" s="1243"/>
      <c r="K416" s="1192"/>
      <c r="L416" s="1192"/>
      <c r="M416" s="1398"/>
      <c r="N416" s="1211"/>
      <c r="O416" s="1309"/>
      <c r="P416" s="1309"/>
      <c r="Q416" s="1309"/>
      <c r="R416" s="1210"/>
      <c r="S416" s="1211"/>
      <c r="T416" s="1209"/>
    </row>
    <row r="417" spans="7:20" s="1191" customFormat="1" x14ac:dyDescent="0.2">
      <c r="G417" s="1203"/>
      <c r="H417" s="1204"/>
      <c r="I417" s="1243"/>
      <c r="J417" s="1243"/>
      <c r="K417" s="1204"/>
      <c r="L417" s="1192"/>
      <c r="M417" s="1397"/>
      <c r="N417" s="1211"/>
      <c r="O417" s="1211"/>
      <c r="P417" s="1211"/>
      <c r="Q417" s="1211"/>
      <c r="R417" s="1211"/>
      <c r="S417" s="1211"/>
      <c r="T417" s="1209"/>
    </row>
    <row r="418" spans="7:20" s="1191" customFormat="1" x14ac:dyDescent="0.2">
      <c r="G418" s="1203"/>
      <c r="H418" s="1204"/>
      <c r="I418" s="1243"/>
      <c r="J418" s="1243"/>
      <c r="K418" s="1204"/>
      <c r="L418" s="1192"/>
      <c r="M418" s="1397"/>
      <c r="N418" s="1211"/>
      <c r="O418" s="1211"/>
      <c r="P418" s="1211"/>
      <c r="Q418" s="1211"/>
      <c r="R418" s="1211"/>
      <c r="S418" s="1211"/>
      <c r="T418" s="1209"/>
    </row>
    <row r="419" spans="7:20" s="1191" customFormat="1" x14ac:dyDescent="0.2">
      <c r="G419" s="1203"/>
      <c r="H419" s="1204"/>
      <c r="I419" s="1243"/>
      <c r="J419" s="1243"/>
      <c r="K419" s="1204"/>
      <c r="L419" s="1192"/>
      <c r="M419" s="1397"/>
      <c r="N419" s="1211"/>
      <c r="O419" s="1211"/>
      <c r="P419" s="1211"/>
      <c r="Q419" s="1211"/>
      <c r="R419" s="1211"/>
      <c r="S419" s="1211"/>
      <c r="T419" s="1209"/>
    </row>
    <row r="420" spans="7:20" s="1191" customFormat="1" x14ac:dyDescent="0.2">
      <c r="G420" s="1203"/>
      <c r="H420" s="1204"/>
      <c r="I420" s="1243"/>
      <c r="J420" s="1243"/>
      <c r="K420" s="1204"/>
      <c r="L420" s="1192"/>
      <c r="M420" s="1397"/>
      <c r="N420" s="1211"/>
      <c r="O420" s="1211"/>
      <c r="P420" s="1211"/>
      <c r="Q420" s="1211"/>
      <c r="R420" s="1211"/>
      <c r="S420" s="1211"/>
      <c r="T420" s="1209"/>
    </row>
    <row r="421" spans="7:20" s="1191" customFormat="1" x14ac:dyDescent="0.2">
      <c r="G421" s="1203"/>
      <c r="H421" s="1204"/>
      <c r="I421" s="1243"/>
      <c r="J421" s="1243"/>
      <c r="K421" s="1204"/>
      <c r="L421" s="1192"/>
      <c r="M421" s="1397"/>
      <c r="N421" s="1211"/>
      <c r="O421" s="1211"/>
      <c r="P421" s="1211"/>
      <c r="Q421" s="1211"/>
      <c r="R421" s="1211"/>
      <c r="S421" s="1211"/>
      <c r="T421" s="1209"/>
    </row>
    <row r="422" spans="7:20" s="1191" customFormat="1" x14ac:dyDescent="0.2">
      <c r="G422" s="1203"/>
      <c r="H422" s="1204"/>
      <c r="I422" s="1243"/>
      <c r="J422" s="1243"/>
      <c r="K422" s="1204"/>
      <c r="L422" s="1192"/>
      <c r="M422" s="1397"/>
      <c r="N422" s="1211"/>
      <c r="O422" s="1211"/>
      <c r="P422" s="1211"/>
      <c r="Q422" s="1211"/>
      <c r="R422" s="1211"/>
      <c r="S422" s="1211"/>
      <c r="T422" s="1209"/>
    </row>
    <row r="423" spans="7:20" s="1191" customFormat="1" x14ac:dyDescent="0.2">
      <c r="G423" s="1203"/>
      <c r="H423" s="1204"/>
      <c r="I423" s="1243"/>
      <c r="J423" s="1243"/>
      <c r="K423" s="1204"/>
      <c r="L423" s="1192"/>
      <c r="M423" s="1397"/>
      <c r="N423" s="1211"/>
      <c r="O423" s="1211"/>
      <c r="P423" s="1211"/>
      <c r="Q423" s="1211"/>
      <c r="R423" s="1211"/>
      <c r="S423" s="1211"/>
      <c r="T423" s="1209"/>
    </row>
    <row r="424" spans="7:20" s="1191" customFormat="1" x14ac:dyDescent="0.2">
      <c r="G424" s="1203"/>
      <c r="H424" s="1204"/>
      <c r="I424" s="1243"/>
      <c r="J424" s="1243"/>
      <c r="K424" s="1204"/>
      <c r="L424" s="1192"/>
      <c r="M424" s="1397"/>
      <c r="N424" s="1211"/>
      <c r="O424" s="1211"/>
      <c r="P424" s="1211"/>
      <c r="Q424" s="1211"/>
      <c r="R424" s="1211"/>
      <c r="S424" s="1211"/>
      <c r="T424" s="1209"/>
    </row>
    <row r="425" spans="7:20" s="1191" customFormat="1" x14ac:dyDescent="0.2">
      <c r="G425" s="1203"/>
      <c r="H425" s="1204"/>
      <c r="I425" s="1243"/>
      <c r="J425" s="1243"/>
      <c r="K425" s="1204"/>
      <c r="L425" s="1192"/>
      <c r="M425" s="1397"/>
      <c r="N425" s="1211"/>
      <c r="O425" s="1211"/>
      <c r="P425" s="1211"/>
      <c r="Q425" s="1211"/>
      <c r="R425" s="1211"/>
      <c r="S425" s="1211"/>
      <c r="T425" s="1209"/>
    </row>
    <row r="426" spans="7:20" s="1191" customFormat="1" x14ac:dyDescent="0.2">
      <c r="G426" s="1203"/>
      <c r="H426" s="1204"/>
      <c r="I426" s="1243"/>
      <c r="J426" s="1243"/>
      <c r="K426" s="1204"/>
      <c r="L426" s="1192"/>
      <c r="M426" s="1397"/>
      <c r="N426" s="1211"/>
      <c r="O426" s="1211"/>
      <c r="P426" s="1211"/>
      <c r="Q426" s="1211"/>
      <c r="R426" s="1211"/>
      <c r="S426" s="1211"/>
      <c r="T426" s="1209"/>
    </row>
    <row r="427" spans="7:20" s="1191" customFormat="1" x14ac:dyDescent="0.2">
      <c r="G427" s="1203"/>
      <c r="H427" s="1192"/>
      <c r="I427" s="1243"/>
      <c r="J427" s="1243"/>
      <c r="K427" s="1192"/>
      <c r="L427" s="1216"/>
      <c r="M427" s="1203"/>
      <c r="N427" s="1211"/>
      <c r="O427" s="1211"/>
      <c r="P427" s="1309"/>
      <c r="Q427" s="1309"/>
      <c r="R427" s="1309"/>
      <c r="S427" s="1211"/>
      <c r="T427" s="1209"/>
    </row>
    <row r="428" spans="7:20" s="1191" customFormat="1" x14ac:dyDescent="0.2">
      <c r="G428" s="1203"/>
      <c r="H428" s="1220"/>
      <c r="I428" s="1243"/>
      <c r="J428" s="1243"/>
      <c r="K428" s="1192"/>
      <c r="L428" s="1216"/>
      <c r="M428" s="1203"/>
      <c r="N428" s="1211"/>
      <c r="O428" s="1211"/>
      <c r="P428" s="1211"/>
      <c r="Q428" s="1211"/>
      <c r="R428" s="1211"/>
      <c r="S428" s="1211"/>
      <c r="T428" s="1209"/>
    </row>
    <row r="429" spans="7:20" s="1191" customFormat="1" x14ac:dyDescent="0.2">
      <c r="G429" s="1203"/>
      <c r="H429" s="1204"/>
      <c r="I429" s="1243"/>
      <c r="J429" s="1243"/>
      <c r="K429" s="1192"/>
      <c r="L429" s="1216"/>
      <c r="M429" s="1203"/>
      <c r="N429" s="1211"/>
      <c r="O429" s="1211"/>
      <c r="P429" s="1211"/>
      <c r="Q429" s="1211"/>
      <c r="R429" s="1211"/>
      <c r="S429" s="1211"/>
      <c r="T429" s="1209"/>
    </row>
    <row r="430" spans="7:20" s="1191" customFormat="1" x14ac:dyDescent="0.2">
      <c r="G430" s="1203"/>
      <c r="H430" s="1204"/>
      <c r="I430" s="1243"/>
      <c r="J430" s="1243"/>
      <c r="K430" s="1192"/>
      <c r="L430" s="1216"/>
      <c r="M430" s="1203"/>
      <c r="N430" s="1211"/>
      <c r="O430" s="1211"/>
      <c r="P430" s="1211"/>
      <c r="Q430" s="1211"/>
      <c r="R430" s="1211"/>
      <c r="S430" s="1211"/>
      <c r="T430" s="1209"/>
    </row>
    <row r="431" spans="7:20" s="1191" customFormat="1" x14ac:dyDescent="0.2">
      <c r="G431" s="1203"/>
      <c r="H431" s="1204"/>
      <c r="I431" s="1243"/>
      <c r="J431" s="1243"/>
      <c r="K431" s="1192"/>
      <c r="L431" s="1216"/>
      <c r="M431" s="1203"/>
      <c r="N431" s="1211"/>
      <c r="O431" s="1211"/>
      <c r="P431" s="1211"/>
      <c r="Q431" s="1211"/>
      <c r="R431" s="1211"/>
      <c r="S431" s="1211"/>
      <c r="T431" s="1209"/>
    </row>
    <row r="432" spans="7:20" s="1191" customFormat="1" x14ac:dyDescent="0.2">
      <c r="G432" s="1203"/>
      <c r="H432" s="1204"/>
      <c r="I432" s="1243"/>
      <c r="J432" s="1243"/>
      <c r="K432" s="1192"/>
      <c r="L432" s="1216"/>
      <c r="M432" s="1203"/>
      <c r="N432" s="1211"/>
      <c r="O432" s="1211"/>
      <c r="P432" s="1211"/>
      <c r="Q432" s="1211"/>
      <c r="R432" s="1211"/>
      <c r="S432" s="1211"/>
      <c r="T432" s="1209"/>
    </row>
    <row r="433" spans="7:20" s="1191" customFormat="1" x14ac:dyDescent="0.2">
      <c r="G433" s="1203"/>
      <c r="H433" s="1204"/>
      <c r="I433" s="1243"/>
      <c r="J433" s="1243"/>
      <c r="K433" s="1192"/>
      <c r="L433" s="1216"/>
      <c r="M433" s="1203"/>
      <c r="N433" s="1211"/>
      <c r="O433" s="1211"/>
      <c r="P433" s="1211"/>
      <c r="Q433" s="1211"/>
      <c r="R433" s="1211"/>
      <c r="S433" s="1211"/>
      <c r="T433" s="1209"/>
    </row>
    <row r="434" spans="7:20" s="1191" customFormat="1" x14ac:dyDescent="0.2">
      <c r="G434" s="1203"/>
      <c r="H434" s="1204"/>
      <c r="I434" s="1243"/>
      <c r="J434" s="1243"/>
      <c r="K434" s="1192"/>
      <c r="L434" s="1216"/>
      <c r="M434" s="1203"/>
      <c r="N434" s="1211"/>
      <c r="O434" s="1211"/>
      <c r="P434" s="1211"/>
      <c r="Q434" s="1211"/>
      <c r="R434" s="1211"/>
      <c r="S434" s="1211"/>
      <c r="T434" s="1209"/>
    </row>
    <row r="435" spans="7:20" s="1191" customFormat="1" x14ac:dyDescent="0.2">
      <c r="G435" s="1203"/>
      <c r="H435" s="1204"/>
      <c r="I435" s="1243"/>
      <c r="J435" s="1243"/>
      <c r="K435" s="1192"/>
      <c r="L435" s="1216"/>
      <c r="M435" s="1203"/>
      <c r="N435" s="1211"/>
      <c r="O435" s="1211"/>
      <c r="P435" s="1211"/>
      <c r="Q435" s="1211"/>
      <c r="R435" s="1211"/>
      <c r="S435" s="1211"/>
      <c r="T435" s="1209"/>
    </row>
    <row r="436" spans="7:20" s="1191" customFormat="1" x14ac:dyDescent="0.2">
      <c r="G436" s="1203"/>
      <c r="H436" s="1204"/>
      <c r="I436" s="1243"/>
      <c r="J436" s="1243"/>
      <c r="K436" s="1192"/>
      <c r="L436" s="1216"/>
      <c r="M436" s="1203"/>
      <c r="N436" s="1211"/>
      <c r="O436" s="1211"/>
      <c r="P436" s="1211"/>
      <c r="Q436" s="1211"/>
      <c r="R436" s="1211"/>
      <c r="S436" s="1211"/>
      <c r="T436" s="1209"/>
    </row>
    <row r="437" spans="7:20" s="1191" customFormat="1" x14ac:dyDescent="0.2">
      <c r="G437" s="1203"/>
      <c r="H437" s="1204"/>
      <c r="I437" s="1243"/>
      <c r="J437" s="1243"/>
      <c r="K437" s="1192"/>
      <c r="L437" s="1216"/>
      <c r="M437" s="1203"/>
      <c r="N437" s="1211"/>
      <c r="O437" s="1211"/>
      <c r="P437" s="1211"/>
      <c r="Q437" s="1211"/>
      <c r="R437" s="1211"/>
      <c r="S437" s="1211"/>
      <c r="T437" s="1209"/>
    </row>
    <row r="438" spans="7:20" s="1191" customFormat="1" x14ac:dyDescent="0.2">
      <c r="G438" s="1203"/>
      <c r="H438" s="1204"/>
      <c r="I438" s="1243"/>
      <c r="J438" s="1243"/>
      <c r="K438" s="1192"/>
      <c r="L438" s="1216"/>
      <c r="M438" s="1203"/>
      <c r="N438" s="1211"/>
      <c r="O438" s="1211"/>
      <c r="P438" s="1211"/>
      <c r="Q438" s="1211"/>
      <c r="R438" s="1211"/>
      <c r="S438" s="1211"/>
      <c r="T438" s="1209"/>
    </row>
    <row r="439" spans="7:20" s="1191" customFormat="1" x14ac:dyDescent="0.2">
      <c r="G439" s="1203"/>
      <c r="H439" s="1192"/>
      <c r="I439" s="1243"/>
      <c r="J439" s="1243"/>
      <c r="K439" s="1192"/>
      <c r="L439" s="1192"/>
      <c r="M439" s="1203"/>
      <c r="N439" s="1211"/>
      <c r="O439" s="1211"/>
      <c r="P439" s="1211"/>
      <c r="Q439" s="1211"/>
      <c r="R439" s="1211"/>
      <c r="S439" s="1211"/>
      <c r="T439" s="1209"/>
    </row>
    <row r="440" spans="7:20" s="1191" customFormat="1" x14ac:dyDescent="0.2">
      <c r="G440" s="1203"/>
      <c r="H440" s="1220"/>
      <c r="I440" s="1243"/>
      <c r="J440" s="1243"/>
      <c r="K440" s="1192"/>
      <c r="L440" s="1216"/>
      <c r="M440" s="1203"/>
      <c r="N440" s="1211"/>
      <c r="O440" s="1210"/>
      <c r="P440" s="1210"/>
      <c r="Q440" s="1210"/>
      <c r="R440" s="1210"/>
      <c r="S440" s="1211"/>
      <c r="T440" s="1209"/>
    </row>
    <row r="441" spans="7:20" s="1191" customFormat="1" x14ac:dyDescent="0.2">
      <c r="G441" s="1203"/>
      <c r="H441" s="1204"/>
      <c r="I441" s="1243"/>
      <c r="J441" s="1243"/>
      <c r="K441" s="1192"/>
      <c r="L441" s="1221"/>
      <c r="M441" s="1397"/>
      <c r="N441" s="1210"/>
      <c r="O441" s="1211"/>
      <c r="P441" s="1211"/>
      <c r="Q441" s="1211"/>
      <c r="R441" s="1211"/>
      <c r="S441" s="1211"/>
      <c r="T441" s="1209"/>
    </row>
    <row r="442" spans="7:20" s="1191" customFormat="1" x14ac:dyDescent="0.2">
      <c r="G442" s="1203"/>
      <c r="H442" s="1204"/>
      <c r="I442" s="1243"/>
      <c r="J442" s="1243"/>
      <c r="K442" s="1192"/>
      <c r="L442" s="1221"/>
      <c r="M442" s="1397"/>
      <c r="N442" s="1210"/>
      <c r="O442" s="1211"/>
      <c r="P442" s="1211"/>
      <c r="Q442" s="1211"/>
      <c r="R442" s="1211"/>
      <c r="S442" s="1211"/>
      <c r="T442" s="1209"/>
    </row>
    <row r="443" spans="7:20" s="1191" customFormat="1" x14ac:dyDescent="0.2">
      <c r="G443" s="1203"/>
      <c r="H443" s="1204"/>
      <c r="I443" s="1243"/>
      <c r="J443" s="1243"/>
      <c r="K443" s="1192"/>
      <c r="L443" s="1221"/>
      <c r="M443" s="1397"/>
      <c r="N443" s="1210"/>
      <c r="O443" s="1211"/>
      <c r="P443" s="1211"/>
      <c r="Q443" s="1211"/>
      <c r="R443" s="1211"/>
      <c r="S443" s="1211"/>
      <c r="T443" s="1209"/>
    </row>
    <row r="444" spans="7:20" s="1191" customFormat="1" x14ac:dyDescent="0.2">
      <c r="G444" s="1203"/>
      <c r="H444" s="1204"/>
      <c r="I444" s="1243"/>
      <c r="J444" s="1243"/>
      <c r="K444" s="1192"/>
      <c r="L444" s="1221"/>
      <c r="M444" s="1397"/>
      <c r="N444" s="1210"/>
      <c r="O444" s="1211"/>
      <c r="P444" s="1211"/>
      <c r="Q444" s="1211"/>
      <c r="R444" s="1211"/>
      <c r="S444" s="1211"/>
      <c r="T444" s="1209"/>
    </row>
    <row r="445" spans="7:20" s="1191" customFormat="1" x14ac:dyDescent="0.2">
      <c r="G445" s="1203"/>
      <c r="H445" s="1204"/>
      <c r="I445" s="1243"/>
      <c r="J445" s="1243"/>
      <c r="K445" s="1204"/>
      <c r="L445" s="1221"/>
      <c r="M445" s="1397"/>
      <c r="N445" s="1210"/>
      <c r="O445" s="1211"/>
      <c r="P445" s="1211"/>
      <c r="Q445" s="1211"/>
      <c r="R445" s="1211"/>
      <c r="S445" s="1211"/>
      <c r="T445" s="1209"/>
    </row>
    <row r="446" spans="7:20" s="1191" customFormat="1" x14ac:dyDescent="0.2">
      <c r="G446" s="1203"/>
      <c r="H446" s="1192"/>
      <c r="I446" s="1243"/>
      <c r="J446" s="1243"/>
      <c r="K446" s="1192"/>
      <c r="L446" s="1216"/>
      <c r="M446" s="1203"/>
      <c r="N446" s="1211"/>
      <c r="O446" s="1211"/>
      <c r="P446" s="1211"/>
      <c r="Q446" s="1211"/>
      <c r="R446" s="1211"/>
      <c r="S446" s="1211"/>
      <c r="T446" s="1209"/>
    </row>
    <row r="447" spans="7:20" s="1191" customFormat="1" x14ac:dyDescent="0.2">
      <c r="G447" s="1203"/>
      <c r="H447" s="1220"/>
      <c r="I447" s="1243"/>
      <c r="J447" s="1243"/>
      <c r="K447" s="1192"/>
      <c r="L447" s="1216"/>
      <c r="M447" s="1203"/>
      <c r="N447" s="1211"/>
      <c r="O447" s="1211"/>
      <c r="P447" s="1211"/>
      <c r="Q447" s="1211"/>
      <c r="R447" s="1211"/>
      <c r="S447" s="1211"/>
      <c r="T447" s="1209"/>
    </row>
    <row r="448" spans="7:20" s="1191" customFormat="1" x14ac:dyDescent="0.2">
      <c r="G448" s="1203"/>
      <c r="H448" s="1204"/>
      <c r="I448" s="1243"/>
      <c r="J448" s="1243"/>
      <c r="K448" s="1204"/>
      <c r="L448" s="1216"/>
      <c r="M448" s="1203"/>
      <c r="N448" s="1211"/>
      <c r="O448" s="1211"/>
      <c r="P448" s="1211"/>
      <c r="Q448" s="1211"/>
      <c r="R448" s="1211"/>
      <c r="S448" s="1211"/>
      <c r="T448" s="1209"/>
    </row>
    <row r="449" spans="7:20" s="1191" customFormat="1" x14ac:dyDescent="0.2">
      <c r="G449" s="1203"/>
      <c r="H449" s="1204"/>
      <c r="I449" s="1243"/>
      <c r="J449" s="1243"/>
      <c r="K449" s="1204"/>
      <c r="L449" s="1216"/>
      <c r="M449" s="1203"/>
      <c r="N449" s="1211"/>
      <c r="O449" s="1211"/>
      <c r="P449" s="1211"/>
      <c r="Q449" s="1211"/>
      <c r="R449" s="1211"/>
      <c r="S449" s="1211"/>
      <c r="T449" s="1209"/>
    </row>
    <row r="450" spans="7:20" s="1191" customFormat="1" x14ac:dyDescent="0.2">
      <c r="G450" s="1203"/>
      <c r="H450" s="1204"/>
      <c r="I450" s="1243"/>
      <c r="J450" s="1243"/>
      <c r="K450" s="1204"/>
      <c r="L450" s="1216"/>
      <c r="M450" s="1203"/>
      <c r="N450" s="1211"/>
      <c r="O450" s="1211"/>
      <c r="P450" s="1211"/>
      <c r="Q450" s="1211"/>
      <c r="R450" s="1211"/>
      <c r="S450" s="1211"/>
      <c r="T450" s="1209"/>
    </row>
    <row r="451" spans="7:20" s="1191" customFormat="1" x14ac:dyDescent="0.2">
      <c r="G451" s="1203"/>
      <c r="H451" s="1204"/>
      <c r="I451" s="1243"/>
      <c r="J451" s="1243"/>
      <c r="K451" s="1204"/>
      <c r="L451" s="1216"/>
      <c r="M451" s="1203"/>
      <c r="N451" s="1211"/>
      <c r="O451" s="1211"/>
      <c r="P451" s="1211"/>
      <c r="Q451" s="1211"/>
      <c r="R451" s="1211"/>
      <c r="S451" s="1211"/>
      <c r="T451" s="1209"/>
    </row>
    <row r="452" spans="7:20" s="1191" customFormat="1" x14ac:dyDescent="0.2">
      <c r="G452" s="1203"/>
      <c r="H452" s="1204"/>
      <c r="I452" s="1243"/>
      <c r="J452" s="1243"/>
      <c r="K452" s="1204"/>
      <c r="L452" s="1216"/>
      <c r="M452" s="1203"/>
      <c r="N452" s="1211"/>
      <c r="O452" s="1211"/>
      <c r="P452" s="1211"/>
      <c r="Q452" s="1211"/>
      <c r="R452" s="1211"/>
      <c r="S452" s="1211"/>
      <c r="T452" s="1209"/>
    </row>
    <row r="453" spans="7:20" s="1191" customFormat="1" x14ac:dyDescent="0.2">
      <c r="G453" s="1203"/>
      <c r="H453" s="1204"/>
      <c r="I453" s="1243"/>
      <c r="J453" s="1243"/>
      <c r="K453" s="1204"/>
      <c r="L453" s="1216"/>
      <c r="M453" s="1203"/>
      <c r="N453" s="1211"/>
      <c r="O453" s="1211"/>
      <c r="P453" s="1211"/>
      <c r="Q453" s="1211"/>
      <c r="R453" s="1211"/>
      <c r="S453" s="1211"/>
      <c r="T453" s="1209"/>
    </row>
    <row r="454" spans="7:20" s="1191" customFormat="1" x14ac:dyDescent="0.2">
      <c r="G454" s="1203"/>
      <c r="H454" s="1204"/>
      <c r="I454" s="1243"/>
      <c r="J454" s="1243"/>
      <c r="K454" s="1204"/>
      <c r="L454" s="1216"/>
      <c r="M454" s="1203"/>
      <c r="N454" s="1211"/>
      <c r="O454" s="1211"/>
      <c r="P454" s="1211"/>
      <c r="Q454" s="1211"/>
      <c r="R454" s="1211"/>
      <c r="S454" s="1211"/>
      <c r="T454" s="1209"/>
    </row>
    <row r="455" spans="7:20" s="1191" customFormat="1" x14ac:dyDescent="0.2">
      <c r="G455" s="1203"/>
      <c r="H455" s="1204"/>
      <c r="I455" s="1243"/>
      <c r="J455" s="1243"/>
      <c r="K455" s="1204"/>
      <c r="L455" s="1216"/>
      <c r="M455" s="1203"/>
      <c r="N455" s="1211"/>
      <c r="O455" s="1211"/>
      <c r="P455" s="1211"/>
      <c r="Q455" s="1211"/>
      <c r="R455" s="1211"/>
      <c r="S455" s="1211"/>
      <c r="T455" s="1209"/>
    </row>
    <row r="456" spans="7:20" s="1191" customFormat="1" x14ac:dyDescent="0.2">
      <c r="G456" s="1203"/>
      <c r="H456" s="1204"/>
      <c r="I456" s="1243"/>
      <c r="J456" s="1243"/>
      <c r="K456" s="1204"/>
      <c r="L456" s="1216"/>
      <c r="M456" s="1203"/>
      <c r="N456" s="1211"/>
      <c r="O456" s="1211"/>
      <c r="P456" s="1211"/>
      <c r="Q456" s="1211"/>
      <c r="R456" s="1211"/>
      <c r="S456" s="1211"/>
      <c r="T456" s="1209"/>
    </row>
    <row r="457" spans="7:20" s="1191" customFormat="1" x14ac:dyDescent="0.2">
      <c r="G457" s="1203"/>
      <c r="H457" s="1204"/>
      <c r="I457" s="1243"/>
      <c r="J457" s="1243"/>
      <c r="K457" s="1204"/>
      <c r="L457" s="1216"/>
      <c r="M457" s="1203"/>
      <c r="N457" s="1211"/>
      <c r="O457" s="1211"/>
      <c r="P457" s="1211"/>
      <c r="Q457" s="1211"/>
      <c r="R457" s="1211"/>
      <c r="S457" s="1211"/>
      <c r="T457" s="1209"/>
    </row>
    <row r="458" spans="7:20" s="1191" customFormat="1" x14ac:dyDescent="0.2">
      <c r="G458" s="1203"/>
      <c r="H458" s="1204"/>
      <c r="I458" s="1243"/>
      <c r="J458" s="1243"/>
      <c r="K458" s="1204"/>
      <c r="L458" s="1216"/>
      <c r="M458" s="1203"/>
      <c r="N458" s="1211"/>
      <c r="O458" s="1211"/>
      <c r="P458" s="1211"/>
      <c r="Q458" s="1211"/>
      <c r="R458" s="1211"/>
      <c r="S458" s="1211"/>
      <c r="T458" s="1209"/>
    </row>
    <row r="459" spans="7:20" s="1191" customFormat="1" x14ac:dyDescent="0.2">
      <c r="G459" s="1203"/>
      <c r="H459" s="1204"/>
      <c r="I459" s="1243"/>
      <c r="J459" s="1243"/>
      <c r="K459" s="1204"/>
      <c r="L459" s="1216"/>
      <c r="M459" s="1203"/>
      <c r="N459" s="1211"/>
      <c r="O459" s="1211"/>
      <c r="P459" s="1211"/>
      <c r="Q459" s="1211"/>
      <c r="R459" s="1211"/>
      <c r="S459" s="1211"/>
      <c r="T459" s="1209"/>
    </row>
    <row r="460" spans="7:20" s="1191" customFormat="1" x14ac:dyDescent="0.2">
      <c r="G460" s="1203"/>
      <c r="H460" s="1204"/>
      <c r="I460" s="1243"/>
      <c r="J460" s="1243"/>
      <c r="K460" s="1204"/>
      <c r="L460" s="1216"/>
      <c r="M460" s="1203"/>
      <c r="N460" s="1211"/>
      <c r="O460" s="1211"/>
      <c r="P460" s="1211"/>
      <c r="Q460" s="1211"/>
      <c r="R460" s="1211"/>
      <c r="S460" s="1211"/>
      <c r="T460" s="1209"/>
    </row>
    <row r="461" spans="7:20" s="1191" customFormat="1" x14ac:dyDescent="0.2">
      <c r="G461" s="1203"/>
      <c r="H461" s="1204"/>
      <c r="I461" s="1243"/>
      <c r="J461" s="1243"/>
      <c r="K461" s="1192"/>
      <c r="L461" s="1216"/>
      <c r="M461" s="1203"/>
      <c r="N461" s="1211"/>
      <c r="O461" s="1211"/>
      <c r="P461" s="1211"/>
      <c r="Q461" s="1211"/>
      <c r="R461" s="1211"/>
      <c r="S461" s="1211"/>
      <c r="T461" s="1209"/>
    </row>
    <row r="462" spans="7:20" s="1191" customFormat="1" x14ac:dyDescent="0.2">
      <c r="G462" s="1203"/>
      <c r="H462" s="1204"/>
      <c r="I462" s="1243"/>
      <c r="J462" s="1243"/>
      <c r="K462" s="1204"/>
      <c r="L462" s="1192"/>
      <c r="M462" s="1397"/>
      <c r="N462" s="1211"/>
      <c r="O462" s="1211"/>
      <c r="P462" s="1211"/>
      <c r="Q462" s="1211"/>
      <c r="R462" s="1211"/>
      <c r="S462" s="1211"/>
      <c r="T462" s="1209"/>
    </row>
    <row r="463" spans="7:20" s="1191" customFormat="1" x14ac:dyDescent="0.2">
      <c r="G463" s="1203"/>
      <c r="H463" s="1204"/>
      <c r="I463" s="1243"/>
      <c r="J463" s="1243"/>
      <c r="K463" s="1192"/>
      <c r="L463" s="1216"/>
      <c r="M463" s="1203"/>
      <c r="N463" s="1211"/>
      <c r="O463" s="1211"/>
      <c r="P463" s="1211"/>
      <c r="Q463" s="1211"/>
      <c r="R463" s="1211"/>
      <c r="S463" s="1211"/>
      <c r="T463" s="1209"/>
    </row>
    <row r="464" spans="7:20" s="1191" customFormat="1" ht="18" x14ac:dyDescent="0.25">
      <c r="G464" s="1389" t="s">
        <v>85</v>
      </c>
      <c r="H464" s="1390"/>
      <c r="I464" s="1391"/>
      <c r="J464" s="1391"/>
      <c r="K464" s="1392"/>
      <c r="L464" s="1399"/>
      <c r="M464" s="1392"/>
      <c r="N464" s="1187"/>
      <c r="O464" s="1187"/>
      <c r="P464" s="1187"/>
      <c r="Q464" s="1187"/>
      <c r="R464" s="1187"/>
      <c r="S464" s="1187"/>
      <c r="T464" s="1202"/>
    </row>
    <row r="465" spans="7:20" s="1191" customFormat="1" x14ac:dyDescent="0.2">
      <c r="G465" s="1203"/>
      <c r="H465" s="1394"/>
      <c r="I465" s="1232"/>
      <c r="J465" s="1232"/>
      <c r="K465" s="1394"/>
      <c r="L465" s="1400"/>
      <c r="M465" s="1394"/>
      <c r="N465" s="1211"/>
      <c r="O465" s="1211"/>
      <c r="P465" s="1211"/>
      <c r="Q465" s="1211"/>
      <c r="R465" s="1211"/>
      <c r="S465" s="1211"/>
      <c r="T465" s="1209"/>
    </row>
    <row r="466" spans="7:20" s="1191" customFormat="1" x14ac:dyDescent="0.2">
      <c r="G466" s="1203"/>
      <c r="H466" s="1220"/>
      <c r="I466" s="1243"/>
      <c r="J466" s="1243"/>
      <c r="K466" s="1192"/>
      <c r="L466" s="1401"/>
      <c r="M466" s="1192"/>
      <c r="N466" s="1211"/>
      <c r="O466" s="1211"/>
      <c r="P466" s="1211"/>
      <c r="Q466" s="1211"/>
      <c r="R466" s="1211"/>
      <c r="S466" s="1211"/>
      <c r="T466" s="1209"/>
    </row>
    <row r="467" spans="7:20" s="1191" customFormat="1" x14ac:dyDescent="0.2">
      <c r="G467" s="1203"/>
      <c r="H467" s="1204"/>
      <c r="I467" s="1243"/>
      <c r="J467" s="1243"/>
      <c r="K467" s="1402"/>
      <c r="L467" s="1401"/>
      <c r="M467" s="1192"/>
      <c r="N467" s="1211"/>
      <c r="O467" s="1211"/>
      <c r="P467" s="1211"/>
      <c r="Q467" s="1211"/>
      <c r="R467" s="1211"/>
      <c r="S467" s="1211"/>
      <c r="T467" s="1209"/>
    </row>
    <row r="468" spans="7:20" s="1191" customFormat="1" x14ac:dyDescent="0.2">
      <c r="G468" s="1203"/>
      <c r="H468" s="1204"/>
      <c r="I468" s="1243"/>
      <c r="J468" s="1243"/>
      <c r="K468" s="1204"/>
      <c r="L468" s="1401"/>
      <c r="M468" s="1192"/>
      <c r="N468" s="1211"/>
      <c r="O468" s="1211"/>
      <c r="P468" s="1211"/>
      <c r="Q468" s="1211"/>
      <c r="R468" s="1211"/>
      <c r="S468" s="1211"/>
      <c r="T468" s="1209"/>
    </row>
    <row r="469" spans="7:20" s="1191" customFormat="1" x14ac:dyDescent="0.2">
      <c r="G469" s="1203"/>
      <c r="H469" s="1204"/>
      <c r="I469" s="1243"/>
      <c r="J469" s="1243"/>
      <c r="K469" s="1204"/>
      <c r="L469" s="1401"/>
      <c r="M469" s="1192"/>
      <c r="N469" s="1211"/>
      <c r="O469" s="1211"/>
      <c r="P469" s="1211"/>
      <c r="Q469" s="1211"/>
      <c r="R469" s="1211"/>
      <c r="S469" s="1211"/>
      <c r="T469" s="1209"/>
    </row>
    <row r="470" spans="7:20" s="1191" customFormat="1" x14ac:dyDescent="0.2">
      <c r="G470" s="1203"/>
      <c r="H470" s="1204"/>
      <c r="I470" s="1243"/>
      <c r="J470" s="1243"/>
      <c r="K470" s="1204"/>
      <c r="L470" s="1401"/>
      <c r="M470" s="1192"/>
      <c r="N470" s="1211"/>
      <c r="O470" s="1211"/>
      <c r="P470" s="1211"/>
      <c r="Q470" s="1211"/>
      <c r="R470" s="1211"/>
      <c r="S470" s="1211"/>
      <c r="T470" s="1209"/>
    </row>
    <row r="471" spans="7:20" s="1191" customFormat="1" x14ac:dyDescent="0.2">
      <c r="G471" s="1203"/>
      <c r="H471" s="1204"/>
      <c r="I471" s="1243"/>
      <c r="J471" s="1243"/>
      <c r="K471" s="1204"/>
      <c r="L471" s="1401"/>
      <c r="M471" s="1192"/>
      <c r="N471" s="1211"/>
      <c r="O471" s="1211"/>
      <c r="P471" s="1211"/>
      <c r="Q471" s="1211"/>
      <c r="R471" s="1211"/>
      <c r="S471" s="1211"/>
      <c r="T471" s="1209"/>
    </row>
    <row r="472" spans="7:20" s="1191" customFormat="1" x14ac:dyDescent="0.2">
      <c r="G472" s="1203"/>
      <c r="H472" s="1204"/>
      <c r="I472" s="1243"/>
      <c r="J472" s="1243"/>
      <c r="K472" s="1204"/>
      <c r="L472" s="1401"/>
      <c r="M472" s="1192"/>
      <c r="N472" s="1211"/>
      <c r="O472" s="1211"/>
      <c r="P472" s="1211"/>
      <c r="Q472" s="1211"/>
      <c r="R472" s="1211"/>
      <c r="S472" s="1211"/>
      <c r="T472" s="1209"/>
    </row>
    <row r="473" spans="7:20" s="1191" customFormat="1" x14ac:dyDescent="0.2">
      <c r="G473" s="1203"/>
      <c r="H473" s="1204"/>
      <c r="I473" s="1243"/>
      <c r="J473" s="1243"/>
      <c r="K473" s="1192"/>
      <c r="L473" s="1401"/>
      <c r="M473" s="1192"/>
      <c r="N473" s="1211"/>
      <c r="O473" s="1211"/>
      <c r="P473" s="1211"/>
      <c r="Q473" s="1211"/>
      <c r="R473" s="1211"/>
      <c r="S473" s="1211"/>
      <c r="T473" s="1209"/>
    </row>
    <row r="474" spans="7:20" s="1191" customFormat="1" x14ac:dyDescent="0.2">
      <c r="G474" s="1203"/>
      <c r="H474" s="1220"/>
      <c r="I474" s="1243"/>
      <c r="J474" s="1243"/>
      <c r="K474" s="1192"/>
      <c r="L474" s="1401"/>
      <c r="M474" s="1192"/>
      <c r="N474" s="1211"/>
      <c r="O474" s="1211"/>
      <c r="P474" s="1211"/>
      <c r="Q474" s="1211"/>
      <c r="R474" s="1211"/>
      <c r="S474" s="1211"/>
      <c r="T474" s="1209"/>
    </row>
    <row r="475" spans="7:20" s="1191" customFormat="1" x14ac:dyDescent="0.2">
      <c r="G475" s="1203"/>
      <c r="H475" s="1204"/>
      <c r="I475" s="1243"/>
      <c r="J475" s="1243"/>
      <c r="K475" s="1204"/>
      <c r="L475" s="1401"/>
      <c r="M475" s="1192"/>
      <c r="N475" s="1211"/>
      <c r="O475" s="1211"/>
      <c r="P475" s="1211"/>
      <c r="Q475" s="1211"/>
      <c r="R475" s="1211"/>
      <c r="S475" s="1211"/>
      <c r="T475" s="1209"/>
    </row>
    <row r="476" spans="7:20" s="1191" customFormat="1" x14ac:dyDescent="0.2">
      <c r="G476" s="1203"/>
      <c r="H476" s="1204"/>
      <c r="I476" s="1243"/>
      <c r="J476" s="1243"/>
      <c r="K476" s="1204"/>
      <c r="L476" s="1401"/>
      <c r="M476" s="1192"/>
      <c r="N476" s="1211"/>
      <c r="O476" s="1211"/>
      <c r="P476" s="1211"/>
      <c r="Q476" s="1211"/>
      <c r="R476" s="1211"/>
      <c r="S476" s="1211"/>
      <c r="T476" s="1209"/>
    </row>
    <row r="477" spans="7:20" s="1191" customFormat="1" x14ac:dyDescent="0.2">
      <c r="G477" s="1203"/>
      <c r="H477" s="1204"/>
      <c r="I477" s="1243"/>
      <c r="J477" s="1235"/>
      <c r="K477" s="1204"/>
      <c r="L477" s="1401"/>
      <c r="M477" s="1192"/>
      <c r="N477" s="1211"/>
      <c r="O477" s="1211"/>
      <c r="P477" s="1211"/>
      <c r="Q477" s="1211"/>
      <c r="R477" s="1211"/>
      <c r="S477" s="1211"/>
      <c r="T477" s="1209"/>
    </row>
    <row r="478" spans="7:20" s="1191" customFormat="1" x14ac:dyDescent="0.2">
      <c r="G478" s="1203"/>
      <c r="H478" s="1204"/>
      <c r="I478" s="1243"/>
      <c r="J478" s="1235"/>
      <c r="K478" s="1204"/>
      <c r="L478" s="1401"/>
      <c r="M478" s="1192"/>
      <c r="N478" s="1211"/>
      <c r="O478" s="1211"/>
      <c r="P478" s="1211"/>
      <c r="Q478" s="1211"/>
      <c r="R478" s="1211"/>
      <c r="S478" s="1211"/>
      <c r="T478" s="1209"/>
    </row>
    <row r="479" spans="7:20" s="1191" customFormat="1" x14ac:dyDescent="0.2">
      <c r="G479" s="1203"/>
      <c r="H479" s="1204"/>
      <c r="I479" s="1243"/>
      <c r="J479" s="1243"/>
      <c r="K479" s="1192"/>
      <c r="L479" s="1401"/>
      <c r="M479" s="1192"/>
      <c r="N479" s="1211"/>
      <c r="O479" s="1211"/>
      <c r="P479" s="1211"/>
      <c r="Q479" s="1211"/>
      <c r="R479" s="1211"/>
      <c r="S479" s="1211"/>
      <c r="T479" s="1209"/>
    </row>
    <row r="480" spans="7:20" s="1191" customFormat="1" x14ac:dyDescent="0.2">
      <c r="G480" s="1203"/>
      <c r="H480" s="1204"/>
      <c r="I480" s="1243"/>
      <c r="J480" s="1243"/>
      <c r="K480" s="1192"/>
      <c r="L480" s="1401"/>
      <c r="M480" s="1192"/>
      <c r="N480" s="1211"/>
      <c r="O480" s="1211"/>
      <c r="P480" s="1211"/>
      <c r="Q480" s="1211"/>
      <c r="R480" s="1211"/>
      <c r="S480" s="1211"/>
      <c r="T480" s="1209"/>
    </row>
    <row r="481" spans="7:20" s="1191" customFormat="1" x14ac:dyDescent="0.2">
      <c r="G481" s="1203"/>
      <c r="H481" s="1204"/>
      <c r="I481" s="1243"/>
      <c r="J481" s="1243"/>
      <c r="K481" s="1192"/>
      <c r="L481" s="1401"/>
      <c r="M481" s="1192"/>
      <c r="N481" s="1211"/>
      <c r="O481" s="1211"/>
      <c r="P481" s="1211"/>
      <c r="Q481" s="1211"/>
      <c r="R481" s="1211"/>
      <c r="S481" s="1211"/>
      <c r="T481" s="1209"/>
    </row>
    <row r="482" spans="7:20" s="1191" customFormat="1" ht="18" x14ac:dyDescent="0.25">
      <c r="G482" s="1389" t="s">
        <v>128</v>
      </c>
      <c r="H482" s="1390"/>
      <c r="I482" s="1391"/>
      <c r="J482" s="1391"/>
      <c r="K482" s="1392"/>
      <c r="L482" s="1399"/>
      <c r="M482" s="1392"/>
      <c r="N482" s="1187"/>
      <c r="O482" s="1187"/>
      <c r="P482" s="1187"/>
      <c r="Q482" s="1187"/>
      <c r="R482" s="1187"/>
      <c r="S482" s="1187"/>
      <c r="T482" s="1202"/>
    </row>
    <row r="483" spans="7:20" s="1191" customFormat="1" x14ac:dyDescent="0.2">
      <c r="G483" s="1203"/>
      <c r="H483" s="1394"/>
      <c r="I483" s="1232"/>
      <c r="J483" s="1232"/>
      <c r="K483" s="1394"/>
      <c r="L483" s="1400"/>
      <c r="M483" s="1394"/>
      <c r="N483" s="1211"/>
      <c r="O483" s="1211"/>
      <c r="P483" s="1211"/>
      <c r="Q483" s="1211"/>
      <c r="R483" s="1211"/>
      <c r="S483" s="1211"/>
      <c r="T483" s="1209"/>
    </row>
    <row r="484" spans="7:20" s="1191" customFormat="1" x14ac:dyDescent="0.2">
      <c r="G484" s="1203"/>
      <c r="H484" s="1204"/>
      <c r="I484" s="1243"/>
      <c r="J484" s="1243"/>
      <c r="K484" s="1204"/>
      <c r="L484" s="1401"/>
      <c r="M484" s="1192"/>
      <c r="N484" s="1211"/>
      <c r="O484" s="1211"/>
      <c r="P484" s="1211"/>
      <c r="Q484" s="1211"/>
      <c r="R484" s="1211"/>
      <c r="S484" s="1211"/>
      <c r="T484" s="1209"/>
    </row>
    <row r="485" spans="7:20" s="1191" customFormat="1" x14ac:dyDescent="0.2">
      <c r="G485" s="1203"/>
      <c r="H485" s="1204"/>
      <c r="I485" s="1243"/>
      <c r="J485" s="1243"/>
      <c r="K485" s="1204"/>
      <c r="L485" s="1401"/>
      <c r="M485" s="1192"/>
      <c r="N485" s="1211"/>
      <c r="O485" s="1211"/>
      <c r="P485" s="1211"/>
      <c r="Q485" s="1211"/>
      <c r="R485" s="1211"/>
      <c r="S485" s="1211"/>
      <c r="T485" s="1209"/>
    </row>
    <row r="486" spans="7:20" s="1191" customFormat="1" x14ac:dyDescent="0.2">
      <c r="G486" s="1203"/>
      <c r="H486" s="1204"/>
      <c r="I486" s="1243"/>
      <c r="J486" s="1243"/>
      <c r="K486" s="1403"/>
      <c r="L486" s="1401"/>
      <c r="M486" s="1204"/>
      <c r="N486" s="1211"/>
      <c r="O486" s="1211"/>
      <c r="P486" s="1211"/>
      <c r="Q486" s="1211"/>
      <c r="R486" s="1211"/>
      <c r="S486" s="1211"/>
      <c r="T486" s="1209"/>
    </row>
    <row r="487" spans="7:20" s="1191" customFormat="1" x14ac:dyDescent="0.2">
      <c r="G487" s="1203"/>
      <c r="H487" s="1204"/>
      <c r="I487" s="1243"/>
      <c r="J487" s="1243"/>
      <c r="K487" s="1204"/>
      <c r="L487" s="1401"/>
      <c r="M487" s="1192"/>
      <c r="N487" s="1211"/>
      <c r="O487" s="1211"/>
      <c r="P487" s="1211"/>
      <c r="Q487" s="1211"/>
      <c r="R487" s="1211"/>
      <c r="S487" s="1211"/>
      <c r="T487" s="1209"/>
    </row>
    <row r="488" spans="7:20" s="1191" customFormat="1" x14ac:dyDescent="0.2">
      <c r="G488" s="1203"/>
      <c r="H488" s="1220"/>
      <c r="I488" s="1243"/>
      <c r="J488" s="1243"/>
      <c r="K488" s="1204"/>
      <c r="L488" s="1401"/>
      <c r="M488" s="1192"/>
      <c r="N488" s="1211"/>
      <c r="O488" s="1211"/>
      <c r="P488" s="1211"/>
      <c r="Q488" s="1211"/>
      <c r="R488" s="1211"/>
      <c r="S488" s="1211"/>
      <c r="T488" s="1209"/>
    </row>
    <row r="489" spans="7:20" s="1191" customFormat="1" x14ac:dyDescent="0.2">
      <c r="G489" s="1203"/>
      <c r="H489" s="1204"/>
      <c r="I489" s="1243"/>
      <c r="J489" s="1243"/>
      <c r="K489" s="1204"/>
      <c r="L489" s="1401"/>
      <c r="M489" s="1192"/>
      <c r="N489" s="1211"/>
      <c r="O489" s="1211"/>
      <c r="P489" s="1211"/>
      <c r="Q489" s="1211"/>
      <c r="R489" s="1211"/>
      <c r="S489" s="1211"/>
      <c r="T489" s="1209"/>
    </row>
    <row r="490" spans="7:20" s="1191" customFormat="1" x14ac:dyDescent="0.2">
      <c r="G490" s="1203"/>
      <c r="H490" s="1204"/>
      <c r="I490" s="1243"/>
      <c r="J490" s="1243"/>
      <c r="K490" s="1204"/>
      <c r="L490" s="1401"/>
      <c r="M490" s="1192"/>
      <c r="N490" s="1211"/>
      <c r="O490" s="1211"/>
      <c r="P490" s="1211"/>
      <c r="Q490" s="1211"/>
      <c r="R490" s="1211"/>
      <c r="S490" s="1211"/>
      <c r="T490" s="1209"/>
    </row>
    <row r="491" spans="7:20" s="1191" customFormat="1" x14ac:dyDescent="0.2">
      <c r="G491" s="1203"/>
      <c r="H491" s="1204"/>
      <c r="I491" s="1243"/>
      <c r="J491" s="1243"/>
      <c r="K491" s="1204"/>
      <c r="L491" s="1401"/>
      <c r="M491" s="1192"/>
      <c r="N491" s="1211"/>
      <c r="O491" s="1211"/>
      <c r="P491" s="1211"/>
      <c r="Q491" s="1211"/>
      <c r="R491" s="1211"/>
      <c r="S491" s="1211"/>
      <c r="T491" s="1209"/>
    </row>
    <row r="492" spans="7:20" s="1191" customFormat="1" x14ac:dyDescent="0.2">
      <c r="G492" s="1203"/>
      <c r="H492" s="1204"/>
      <c r="I492" s="1243"/>
      <c r="J492" s="1243"/>
      <c r="K492" s="1204"/>
      <c r="L492" s="1401"/>
      <c r="M492" s="1192"/>
      <c r="N492" s="1211"/>
      <c r="O492" s="1211"/>
      <c r="P492" s="1211"/>
      <c r="Q492" s="1211"/>
      <c r="R492" s="1211"/>
      <c r="S492" s="1211"/>
      <c r="T492" s="1209"/>
    </row>
    <row r="493" spans="7:20" s="1191" customFormat="1" x14ac:dyDescent="0.2">
      <c r="G493" s="1203"/>
      <c r="H493" s="1204"/>
      <c r="I493" s="1243"/>
      <c r="J493" s="1243"/>
      <c r="K493" s="1204"/>
      <c r="L493" s="1401"/>
      <c r="M493" s="1192"/>
      <c r="N493" s="1211"/>
      <c r="O493" s="1211"/>
      <c r="P493" s="1211"/>
      <c r="Q493" s="1211"/>
      <c r="R493" s="1211"/>
      <c r="S493" s="1211"/>
      <c r="T493" s="1209"/>
    </row>
    <row r="494" spans="7:20" s="1191" customFormat="1" x14ac:dyDescent="0.2">
      <c r="G494" s="1203"/>
      <c r="H494" s="1204"/>
      <c r="I494" s="1243"/>
      <c r="J494" s="1243"/>
      <c r="K494" s="1204"/>
      <c r="L494" s="1404"/>
      <c r="M494" s="1192"/>
      <c r="N494" s="1211"/>
      <c r="O494" s="1211"/>
      <c r="P494" s="1211"/>
      <c r="Q494" s="1211"/>
      <c r="R494" s="1211"/>
      <c r="S494" s="1211"/>
      <c r="T494" s="1209"/>
    </row>
    <row r="495" spans="7:20" s="1191" customFormat="1" x14ac:dyDescent="0.2">
      <c r="G495" s="1203"/>
      <c r="H495" s="1368"/>
      <c r="I495" s="1243"/>
      <c r="J495" s="1243"/>
      <c r="K495" s="1204"/>
      <c r="L495" s="1401"/>
      <c r="M495" s="1204"/>
      <c r="N495" s="1211"/>
      <c r="O495" s="1211"/>
      <c r="P495" s="1211"/>
      <c r="Q495" s="1211"/>
      <c r="R495" s="1211"/>
      <c r="S495" s="1211"/>
      <c r="T495" s="1209"/>
    </row>
    <row r="496" spans="7:20" s="1191" customFormat="1" x14ac:dyDescent="0.2">
      <c r="G496" s="1203"/>
      <c r="H496" s="1204"/>
      <c r="I496" s="1243"/>
      <c r="J496" s="1243"/>
      <c r="K496" s="1204"/>
      <c r="L496" s="1401"/>
      <c r="M496" s="1192"/>
      <c r="N496" s="1211"/>
      <c r="O496" s="1211"/>
      <c r="P496" s="1211"/>
      <c r="Q496" s="1211"/>
      <c r="R496" s="1211"/>
      <c r="S496" s="1211"/>
      <c r="T496" s="1209"/>
    </row>
    <row r="497" spans="7:20" s="1191" customFormat="1" x14ac:dyDescent="0.2">
      <c r="G497" s="1203"/>
      <c r="H497" s="1204"/>
      <c r="I497" s="1243"/>
      <c r="J497" s="1243"/>
      <c r="K497" s="1368"/>
      <c r="L497" s="1401"/>
      <c r="M497" s="1192"/>
      <c r="N497" s="1211"/>
      <c r="O497" s="1211"/>
      <c r="P497" s="1211"/>
      <c r="Q497" s="1211"/>
      <c r="R497" s="1211"/>
      <c r="S497" s="1211"/>
      <c r="T497" s="1209"/>
    </row>
    <row r="498" spans="7:20" s="1191" customFormat="1" x14ac:dyDescent="0.2">
      <c r="G498" s="1203"/>
      <c r="H498" s="1368"/>
      <c r="I498" s="1189"/>
      <c r="J498" s="1243"/>
      <c r="K498" s="1204"/>
      <c r="L498" s="1401"/>
      <c r="M498" s="1192"/>
      <c r="N498" s="1211"/>
      <c r="O498" s="1211"/>
      <c r="P498" s="1211"/>
      <c r="Q498" s="1211"/>
      <c r="R498" s="1211"/>
      <c r="S498" s="1211"/>
      <c r="T498" s="1209"/>
    </row>
    <row r="499" spans="7:20" s="1191" customFormat="1" x14ac:dyDescent="0.2">
      <c r="G499" s="1203"/>
      <c r="H499" s="1368"/>
      <c r="I499" s="1189"/>
      <c r="J499" s="1107"/>
      <c r="K499" s="1107"/>
      <c r="L499" s="1401"/>
      <c r="M499" s="1192"/>
      <c r="N499" s="1211"/>
      <c r="O499" s="1211"/>
      <c r="P499" s="1211"/>
      <c r="Q499" s="1211"/>
      <c r="R499" s="1211"/>
      <c r="S499" s="1211"/>
      <c r="T499" s="1209"/>
    </row>
    <row r="500" spans="7:20" s="1191" customFormat="1" x14ac:dyDescent="0.2">
      <c r="G500" s="1203"/>
      <c r="H500" s="1192"/>
      <c r="I500" s="1243"/>
      <c r="J500" s="1243"/>
      <c r="K500" s="1192"/>
      <c r="L500" s="1401"/>
      <c r="M500" s="1192"/>
      <c r="N500" s="1211"/>
      <c r="O500" s="1211"/>
      <c r="P500" s="1211"/>
      <c r="Q500" s="1211"/>
      <c r="R500" s="1211"/>
      <c r="S500" s="1211"/>
      <c r="T500" s="1209"/>
    </row>
    <row r="501" spans="7:20" s="1191" customFormat="1" ht="18" x14ac:dyDescent="0.25">
      <c r="G501" s="1389" t="s">
        <v>176</v>
      </c>
      <c r="H501" s="1390"/>
      <c r="I501" s="1391"/>
      <c r="J501" s="1391"/>
      <c r="K501" s="1392"/>
      <c r="L501" s="1399"/>
      <c r="M501" s="1392"/>
      <c r="N501" s="1187"/>
      <c r="O501" s="1187"/>
      <c r="P501" s="1187"/>
      <c r="Q501" s="1187"/>
      <c r="R501" s="1187"/>
      <c r="S501" s="1187"/>
      <c r="T501" s="1202"/>
    </row>
    <row r="502" spans="7:20" s="1191" customFormat="1" x14ac:dyDescent="0.2">
      <c r="G502" s="1203"/>
      <c r="H502" s="1394"/>
      <c r="I502" s="1232"/>
      <c r="J502" s="1232"/>
      <c r="K502" s="1394"/>
      <c r="L502" s="1400"/>
      <c r="M502" s="1394"/>
      <c r="N502" s="1211"/>
      <c r="O502" s="1211"/>
      <c r="P502" s="1211"/>
      <c r="Q502" s="1211"/>
      <c r="R502" s="1211"/>
      <c r="S502" s="1211"/>
      <c r="T502" s="1209"/>
    </row>
    <row r="503" spans="7:20" s="1191" customFormat="1" x14ac:dyDescent="0.2">
      <c r="G503" s="1203"/>
      <c r="H503" s="1204"/>
      <c r="I503" s="1243"/>
      <c r="J503" s="1243"/>
      <c r="K503" s="1192"/>
      <c r="L503" s="1401"/>
      <c r="M503" s="1204"/>
      <c r="N503" s="1211"/>
      <c r="O503" s="1211"/>
      <c r="P503" s="1211"/>
      <c r="Q503" s="1211"/>
      <c r="R503" s="1211"/>
      <c r="S503" s="1211"/>
      <c r="T503" s="1209"/>
    </row>
    <row r="504" spans="7:20" s="1191" customFormat="1" x14ac:dyDescent="0.2">
      <c r="G504" s="1203"/>
      <c r="H504" s="1204"/>
      <c r="I504" s="1243"/>
      <c r="J504" s="1243"/>
      <c r="K504" s="1204"/>
      <c r="L504" s="1401"/>
      <c r="M504" s="1192"/>
      <c r="N504" s="1211"/>
      <c r="O504" s="1211"/>
      <c r="P504" s="1211"/>
      <c r="Q504" s="1211"/>
      <c r="R504" s="1211"/>
      <c r="S504" s="1211"/>
      <c r="T504" s="1209"/>
    </row>
    <row r="505" spans="7:20" s="1191" customFormat="1" x14ac:dyDescent="0.2">
      <c r="G505" s="1203"/>
      <c r="H505" s="1204"/>
      <c r="I505" s="1243"/>
      <c r="J505" s="1243"/>
      <c r="K505" s="1192"/>
      <c r="L505" s="1401"/>
      <c r="M505" s="1192"/>
      <c r="N505" s="1211"/>
      <c r="O505" s="1211"/>
      <c r="P505" s="1211"/>
      <c r="Q505" s="1211"/>
      <c r="R505" s="1211"/>
      <c r="S505" s="1211"/>
      <c r="T505" s="1209"/>
    </row>
    <row r="506" spans="7:20" s="1191" customFormat="1" x14ac:dyDescent="0.2">
      <c r="G506" s="1203"/>
      <c r="H506" s="1204"/>
      <c r="I506" s="1189"/>
      <c r="J506" s="1243"/>
      <c r="K506" s="1192"/>
      <c r="L506" s="1401"/>
      <c r="M506" s="1192"/>
      <c r="N506" s="1211"/>
      <c r="O506" s="1211"/>
      <c r="P506" s="1211"/>
      <c r="Q506" s="1211"/>
      <c r="R506" s="1211"/>
      <c r="S506" s="1211"/>
      <c r="T506" s="1209"/>
    </row>
    <row r="507" spans="7:20" s="1191" customFormat="1" x14ac:dyDescent="0.2">
      <c r="G507" s="1203"/>
      <c r="H507" s="1204"/>
      <c r="I507" s="1243"/>
      <c r="J507" s="1243"/>
      <c r="K507" s="1192"/>
      <c r="L507" s="1401"/>
      <c r="M507" s="1192"/>
      <c r="N507" s="1211"/>
      <c r="O507" s="1211"/>
      <c r="P507" s="1211"/>
      <c r="Q507" s="1211"/>
      <c r="R507" s="1211"/>
      <c r="S507" s="1211"/>
      <c r="T507" s="1209"/>
    </row>
    <row r="508" spans="7:20" s="1191" customFormat="1" x14ac:dyDescent="0.2">
      <c r="G508" s="1203"/>
      <c r="H508" s="1204"/>
      <c r="I508" s="1243"/>
      <c r="J508" s="1243"/>
      <c r="K508" s="1192"/>
      <c r="L508" s="1401"/>
      <c r="M508" s="1192"/>
      <c r="N508" s="1211"/>
      <c r="O508" s="1211"/>
      <c r="P508" s="1211"/>
      <c r="Q508" s="1211"/>
      <c r="R508" s="1211"/>
      <c r="S508" s="1211"/>
      <c r="T508" s="1209"/>
    </row>
    <row r="509" spans="7:20" s="1191" customFormat="1" x14ac:dyDescent="0.2">
      <c r="G509" s="1203"/>
      <c r="H509" s="1204"/>
      <c r="I509" s="1243"/>
      <c r="J509" s="1243"/>
      <c r="K509" s="1192"/>
      <c r="L509" s="1401"/>
      <c r="M509" s="1192"/>
      <c r="N509" s="1211"/>
      <c r="O509" s="1211"/>
      <c r="P509" s="1211"/>
      <c r="Q509" s="1211"/>
      <c r="R509" s="1211"/>
      <c r="S509" s="1211"/>
      <c r="T509" s="1209"/>
    </row>
    <row r="510" spans="7:20" s="1191" customFormat="1" x14ac:dyDescent="0.2">
      <c r="G510" s="1203"/>
      <c r="H510" s="1204"/>
      <c r="I510" s="1243"/>
      <c r="J510" s="1243"/>
      <c r="K510" s="1192"/>
      <c r="L510" s="1401"/>
      <c r="M510" s="1192"/>
      <c r="N510" s="1211"/>
      <c r="O510" s="1211"/>
      <c r="P510" s="1211"/>
      <c r="Q510" s="1211"/>
      <c r="R510" s="1211"/>
      <c r="S510" s="1211"/>
      <c r="T510" s="1209"/>
    </row>
    <row r="511" spans="7:20" s="1191" customFormat="1" x14ac:dyDescent="0.2">
      <c r="G511" s="1203"/>
      <c r="H511" s="1204"/>
      <c r="I511" s="1243"/>
      <c r="J511" s="1243"/>
      <c r="K511" s="1192"/>
      <c r="L511" s="1401"/>
      <c r="M511" s="1192"/>
      <c r="N511" s="1211"/>
      <c r="O511" s="1211"/>
      <c r="P511" s="1211"/>
      <c r="Q511" s="1211"/>
      <c r="R511" s="1211"/>
      <c r="S511" s="1211"/>
      <c r="T511" s="1209"/>
    </row>
    <row r="512" spans="7:20" s="1191" customFormat="1" x14ac:dyDescent="0.2">
      <c r="G512" s="1203"/>
      <c r="H512" s="1204"/>
      <c r="I512" s="1243"/>
      <c r="J512" s="1243"/>
      <c r="K512" s="1192"/>
      <c r="L512" s="1401"/>
      <c r="M512" s="1192"/>
      <c r="N512" s="1211"/>
      <c r="O512" s="1211"/>
      <c r="P512" s="1211"/>
      <c r="Q512" s="1211"/>
      <c r="R512" s="1211"/>
      <c r="S512" s="1211"/>
      <c r="T512" s="1209"/>
    </row>
    <row r="513" spans="7:20" s="1191" customFormat="1" x14ac:dyDescent="0.2">
      <c r="G513" s="1203"/>
      <c r="H513" s="1204"/>
      <c r="I513" s="1243"/>
      <c r="J513" s="1243"/>
      <c r="K513" s="1192"/>
      <c r="L513" s="1401"/>
      <c r="M513" s="1192"/>
      <c r="N513" s="1211"/>
      <c r="O513" s="1211"/>
      <c r="P513" s="1211"/>
      <c r="Q513" s="1211"/>
      <c r="R513" s="1211"/>
      <c r="S513" s="1211"/>
      <c r="T513" s="1209"/>
    </row>
    <row r="514" spans="7:20" s="1191" customFormat="1" x14ac:dyDescent="0.2">
      <c r="G514" s="1203"/>
      <c r="H514" s="1204"/>
      <c r="I514" s="1243"/>
      <c r="J514" s="1243"/>
      <c r="K514" s="1192"/>
      <c r="L514" s="1401"/>
      <c r="M514" s="1192"/>
      <c r="N514" s="1211"/>
      <c r="O514" s="1211"/>
      <c r="P514" s="1211"/>
      <c r="Q514" s="1211"/>
      <c r="R514" s="1211"/>
      <c r="S514" s="1211"/>
      <c r="T514" s="1209"/>
    </row>
    <row r="515" spans="7:20" s="1191" customFormat="1" x14ac:dyDescent="0.2">
      <c r="G515" s="1203"/>
      <c r="H515" s="1204"/>
      <c r="I515" s="1243"/>
      <c r="J515" s="1243"/>
      <c r="K515" s="1192"/>
      <c r="L515" s="1401"/>
      <c r="M515" s="1192"/>
      <c r="N515" s="1211"/>
      <c r="O515" s="1211"/>
      <c r="P515" s="1211"/>
      <c r="Q515" s="1211"/>
      <c r="R515" s="1211"/>
      <c r="S515" s="1211"/>
      <c r="T515" s="1209"/>
    </row>
    <row r="516" spans="7:20" s="1191" customFormat="1" x14ac:dyDescent="0.2">
      <c r="G516" s="1203"/>
      <c r="H516" s="1204"/>
      <c r="I516" s="1243"/>
      <c r="J516" s="1243"/>
      <c r="K516" s="1192"/>
      <c r="L516" s="1401"/>
      <c r="M516" s="1192"/>
      <c r="N516" s="1211"/>
      <c r="O516" s="1211"/>
      <c r="P516" s="1211"/>
      <c r="Q516" s="1211"/>
      <c r="R516" s="1211"/>
      <c r="S516" s="1211"/>
      <c r="T516" s="1209"/>
    </row>
    <row r="517" spans="7:20" s="1191" customFormat="1" x14ac:dyDescent="0.2">
      <c r="G517" s="1203"/>
      <c r="H517" s="1204"/>
      <c r="I517" s="1243"/>
      <c r="J517" s="1243"/>
      <c r="K517" s="1204"/>
      <c r="L517" s="1401"/>
      <c r="M517" s="1192"/>
      <c r="N517" s="1211"/>
      <c r="O517" s="1211"/>
      <c r="P517" s="1211"/>
      <c r="Q517" s="1211"/>
      <c r="R517" s="1211"/>
      <c r="S517" s="1211"/>
      <c r="T517" s="1209"/>
    </row>
    <row r="518" spans="7:20" s="1191" customFormat="1" x14ac:dyDescent="0.2">
      <c r="G518" s="1203"/>
      <c r="H518" s="1204"/>
      <c r="I518" s="1243"/>
      <c r="J518" s="1243"/>
      <c r="K518" s="1204"/>
      <c r="L518" s="1401"/>
      <c r="M518" s="1204"/>
      <c r="N518" s="1211"/>
      <c r="O518" s="1211"/>
      <c r="P518" s="1211"/>
      <c r="Q518" s="1211"/>
      <c r="R518" s="1211"/>
      <c r="S518" s="1211"/>
      <c r="T518" s="1209"/>
    </row>
    <row r="519" spans="7:20" s="1191" customFormat="1" x14ac:dyDescent="0.2">
      <c r="G519" s="1203"/>
      <c r="H519" s="1204"/>
      <c r="I519" s="1243"/>
      <c r="J519" s="1243"/>
      <c r="K519" s="1204"/>
      <c r="L519" s="1401"/>
      <c r="M519" s="1204"/>
      <c r="N519" s="1211"/>
      <c r="O519" s="1211"/>
      <c r="P519" s="1211"/>
      <c r="Q519" s="1211"/>
      <c r="R519" s="1211"/>
      <c r="S519" s="1211"/>
      <c r="T519" s="1209"/>
    </row>
    <row r="520" spans="7:20" s="1191" customFormat="1" x14ac:dyDescent="0.2">
      <c r="G520" s="1203"/>
      <c r="H520" s="1204"/>
      <c r="I520" s="1243"/>
      <c r="J520" s="1243"/>
      <c r="K520" s="1204"/>
      <c r="L520" s="1401"/>
      <c r="M520" s="1204"/>
      <c r="N520" s="1211"/>
      <c r="O520" s="1211"/>
      <c r="P520" s="1211"/>
      <c r="Q520" s="1211"/>
      <c r="R520" s="1211"/>
      <c r="S520" s="1211"/>
      <c r="T520" s="1209"/>
    </row>
    <row r="521" spans="7:20" s="1191" customFormat="1" x14ac:dyDescent="0.2">
      <c r="G521" s="1203"/>
      <c r="H521" s="1204"/>
      <c r="I521" s="1243"/>
      <c r="J521" s="1243"/>
      <c r="K521" s="1204"/>
      <c r="L521" s="1401"/>
      <c r="M521" s="1192"/>
      <c r="N521" s="1211"/>
      <c r="O521" s="1211"/>
      <c r="P521" s="1211"/>
      <c r="Q521" s="1211"/>
      <c r="R521" s="1211"/>
      <c r="S521" s="1211"/>
      <c r="T521" s="1209"/>
    </row>
    <row r="522" spans="7:20" s="1191" customFormat="1" x14ac:dyDescent="0.2">
      <c r="G522" s="1203"/>
      <c r="H522" s="1204"/>
      <c r="I522" s="1243"/>
      <c r="J522" s="1243"/>
      <c r="K522" s="1192"/>
      <c r="L522" s="1401"/>
      <c r="M522" s="1192"/>
      <c r="N522" s="1211"/>
      <c r="O522" s="1211"/>
      <c r="P522" s="1211"/>
      <c r="Q522" s="1211"/>
      <c r="R522" s="1211"/>
      <c r="S522" s="1211"/>
      <c r="T522" s="1209"/>
    </row>
    <row r="523" spans="7:20" s="1191" customFormat="1" x14ac:dyDescent="0.2">
      <c r="G523" s="1203"/>
      <c r="H523" s="1204"/>
      <c r="I523" s="1243"/>
      <c r="J523" s="1243"/>
      <c r="K523" s="1192"/>
      <c r="L523" s="1401"/>
      <c r="M523" s="1192"/>
      <c r="N523" s="1211"/>
      <c r="O523" s="1211"/>
      <c r="P523" s="1211"/>
      <c r="Q523" s="1211"/>
      <c r="R523" s="1211"/>
      <c r="S523" s="1211"/>
      <c r="T523" s="1209"/>
    </row>
    <row r="524" spans="7:20" s="1191" customFormat="1" x14ac:dyDescent="0.2">
      <c r="G524" s="1203"/>
      <c r="H524" s="1204"/>
      <c r="I524" s="1243"/>
      <c r="J524" s="1243"/>
      <c r="K524" s="1192"/>
      <c r="L524" s="1401"/>
      <c r="M524" s="1192"/>
      <c r="N524" s="1211"/>
      <c r="O524" s="1211"/>
      <c r="P524" s="1211"/>
      <c r="Q524" s="1211"/>
      <c r="R524" s="1211"/>
      <c r="S524" s="1211"/>
      <c r="T524" s="1209"/>
    </row>
    <row r="525" spans="7:20" s="1191" customFormat="1" x14ac:dyDescent="0.2">
      <c r="G525" s="1203"/>
      <c r="H525" s="1204"/>
      <c r="I525" s="1243"/>
      <c r="J525" s="1243"/>
      <c r="K525" s="1192"/>
      <c r="L525" s="1401"/>
      <c r="M525" s="1192"/>
      <c r="N525" s="1211"/>
      <c r="O525" s="1211"/>
      <c r="P525" s="1211"/>
      <c r="Q525" s="1211"/>
      <c r="R525" s="1211"/>
      <c r="S525" s="1211"/>
      <c r="T525" s="1209"/>
    </row>
    <row r="526" spans="7:20" s="1191" customFormat="1" x14ac:dyDescent="0.2">
      <c r="G526" s="1203"/>
      <c r="H526" s="1204"/>
      <c r="I526" s="1243"/>
      <c r="J526" s="1243"/>
      <c r="K526" s="1192"/>
      <c r="L526" s="1401"/>
      <c r="M526" s="1192"/>
      <c r="N526" s="1211"/>
      <c r="O526" s="1211"/>
      <c r="P526" s="1211"/>
      <c r="Q526" s="1211"/>
      <c r="R526" s="1211"/>
      <c r="S526" s="1211"/>
      <c r="T526" s="1209"/>
    </row>
    <row r="527" spans="7:20" s="1191" customFormat="1" x14ac:dyDescent="0.2">
      <c r="G527" s="1203"/>
      <c r="H527" s="1204"/>
      <c r="I527" s="1243"/>
      <c r="J527" s="1243"/>
      <c r="K527" s="1192"/>
      <c r="L527" s="1401"/>
      <c r="M527" s="1192"/>
      <c r="N527" s="1211"/>
      <c r="O527" s="1211"/>
      <c r="P527" s="1211"/>
      <c r="Q527" s="1211"/>
      <c r="R527" s="1211"/>
      <c r="S527" s="1211"/>
      <c r="T527" s="1209"/>
    </row>
    <row r="528" spans="7:20" s="1191" customFormat="1" x14ac:dyDescent="0.2">
      <c r="G528" s="1203"/>
      <c r="H528" s="1204"/>
      <c r="I528" s="1243"/>
      <c r="J528" s="1243"/>
      <c r="K528" s="1192"/>
      <c r="L528" s="1401"/>
      <c r="M528" s="1192"/>
      <c r="N528" s="1211"/>
      <c r="O528" s="1211"/>
      <c r="P528" s="1211"/>
      <c r="Q528" s="1211"/>
      <c r="R528" s="1211"/>
      <c r="S528" s="1211"/>
      <c r="T528" s="1209"/>
    </row>
    <row r="529" spans="7:20" s="1191" customFormat="1" x14ac:dyDescent="0.2">
      <c r="G529" s="1203"/>
      <c r="H529" s="1204"/>
      <c r="I529" s="1243"/>
      <c r="J529" s="1243"/>
      <c r="K529" s="1192"/>
      <c r="L529" s="1401"/>
      <c r="M529" s="1192"/>
      <c r="N529" s="1211"/>
      <c r="O529" s="1211"/>
      <c r="P529" s="1211"/>
      <c r="Q529" s="1211"/>
      <c r="R529" s="1211"/>
      <c r="S529" s="1211"/>
      <c r="T529" s="1209"/>
    </row>
    <row r="530" spans="7:20" s="1191" customFormat="1" x14ac:dyDescent="0.2">
      <c r="G530" s="1203"/>
      <c r="H530" s="1192"/>
      <c r="I530" s="1243"/>
      <c r="J530" s="1243"/>
      <c r="K530" s="1192"/>
      <c r="L530" s="1401"/>
      <c r="M530" s="1192"/>
      <c r="N530" s="1211"/>
      <c r="O530" s="1211"/>
      <c r="P530" s="1211"/>
      <c r="Q530" s="1211"/>
      <c r="R530" s="1211"/>
      <c r="S530" s="1211"/>
      <c r="T530" s="1209"/>
    </row>
    <row r="531" spans="7:20" s="1191" customFormat="1" ht="18" x14ac:dyDescent="0.25">
      <c r="G531" s="1389" t="s">
        <v>189</v>
      </c>
      <c r="H531" s="1390"/>
      <c r="I531" s="1391"/>
      <c r="J531" s="1391"/>
      <c r="K531" s="1392"/>
      <c r="L531" s="1399"/>
      <c r="M531" s="1392"/>
      <c r="N531" s="1187"/>
      <c r="O531" s="1187"/>
      <c r="P531" s="1187"/>
      <c r="Q531" s="1187"/>
      <c r="R531" s="1187"/>
      <c r="S531" s="1187"/>
      <c r="T531" s="1202"/>
    </row>
    <row r="532" spans="7:20" s="1191" customFormat="1" x14ac:dyDescent="0.2">
      <c r="G532" s="1203"/>
      <c r="H532" s="1394"/>
      <c r="I532" s="1232"/>
      <c r="J532" s="1232"/>
      <c r="K532" s="1394"/>
      <c r="L532" s="1400"/>
      <c r="M532" s="1394"/>
      <c r="N532" s="1211"/>
      <c r="O532" s="1211"/>
      <c r="P532" s="1211"/>
      <c r="Q532" s="1211"/>
      <c r="R532" s="1211"/>
      <c r="S532" s="1211"/>
      <c r="T532" s="1209"/>
    </row>
    <row r="533" spans="7:20" s="1191" customFormat="1" x14ac:dyDescent="0.2">
      <c r="G533" s="1203"/>
      <c r="H533" s="1204"/>
      <c r="I533" s="1243"/>
      <c r="J533" s="1243"/>
      <c r="K533" s="1204"/>
      <c r="L533" s="1401"/>
      <c r="M533" s="1192"/>
      <c r="N533" s="1211"/>
      <c r="O533" s="1211"/>
      <c r="P533" s="1211"/>
      <c r="Q533" s="1211"/>
      <c r="R533" s="1211"/>
      <c r="S533" s="1211"/>
      <c r="T533" s="1209"/>
    </row>
    <row r="534" spans="7:20" s="1191" customFormat="1" x14ac:dyDescent="0.2">
      <c r="G534" s="1203"/>
      <c r="H534" s="1204"/>
      <c r="I534" s="1243"/>
      <c r="J534" s="1243"/>
      <c r="K534" s="1204"/>
      <c r="L534" s="1401"/>
      <c r="M534" s="1204"/>
      <c r="N534" s="1211"/>
      <c r="O534" s="1211"/>
      <c r="P534" s="1211"/>
      <c r="Q534" s="1211"/>
      <c r="R534" s="1211"/>
      <c r="S534" s="1211"/>
      <c r="T534" s="1209"/>
    </row>
    <row r="535" spans="7:20" s="1191" customFormat="1" x14ac:dyDescent="0.2">
      <c r="G535" s="1203"/>
      <c r="H535" s="1204"/>
      <c r="I535" s="1243"/>
      <c r="J535" s="1243"/>
      <c r="K535" s="1204"/>
      <c r="L535" s="1401"/>
      <c r="M535" s="1192"/>
      <c r="N535" s="1211"/>
      <c r="O535" s="1211"/>
      <c r="P535" s="1211"/>
      <c r="Q535" s="1211"/>
      <c r="R535" s="1211"/>
      <c r="S535" s="1211"/>
      <c r="T535" s="1209"/>
    </row>
    <row r="536" spans="7:20" s="1191" customFormat="1" x14ac:dyDescent="0.2">
      <c r="G536" s="1203"/>
      <c r="H536" s="1204"/>
      <c r="I536" s="1243"/>
      <c r="J536" s="1243"/>
      <c r="K536" s="1204"/>
      <c r="L536" s="1401"/>
      <c r="M536" s="1192"/>
      <c r="N536" s="1211"/>
      <c r="O536" s="1211"/>
      <c r="P536" s="1211"/>
      <c r="Q536" s="1211"/>
      <c r="R536" s="1211"/>
      <c r="S536" s="1211"/>
      <c r="T536" s="1209"/>
    </row>
    <row r="537" spans="7:20" s="1191" customFormat="1" x14ac:dyDescent="0.2">
      <c r="G537" s="1203"/>
      <c r="H537" s="1204"/>
      <c r="I537" s="1243"/>
      <c r="J537" s="1243"/>
      <c r="K537" s="1244"/>
      <c r="L537" s="1401"/>
      <c r="M537" s="1192"/>
      <c r="N537" s="1211"/>
      <c r="O537" s="1211"/>
      <c r="P537" s="1211"/>
      <c r="Q537" s="1211"/>
      <c r="R537" s="1211"/>
      <c r="S537" s="1211"/>
      <c r="T537" s="1209"/>
    </row>
    <row r="538" spans="7:20" s="1191" customFormat="1" x14ac:dyDescent="0.2">
      <c r="G538" s="1203"/>
      <c r="H538" s="1204"/>
      <c r="I538" s="1243"/>
      <c r="J538" s="1243"/>
      <c r="K538" s="1405"/>
      <c r="L538" s="1401"/>
      <c r="M538" s="1204"/>
      <c r="N538" s="1211"/>
      <c r="O538" s="1211"/>
      <c r="P538" s="1211"/>
      <c r="Q538" s="1211"/>
      <c r="R538" s="1211"/>
      <c r="S538" s="1211"/>
      <c r="T538" s="1209"/>
    </row>
    <row r="539" spans="7:20" s="1191" customFormat="1" x14ac:dyDescent="0.2">
      <c r="G539" s="1203"/>
      <c r="H539" s="1204"/>
      <c r="I539" s="1243"/>
      <c r="J539" s="1243"/>
      <c r="K539" s="1405"/>
      <c r="L539" s="1401"/>
      <c r="M539" s="1204"/>
      <c r="N539" s="1211"/>
      <c r="O539" s="1211"/>
      <c r="P539" s="1211"/>
      <c r="Q539" s="1211"/>
      <c r="R539" s="1211"/>
      <c r="S539" s="1211"/>
      <c r="T539" s="1209"/>
    </row>
    <row r="540" spans="7:20" s="1191" customFormat="1" x14ac:dyDescent="0.2">
      <c r="G540" s="1203"/>
      <c r="H540" s="1220"/>
      <c r="I540" s="1243"/>
      <c r="J540" s="1243"/>
      <c r="K540" s="1405"/>
      <c r="L540" s="1401"/>
      <c r="M540" s="1204"/>
      <c r="N540" s="1211"/>
      <c r="O540" s="1211"/>
      <c r="P540" s="1211"/>
      <c r="Q540" s="1211"/>
      <c r="R540" s="1211"/>
      <c r="S540" s="1211"/>
      <c r="T540" s="1209"/>
    </row>
    <row r="541" spans="7:20" s="1191" customFormat="1" x14ac:dyDescent="0.2">
      <c r="G541" s="1203"/>
      <c r="H541" s="1204"/>
      <c r="I541" s="1243"/>
      <c r="J541" s="1243"/>
      <c r="K541" s="1405"/>
      <c r="L541" s="1401"/>
      <c r="M541" s="1204"/>
      <c r="N541" s="1211"/>
      <c r="O541" s="1211"/>
      <c r="P541" s="1211"/>
      <c r="Q541" s="1211"/>
      <c r="R541" s="1211"/>
      <c r="S541" s="1211"/>
      <c r="T541" s="1209"/>
    </row>
    <row r="542" spans="7:20" s="1191" customFormat="1" x14ac:dyDescent="0.2">
      <c r="G542" s="1203"/>
      <c r="H542" s="1204"/>
      <c r="I542" s="1243"/>
      <c r="J542" s="1243"/>
      <c r="K542" s="1204"/>
      <c r="L542" s="1401"/>
      <c r="M542" s="1192"/>
      <c r="N542" s="1211"/>
      <c r="O542" s="1211"/>
      <c r="P542" s="1211"/>
      <c r="Q542" s="1211"/>
      <c r="R542" s="1211"/>
      <c r="S542" s="1211"/>
      <c r="T542" s="1209"/>
    </row>
    <row r="543" spans="7:20" s="1191" customFormat="1" x14ac:dyDescent="0.2">
      <c r="G543" s="1203"/>
      <c r="H543" s="1368"/>
      <c r="I543" s="1243"/>
      <c r="J543" s="1243"/>
      <c r="K543" s="1204"/>
      <c r="L543" s="1401"/>
      <c r="M543" s="1192"/>
      <c r="N543" s="1211"/>
      <c r="O543" s="1211"/>
      <c r="P543" s="1211"/>
      <c r="Q543" s="1211"/>
      <c r="R543" s="1211"/>
      <c r="S543" s="1211"/>
      <c r="T543" s="1209"/>
    </row>
    <row r="544" spans="7:20" s="1191" customFormat="1" x14ac:dyDescent="0.2">
      <c r="G544" s="1203"/>
      <c r="H544" s="1204"/>
      <c r="I544" s="1243"/>
      <c r="J544" s="1243"/>
      <c r="K544" s="1204"/>
      <c r="L544" s="1401"/>
      <c r="M544" s="1192"/>
      <c r="N544" s="1211"/>
      <c r="O544" s="1211"/>
      <c r="P544" s="1211"/>
      <c r="Q544" s="1211"/>
      <c r="R544" s="1211"/>
      <c r="S544" s="1211"/>
      <c r="T544" s="1209"/>
    </row>
    <row r="545" spans="7:20" s="1191" customFormat="1" x14ac:dyDescent="0.2">
      <c r="G545" s="1203"/>
      <c r="H545" s="1204"/>
      <c r="I545" s="1243"/>
      <c r="J545" s="1243"/>
      <c r="K545" s="1204"/>
      <c r="L545" s="1401"/>
      <c r="M545" s="1192"/>
      <c r="N545" s="1211"/>
      <c r="O545" s="1211"/>
      <c r="P545" s="1211"/>
      <c r="Q545" s="1211"/>
      <c r="R545" s="1211"/>
      <c r="S545" s="1211"/>
      <c r="T545" s="1209"/>
    </row>
    <row r="546" spans="7:20" s="1191" customFormat="1" x14ac:dyDescent="0.2">
      <c r="G546" s="1203"/>
      <c r="H546" s="1192"/>
      <c r="I546" s="1243"/>
      <c r="J546" s="1243"/>
      <c r="K546" s="1192"/>
      <c r="L546" s="1401"/>
      <c r="M546" s="1192"/>
      <c r="N546" s="1211"/>
      <c r="O546" s="1211"/>
      <c r="P546" s="1211"/>
      <c r="Q546" s="1211"/>
      <c r="R546" s="1211"/>
      <c r="S546" s="1211"/>
      <c r="T546" s="1209"/>
    </row>
    <row r="547" spans="7:20" s="1191" customFormat="1" ht="18" x14ac:dyDescent="0.25">
      <c r="G547" s="1389" t="s">
        <v>211</v>
      </c>
      <c r="H547" s="1390"/>
      <c r="I547" s="1391"/>
      <c r="J547" s="1391"/>
      <c r="K547" s="1392"/>
      <c r="L547" s="1393"/>
      <c r="M547" s="1195"/>
      <c r="N547" s="1187"/>
      <c r="O547" s="1187"/>
      <c r="P547" s="1187"/>
      <c r="Q547" s="1187"/>
      <c r="R547" s="1187"/>
      <c r="S547" s="1187"/>
      <c r="T547" s="1202"/>
    </row>
    <row r="548" spans="7:20" s="1191" customFormat="1" x14ac:dyDescent="0.2">
      <c r="G548" s="1203"/>
      <c r="H548" s="1394"/>
      <c r="I548" s="1232"/>
      <c r="J548" s="1232"/>
      <c r="K548" s="1394"/>
      <c r="L548" s="1233"/>
      <c r="M548" s="1395"/>
      <c r="N548" s="1211"/>
      <c r="O548" s="1211"/>
      <c r="P548" s="1211"/>
      <c r="Q548" s="1211"/>
      <c r="R548" s="1211"/>
      <c r="S548" s="1211"/>
      <c r="T548" s="1209"/>
    </row>
    <row r="549" spans="7:20" s="1191" customFormat="1" x14ac:dyDescent="0.2">
      <c r="G549" s="1203"/>
      <c r="H549" s="1204"/>
      <c r="I549" s="1243"/>
      <c r="J549" s="1235"/>
      <c r="K549" s="1204"/>
      <c r="L549" s="1216"/>
      <c r="M549" s="1339"/>
      <c r="N549" s="1211"/>
      <c r="O549" s="1211"/>
      <c r="P549" s="1211"/>
      <c r="Q549" s="1211"/>
      <c r="R549" s="1211"/>
      <c r="S549" s="1211"/>
      <c r="T549" s="1209"/>
    </row>
    <row r="550" spans="7:20" s="1191" customFormat="1" x14ac:dyDescent="0.2">
      <c r="G550" s="1203"/>
      <c r="H550" s="1368"/>
      <c r="I550" s="1189"/>
      <c r="J550" s="1406"/>
      <c r="K550" s="1368"/>
      <c r="L550" s="1107"/>
      <c r="M550" s="1203"/>
      <c r="N550" s="1211"/>
      <c r="O550" s="1211"/>
      <c r="P550" s="1211"/>
      <c r="Q550" s="1211"/>
      <c r="R550" s="1211"/>
      <c r="S550" s="1211"/>
      <c r="T550" s="1209"/>
    </row>
    <row r="551" spans="7:20" s="1191" customFormat="1" x14ac:dyDescent="0.2">
      <c r="G551" s="1203"/>
      <c r="H551" s="1368"/>
      <c r="I551" s="1189"/>
      <c r="J551" s="1406"/>
      <c r="K551" s="1368"/>
      <c r="L551" s="1107"/>
      <c r="M551" s="1203"/>
      <c r="N551" s="1211"/>
      <c r="O551" s="1211"/>
      <c r="P551" s="1211"/>
      <c r="Q551" s="1211"/>
      <c r="R551" s="1211"/>
      <c r="S551" s="1211"/>
      <c r="T551" s="1209"/>
    </row>
    <row r="552" spans="7:20" s="1191" customFormat="1" x14ac:dyDescent="0.2">
      <c r="G552" s="1203"/>
      <c r="H552" s="1368"/>
      <c r="I552" s="1189"/>
      <c r="J552" s="1406"/>
      <c r="K552" s="1368"/>
      <c r="L552" s="1107"/>
      <c r="M552" s="1203"/>
      <c r="N552" s="1211"/>
      <c r="O552" s="1211"/>
      <c r="P552" s="1211"/>
      <c r="Q552" s="1211"/>
      <c r="R552" s="1211"/>
      <c r="S552" s="1211"/>
      <c r="T552" s="1209"/>
    </row>
    <row r="553" spans="7:20" s="1191" customFormat="1" x14ac:dyDescent="0.2">
      <c r="G553" s="1203"/>
      <c r="H553" s="1204"/>
      <c r="I553" s="1243"/>
      <c r="J553" s="1407"/>
      <c r="K553" s="1368"/>
      <c r="L553" s="1216"/>
      <c r="M553" s="1203"/>
      <c r="N553" s="1211"/>
      <c r="O553" s="1211"/>
      <c r="P553" s="1211"/>
      <c r="Q553" s="1211"/>
      <c r="R553" s="1211"/>
      <c r="S553" s="1211"/>
      <c r="T553" s="1209"/>
    </row>
    <row r="554" spans="7:20" s="1191" customFormat="1" x14ac:dyDescent="0.2">
      <c r="G554" s="1203"/>
      <c r="H554" s="1204"/>
      <c r="I554" s="1243"/>
      <c r="J554" s="1243"/>
      <c r="K554" s="1204"/>
      <c r="L554" s="1216"/>
      <c r="M554" s="1203"/>
      <c r="N554" s="1211"/>
      <c r="O554" s="1211"/>
      <c r="P554" s="1211"/>
      <c r="Q554" s="1211"/>
      <c r="R554" s="1211"/>
      <c r="S554" s="1211"/>
      <c r="T554" s="1209"/>
    </row>
    <row r="555" spans="7:20" s="1191" customFormat="1" x14ac:dyDescent="0.2">
      <c r="G555" s="1203"/>
      <c r="H555" s="1192"/>
      <c r="I555" s="1243"/>
      <c r="J555" s="1243"/>
      <c r="K555" s="1192"/>
      <c r="L555" s="1216"/>
      <c r="M555" s="1203"/>
      <c r="N555" s="1211"/>
      <c r="O555" s="1211"/>
      <c r="P555" s="1211"/>
      <c r="Q555" s="1211"/>
      <c r="R555" s="1211"/>
      <c r="S555" s="1211"/>
      <c r="T555" s="1209"/>
    </row>
    <row r="556" spans="7:20" s="1191" customFormat="1" x14ac:dyDescent="0.2">
      <c r="G556" s="1203"/>
      <c r="H556" s="1192"/>
      <c r="I556" s="1243"/>
      <c r="J556" s="1243"/>
      <c r="K556" s="1192"/>
      <c r="L556" s="1216"/>
      <c r="M556" s="1203"/>
      <c r="N556" s="1211"/>
      <c r="O556" s="1211"/>
      <c r="P556" s="1211"/>
      <c r="Q556" s="1211"/>
      <c r="R556" s="1211"/>
      <c r="S556" s="1211"/>
      <c r="T556" s="1209"/>
    </row>
    <row r="557" spans="7:20" s="1191" customFormat="1" x14ac:dyDescent="0.2">
      <c r="G557" s="1203"/>
      <c r="H557" s="1192"/>
      <c r="I557" s="1243"/>
      <c r="J557" s="1243"/>
      <c r="K557" s="1192"/>
      <c r="L557" s="1216"/>
      <c r="M557" s="1203"/>
      <c r="N557" s="1211"/>
      <c r="O557" s="1211"/>
      <c r="P557" s="1211"/>
      <c r="Q557" s="1211"/>
      <c r="R557" s="1211"/>
      <c r="S557" s="1211"/>
      <c r="T557" s="1209"/>
    </row>
    <row r="558" spans="7:20" s="1191" customFormat="1" x14ac:dyDescent="0.2">
      <c r="G558" s="1203"/>
      <c r="H558" s="1192"/>
      <c r="I558" s="1243"/>
      <c r="J558" s="1243"/>
      <c r="K558" s="1192"/>
      <c r="L558" s="1216"/>
      <c r="M558" s="1203"/>
      <c r="N558" s="1211"/>
      <c r="O558" s="1211"/>
      <c r="P558" s="1211"/>
      <c r="Q558" s="1211"/>
      <c r="R558" s="1211"/>
      <c r="S558" s="1211"/>
      <c r="T558" s="1209"/>
    </row>
    <row r="559" spans="7:20" s="1191" customFormat="1" x14ac:dyDescent="0.2">
      <c r="G559" s="1203"/>
      <c r="H559" s="1192"/>
      <c r="I559" s="1243"/>
      <c r="J559" s="1243"/>
      <c r="K559" s="1192"/>
      <c r="L559" s="1216"/>
      <c r="M559" s="1203"/>
      <c r="N559" s="1211"/>
      <c r="O559" s="1211"/>
      <c r="P559" s="1211"/>
      <c r="Q559" s="1211"/>
      <c r="R559" s="1211"/>
      <c r="S559" s="1211"/>
      <c r="T559" s="1209"/>
    </row>
    <row r="560" spans="7:20" s="1191" customFormat="1" x14ac:dyDescent="0.2">
      <c r="G560" s="1224"/>
      <c r="H560" s="1225"/>
      <c r="I560" s="1226"/>
      <c r="J560" s="1226"/>
      <c r="K560" s="1225"/>
      <c r="L560" s="1227"/>
      <c r="M560" s="1224"/>
      <c r="N560" s="1229"/>
      <c r="O560" s="1229"/>
      <c r="P560" s="1229"/>
      <c r="Q560" s="1229"/>
      <c r="R560" s="1229"/>
      <c r="S560" s="1229"/>
      <c r="T560" s="1228"/>
    </row>
    <row r="566" spans="3:28" s="1191" customFormat="1" x14ac:dyDescent="0.2">
      <c r="G566" s="1107"/>
      <c r="H566" s="1204"/>
      <c r="I566" s="1235"/>
      <c r="J566" s="1243"/>
      <c r="K566" s="1107"/>
      <c r="L566" s="1401"/>
      <c r="M566" s="1107"/>
    </row>
    <row r="567" spans="3:28" s="1191" customFormat="1" x14ac:dyDescent="0.2">
      <c r="C567" s="1107"/>
      <c r="D567" s="1107"/>
      <c r="E567" s="1107"/>
      <c r="F567" s="1107"/>
      <c r="G567" s="1107"/>
      <c r="H567" s="1204"/>
      <c r="I567" s="1235"/>
      <c r="J567" s="1243"/>
      <c r="K567" s="1107"/>
      <c r="L567" s="1401"/>
      <c r="M567" s="1107"/>
      <c r="AA567" s="1107"/>
      <c r="AB567" s="1107"/>
    </row>
    <row r="568" spans="3:28" s="1191" customFormat="1" x14ac:dyDescent="0.2">
      <c r="C568" s="1107"/>
      <c r="D568" s="1107"/>
      <c r="E568" s="1107"/>
      <c r="F568" s="1107"/>
      <c r="G568" s="1107"/>
      <c r="H568" s="1204"/>
      <c r="I568" s="1235"/>
      <c r="J568" s="1243"/>
      <c r="K568" s="1107"/>
      <c r="L568" s="1401"/>
      <c r="M568" s="1107"/>
      <c r="AA568" s="1107"/>
      <c r="AB568" s="1107"/>
    </row>
    <row r="569" spans="3:28" s="1191" customFormat="1" x14ac:dyDescent="0.2">
      <c r="C569" s="1107"/>
      <c r="D569" s="1107"/>
      <c r="E569" s="1107"/>
      <c r="F569" s="1107"/>
      <c r="G569" s="1107"/>
      <c r="H569" s="1204"/>
      <c r="I569" s="1235"/>
      <c r="J569" s="1243"/>
      <c r="K569" s="1107"/>
      <c r="L569" s="1401"/>
      <c r="M569" s="1107"/>
      <c r="AA569" s="1107"/>
      <c r="AB569" s="1107"/>
    </row>
    <row r="570" spans="3:28" s="1191" customFormat="1" x14ac:dyDescent="0.2">
      <c r="C570" s="1107"/>
      <c r="D570" s="1107"/>
      <c r="E570" s="1107"/>
      <c r="F570" s="1107"/>
      <c r="G570" s="1107"/>
      <c r="H570" s="1204"/>
      <c r="I570" s="1319"/>
      <c r="J570" s="1243"/>
      <c r="K570" s="1107"/>
      <c r="L570" s="1401"/>
      <c r="M570" s="1107"/>
      <c r="AA570" s="1107"/>
      <c r="AB570" s="1107"/>
    </row>
    <row r="571" spans="3:28" s="1191" customFormat="1" x14ac:dyDescent="0.2">
      <c r="C571" s="1107"/>
      <c r="D571" s="1107"/>
      <c r="E571" s="1107"/>
      <c r="F571" s="1107"/>
      <c r="G571" s="1107"/>
      <c r="H571" s="1204"/>
      <c r="I571" s="1319"/>
      <c r="J571" s="1243"/>
      <c r="K571" s="1107"/>
      <c r="L571" s="1401"/>
      <c r="M571" s="1107"/>
      <c r="AA571" s="1107"/>
      <c r="AB571" s="1107"/>
    </row>
  </sheetData>
  <sheetProtection password="C82C" sheet="1" objects="1" scenarios="1" selectLockedCells="1"/>
  <pageMargins left="0.70866141732283472" right="0.70866141732283472" top="0.74803149606299213" bottom="0.74803149606299213" header="0.31496062992125984" footer="0.31496062992125984"/>
  <pageSetup paperSize="9" scale="60" fitToHeight="0" orientation="portrait" r:id="rId1"/>
  <headerFooter>
    <oddHeader>&amp;LPUBLIC&amp;CEfficient Costs of New Entrant Ethanol Producers&amp;R&amp;G</oddHeader>
    <oddFooter>&amp;L&amp;F:&amp;A&amp;C&amp;D&amp;R&amp;P of &amp;N</oddFooter>
  </headerFooter>
  <rowBreaks count="3" manualBreakCount="3">
    <brk id="78" min="7" max="13" man="1"/>
    <brk id="162" min="7" max="13" man="1"/>
    <brk id="250" min="7" max="1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'Wheat Standalone (Starch)'!$S$156:$S$157</xm:f>
          </x14:formula1>
          <xm:sqref>Q159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69"/>
  <sheetViews>
    <sheetView topLeftCell="H3" zoomScaleNormal="100" workbookViewId="0">
      <selection activeCell="H6" sqref="H6"/>
    </sheetView>
  </sheetViews>
  <sheetFormatPr defaultRowHeight="12.75" x14ac:dyDescent="0.2"/>
  <cols>
    <col min="1" max="3" width="9.140625" style="1107" hidden="1" customWidth="1"/>
    <col min="4" max="4" width="6.140625" style="1107" hidden="1" customWidth="1"/>
    <col min="5" max="5" width="8.140625" style="1107" hidden="1" customWidth="1"/>
    <col min="6" max="6" width="4.42578125" style="1107" hidden="1" customWidth="1"/>
    <col min="7" max="7" width="4.7109375" style="1107" hidden="1" customWidth="1"/>
    <col min="8" max="8" width="41.42578125" style="1107" customWidth="1"/>
    <col min="9" max="9" width="30.140625" style="1189" customWidth="1"/>
    <col min="10" max="10" width="13.28515625" style="1107" customWidth="1"/>
    <col min="11" max="11" width="17" style="1107" customWidth="1"/>
    <col min="12" max="12" width="16.28515625" style="1190" customWidth="1"/>
    <col min="13" max="13" width="13.28515625" style="1107" customWidth="1"/>
    <col min="14" max="14" width="13.5703125" style="1191" customWidth="1"/>
    <col min="15" max="15" width="14" style="1191" customWidth="1"/>
    <col min="16" max="26" width="13.5703125" style="1191" customWidth="1"/>
    <col min="27" max="16384" width="9.140625" style="1107"/>
  </cols>
  <sheetData>
    <row r="1" spans="6:20" s="1191" customFormat="1" ht="20.25" hidden="1" x14ac:dyDescent="0.3">
      <c r="F1" s="1188"/>
      <c r="G1" s="1107"/>
      <c r="H1" s="1107"/>
      <c r="I1" s="1189"/>
      <c r="J1" s="1107"/>
      <c r="K1" s="1107"/>
      <c r="L1" s="1190"/>
      <c r="M1" s="1107"/>
    </row>
    <row r="2" spans="6:20" s="1191" customFormat="1" hidden="1" x14ac:dyDescent="0.2">
      <c r="F2" s="1107"/>
      <c r="G2" s="1107"/>
      <c r="H2" s="1192"/>
      <c r="I2" s="1189"/>
      <c r="J2" s="1107"/>
      <c r="K2" s="1107"/>
      <c r="L2" s="1190"/>
      <c r="M2" s="1107"/>
    </row>
    <row r="3" spans="6:20" s="1191" customFormat="1" ht="23.25" x14ac:dyDescent="0.35">
      <c r="F3" s="1193"/>
      <c r="G3" s="1107"/>
      <c r="H3" s="1194" t="s">
        <v>726</v>
      </c>
      <c r="I3" s="1189"/>
      <c r="J3" s="1107"/>
      <c r="K3" s="1107"/>
      <c r="L3" s="1190"/>
      <c r="M3" s="1107"/>
    </row>
    <row r="4" spans="6:20" s="1191" customFormat="1" ht="25.5" x14ac:dyDescent="0.2">
      <c r="F4" s="1195"/>
      <c r="G4" s="1196" t="s">
        <v>0</v>
      </c>
      <c r="H4" s="1197" t="s">
        <v>373</v>
      </c>
      <c r="I4" s="1198" t="s">
        <v>2</v>
      </c>
      <c r="J4" s="1198" t="s">
        <v>374</v>
      </c>
      <c r="K4" s="1198" t="s">
        <v>4</v>
      </c>
      <c r="L4" s="1198" t="s">
        <v>70</v>
      </c>
      <c r="M4" s="1199" t="s">
        <v>5</v>
      </c>
      <c r="N4" s="1200" t="s">
        <v>6</v>
      </c>
      <c r="O4" s="1201" t="s">
        <v>7</v>
      </c>
      <c r="P4" s="1187"/>
      <c r="Q4" s="1187"/>
      <c r="R4" s="1187"/>
      <c r="S4" s="1187"/>
      <c r="T4" s="1202"/>
    </row>
    <row r="5" spans="6:20" s="1191" customFormat="1" x14ac:dyDescent="0.2">
      <c r="F5" s="1203"/>
      <c r="G5" s="1203"/>
      <c r="H5" s="1313" t="s">
        <v>549</v>
      </c>
      <c r="I5" s="1205">
        <v>1</v>
      </c>
      <c r="J5" s="1206">
        <v>9.5000000000000001E-2</v>
      </c>
      <c r="K5" s="1206">
        <v>0.89</v>
      </c>
      <c r="L5" s="1207">
        <f>K30*J29</f>
        <v>0.68399999999999994</v>
      </c>
      <c r="M5" s="1208">
        <f>$J$51*I5/K5/L5</f>
        <v>785.58940281834202</v>
      </c>
      <c r="N5" s="1209">
        <f>M5*J17</f>
        <v>263800.92146639928</v>
      </c>
      <c r="O5" s="1210"/>
      <c r="P5" s="1211"/>
      <c r="Q5" s="1211"/>
      <c r="R5" s="1211"/>
      <c r="S5" s="1211"/>
      <c r="T5" s="1209"/>
    </row>
    <row r="6" spans="6:20" s="1191" customFormat="1" x14ac:dyDescent="0.2">
      <c r="F6" s="1203"/>
      <c r="G6" s="1203"/>
      <c r="H6" s="1204"/>
      <c r="I6" s="1205">
        <v>0</v>
      </c>
      <c r="J6" s="1206">
        <v>0.13500000000000001</v>
      </c>
      <c r="K6" s="1206">
        <v>0.89</v>
      </c>
      <c r="L6" s="1207">
        <f>L5</f>
        <v>0.68399999999999994</v>
      </c>
      <c r="M6" s="1208">
        <f>$J$51*I6/K6/L6</f>
        <v>0</v>
      </c>
      <c r="N6" s="1209">
        <f>M6*$J$17</f>
        <v>0</v>
      </c>
      <c r="O6" s="1210"/>
      <c r="P6" s="1211"/>
      <c r="Q6" s="1211"/>
      <c r="R6" s="1211"/>
      <c r="S6" s="1211"/>
      <c r="T6" s="1209"/>
    </row>
    <row r="7" spans="6:20" s="1191" customFormat="1" x14ac:dyDescent="0.2">
      <c r="F7" s="1203"/>
      <c r="G7" s="1203"/>
      <c r="H7" s="1204"/>
      <c r="I7" s="1205">
        <v>0</v>
      </c>
      <c r="J7" s="1206">
        <v>0.115</v>
      </c>
      <c r="K7" s="1206">
        <v>0.89</v>
      </c>
      <c r="L7" s="1207">
        <f>L6</f>
        <v>0.68399999999999994</v>
      </c>
      <c r="M7" s="1208">
        <f t="shared" ref="M7:M10" si="0">$J$51*I7/K7/L7</f>
        <v>0</v>
      </c>
      <c r="N7" s="1209">
        <f>M7*$J$17</f>
        <v>0</v>
      </c>
      <c r="O7" s="1210"/>
      <c r="P7" s="1211"/>
      <c r="Q7" s="1211"/>
      <c r="R7" s="1211"/>
      <c r="S7" s="1211"/>
      <c r="T7" s="1209"/>
    </row>
    <row r="8" spans="6:20" s="1191" customFormat="1" x14ac:dyDescent="0.2">
      <c r="F8" s="1203"/>
      <c r="G8" s="1203"/>
      <c r="H8" s="1204"/>
      <c r="I8" s="1205">
        <v>0</v>
      </c>
      <c r="J8" s="1206">
        <v>0.1</v>
      </c>
      <c r="K8" s="1206">
        <v>0.89</v>
      </c>
      <c r="L8" s="1207">
        <f>L7</f>
        <v>0.68399999999999994</v>
      </c>
      <c r="M8" s="1208">
        <f t="shared" si="0"/>
        <v>0</v>
      </c>
      <c r="N8" s="1209">
        <f>M8*$J$17</f>
        <v>0</v>
      </c>
      <c r="O8" s="1211"/>
      <c r="P8" s="1211"/>
      <c r="Q8" s="1211"/>
      <c r="R8" s="1211"/>
      <c r="S8" s="1211"/>
      <c r="T8" s="1209"/>
    </row>
    <row r="9" spans="6:20" s="1191" customFormat="1" x14ac:dyDescent="0.2">
      <c r="F9" s="1203"/>
      <c r="G9" s="1203"/>
      <c r="H9" s="1204"/>
      <c r="I9" s="1205">
        <v>0</v>
      </c>
      <c r="J9" s="1206">
        <v>9.5000000000000001E-2</v>
      </c>
      <c r="K9" s="1206">
        <v>0.89</v>
      </c>
      <c r="L9" s="1207">
        <f>L8</f>
        <v>0.68399999999999994</v>
      </c>
      <c r="M9" s="1208">
        <f t="shared" si="0"/>
        <v>0</v>
      </c>
      <c r="N9" s="1209">
        <f>M9*$J$17</f>
        <v>0</v>
      </c>
      <c r="O9" s="1211"/>
      <c r="P9" s="1211"/>
      <c r="Q9" s="1211"/>
      <c r="R9" s="1211"/>
      <c r="S9" s="1211"/>
      <c r="T9" s="1209"/>
    </row>
    <row r="10" spans="6:20" s="1191" customFormat="1" x14ac:dyDescent="0.2">
      <c r="F10" s="1203"/>
      <c r="G10" s="1203"/>
      <c r="H10" s="1204"/>
      <c r="I10" s="1205">
        <v>0</v>
      </c>
      <c r="J10" s="1206">
        <v>0.09</v>
      </c>
      <c r="K10" s="1206">
        <v>0.89</v>
      </c>
      <c r="L10" s="1207">
        <f>L9</f>
        <v>0.68399999999999994</v>
      </c>
      <c r="M10" s="1208">
        <f t="shared" si="0"/>
        <v>0</v>
      </c>
      <c r="N10" s="1209">
        <f>M10*$J$17</f>
        <v>0</v>
      </c>
      <c r="O10" s="1210"/>
      <c r="P10" s="1211"/>
      <c r="Q10" s="1211"/>
      <c r="R10" s="1211"/>
      <c r="S10" s="1211"/>
      <c r="T10" s="1209"/>
    </row>
    <row r="11" spans="6:20" s="1191" customFormat="1" x14ac:dyDescent="0.2">
      <c r="F11" s="1203"/>
      <c r="G11" s="1203"/>
      <c r="H11" s="1212" t="s">
        <v>16</v>
      </c>
      <c r="I11" s="1213">
        <f>SUM(I5:I10)</f>
        <v>1</v>
      </c>
      <c r="J11" s="1214">
        <f>SUMPRODUCT(I5:I10,J5:J10)</f>
        <v>9.5000000000000001E-2</v>
      </c>
      <c r="K11" s="1215">
        <f>SUMPRODUCT(I5:I10,K5:K10)</f>
        <v>0.89</v>
      </c>
      <c r="L11" s="1216"/>
      <c r="M11" s="1217">
        <f>SUM(M5:M10)</f>
        <v>785.58940281834202</v>
      </c>
      <c r="N11" s="1218">
        <f>SUM(N5:N10)</f>
        <v>263800.92146639928</v>
      </c>
      <c r="O11" s="1211"/>
      <c r="P11" s="1211"/>
      <c r="Q11" s="1211"/>
      <c r="R11" s="1211"/>
      <c r="S11" s="1211"/>
      <c r="T11" s="1209"/>
    </row>
    <row r="12" spans="6:20" s="1191" customFormat="1" x14ac:dyDescent="0.2">
      <c r="F12" s="1203"/>
      <c r="G12" s="1203"/>
      <c r="H12" s="1212"/>
      <c r="I12" s="1219"/>
      <c r="J12" s="1220" t="s">
        <v>381</v>
      </c>
      <c r="K12" s="1214"/>
      <c r="L12" s="1221" t="s">
        <v>382</v>
      </c>
      <c r="M12" s="1222">
        <f>M11/24</f>
        <v>32.732891784097582</v>
      </c>
      <c r="N12" s="1223"/>
      <c r="O12" s="1211"/>
      <c r="P12" s="1211"/>
      <c r="Q12" s="1211"/>
      <c r="R12" s="1211"/>
      <c r="S12" s="1211"/>
      <c r="T12" s="1209"/>
    </row>
    <row r="13" spans="6:20" s="1191" customFormat="1" x14ac:dyDescent="0.2">
      <c r="F13" s="1203"/>
      <c r="G13" s="1224"/>
      <c r="H13" s="1225"/>
      <c r="I13" s="1226"/>
      <c r="J13" s="1225"/>
      <c r="K13" s="1225"/>
      <c r="L13" s="1227"/>
      <c r="M13" s="1225"/>
      <c r="N13" s="1228"/>
      <c r="O13" s="1229"/>
      <c r="P13" s="1229"/>
      <c r="Q13" s="1229"/>
      <c r="R13" s="1229"/>
      <c r="S13" s="1229"/>
      <c r="T13" s="1228"/>
    </row>
    <row r="14" spans="6:20" s="1191" customFormat="1" x14ac:dyDescent="0.2">
      <c r="F14" s="1203"/>
      <c r="G14" s="1230" t="s">
        <v>18</v>
      </c>
      <c r="H14" s="1231" t="s">
        <v>19</v>
      </c>
      <c r="I14" s="1232" t="s">
        <v>20</v>
      </c>
      <c r="J14" s="1232" t="s">
        <v>21</v>
      </c>
      <c r="K14" s="1232"/>
      <c r="L14" s="1233" t="s">
        <v>22</v>
      </c>
      <c r="M14" s="1232" t="s">
        <v>23</v>
      </c>
      <c r="N14" s="1209"/>
      <c r="O14" s="1234" t="s">
        <v>7</v>
      </c>
      <c r="P14" s="1187"/>
      <c r="Q14" s="1187"/>
      <c r="R14" s="1187"/>
      <c r="S14" s="1187"/>
      <c r="T14" s="1202"/>
    </row>
    <row r="15" spans="6:20" s="1191" customFormat="1" x14ac:dyDescent="0.2">
      <c r="F15" s="1203"/>
      <c r="G15" s="1230"/>
      <c r="H15" s="1204" t="s">
        <v>24</v>
      </c>
      <c r="I15" s="1235" t="s">
        <v>25</v>
      </c>
      <c r="J15" s="1236">
        <f>Assumptions!$C$5</f>
        <v>100</v>
      </c>
      <c r="K15" s="1192"/>
      <c r="L15" s="1279">
        <f>Assumptions!$J$30</f>
        <v>0.9</v>
      </c>
      <c r="M15" s="1238">
        <f>J15*L15*1000000</f>
        <v>90000000</v>
      </c>
      <c r="N15" s="1209"/>
      <c r="O15" s="1210"/>
      <c r="P15" s="1211"/>
      <c r="Q15" s="1211"/>
      <c r="R15" s="1211"/>
      <c r="S15" s="1211"/>
      <c r="T15" s="1209"/>
    </row>
    <row r="16" spans="6:20" s="1191" customFormat="1" x14ac:dyDescent="0.2">
      <c r="F16" s="1203"/>
      <c r="G16" s="1203"/>
      <c r="H16" s="1204" t="s">
        <v>27</v>
      </c>
      <c r="I16" s="1235" t="s">
        <v>28</v>
      </c>
      <c r="J16" s="1239">
        <v>0.92</v>
      </c>
      <c r="K16" s="1192"/>
      <c r="L16" s="1216"/>
      <c r="M16" s="1192"/>
      <c r="N16" s="1209"/>
      <c r="O16" s="1210" t="s">
        <v>29</v>
      </c>
      <c r="P16" s="1211"/>
      <c r="Q16" s="1211"/>
      <c r="R16" s="1211"/>
      <c r="S16" s="1211"/>
      <c r="T16" s="1209"/>
    </row>
    <row r="17" spans="6:20" s="1191" customFormat="1" x14ac:dyDescent="0.2">
      <c r="F17" s="1203"/>
      <c r="G17" s="1203"/>
      <c r="H17" s="1204" t="s">
        <v>30</v>
      </c>
      <c r="I17" s="1235" t="s">
        <v>31</v>
      </c>
      <c r="J17" s="1240">
        <f>J16*Q17</f>
        <v>335.8</v>
      </c>
      <c r="K17" s="1192"/>
      <c r="L17" s="1216"/>
      <c r="M17" s="1192"/>
      <c r="N17" s="1209"/>
      <c r="O17" s="1210" t="s">
        <v>32</v>
      </c>
      <c r="P17" s="1211"/>
      <c r="Q17" s="1236">
        <v>365</v>
      </c>
      <c r="R17" s="1210"/>
      <c r="S17" s="1211"/>
      <c r="T17" s="1241"/>
    </row>
    <row r="18" spans="6:20" s="1191" customFormat="1" x14ac:dyDescent="0.2">
      <c r="F18" s="1203"/>
      <c r="G18" s="1203"/>
      <c r="H18" s="1204" t="s">
        <v>33</v>
      </c>
      <c r="I18" s="1235" t="s">
        <v>34</v>
      </c>
      <c r="J18" s="1242">
        <f>J17*24</f>
        <v>8059.2000000000007</v>
      </c>
      <c r="K18" s="1192"/>
      <c r="L18" s="1216"/>
      <c r="M18" s="1192"/>
      <c r="N18" s="1209"/>
      <c r="O18" s="1210"/>
      <c r="P18" s="1211"/>
      <c r="Q18" s="1211"/>
      <c r="R18" s="1211"/>
      <c r="S18" s="1211"/>
      <c r="T18" s="1209"/>
    </row>
    <row r="19" spans="6:20" s="1191" customFormat="1" x14ac:dyDescent="0.2">
      <c r="F19" s="1203"/>
      <c r="G19" s="1203"/>
      <c r="H19" s="1204"/>
      <c r="I19" s="1235"/>
      <c r="J19" s="1242"/>
      <c r="K19" s="1192"/>
      <c r="L19" s="1216"/>
      <c r="M19" s="1192"/>
      <c r="N19" s="1209"/>
      <c r="O19" s="1210"/>
      <c r="P19" s="1211"/>
      <c r="Q19" s="1211"/>
      <c r="R19" s="1211"/>
      <c r="S19" s="1211"/>
      <c r="T19" s="1209"/>
    </row>
    <row r="20" spans="6:20" s="1191" customFormat="1" x14ac:dyDescent="0.2">
      <c r="F20" s="1203"/>
      <c r="G20" s="1203"/>
      <c r="H20" s="1220" t="s">
        <v>35</v>
      </c>
      <c r="I20" s="1243"/>
      <c r="J20" s="1192"/>
      <c r="K20" s="1192"/>
      <c r="L20" s="1216"/>
      <c r="M20" s="1192"/>
      <c r="N20" s="1209"/>
      <c r="O20" s="1211"/>
      <c r="P20" s="1211"/>
      <c r="Q20" s="1211"/>
      <c r="R20" s="1211"/>
      <c r="S20" s="1211"/>
      <c r="T20" s="1209"/>
    </row>
    <row r="21" spans="6:20" s="1191" customFormat="1" x14ac:dyDescent="0.2">
      <c r="F21" s="1203"/>
      <c r="G21" s="1203"/>
      <c r="H21" s="1204" t="s">
        <v>36</v>
      </c>
      <c r="I21" s="1235" t="s">
        <v>37</v>
      </c>
      <c r="J21" s="1244">
        <f>J15/J17*1000000</f>
        <v>297796.30732578918</v>
      </c>
      <c r="K21" s="1192"/>
      <c r="L21" s="1216"/>
      <c r="M21" s="1192"/>
      <c r="N21" s="1209"/>
      <c r="O21" s="1211"/>
      <c r="P21" s="1211"/>
      <c r="Q21" s="1211"/>
      <c r="R21" s="1211"/>
      <c r="S21" s="1211"/>
      <c r="T21" s="1209"/>
    </row>
    <row r="22" spans="6:20" s="1191" customFormat="1" x14ac:dyDescent="0.2">
      <c r="F22" s="1203"/>
      <c r="G22" s="1203"/>
      <c r="H22" s="1204" t="s">
        <v>38</v>
      </c>
      <c r="I22" s="1235" t="s">
        <v>39</v>
      </c>
      <c r="J22" s="1211">
        <f>J15*1000000/J18</f>
        <v>12408.179471907881</v>
      </c>
      <c r="K22" s="1192"/>
      <c r="L22" s="1216"/>
      <c r="M22" s="1192"/>
      <c r="N22" s="1209"/>
      <c r="O22" s="1211"/>
      <c r="P22" s="1211"/>
      <c r="Q22" s="1211"/>
      <c r="R22" s="1211"/>
      <c r="S22" s="1211"/>
      <c r="T22" s="1209"/>
    </row>
    <row r="23" spans="6:20" s="1191" customFormat="1" x14ac:dyDescent="0.2">
      <c r="F23" s="1203"/>
      <c r="G23" s="1203"/>
      <c r="H23" s="1220"/>
      <c r="I23" s="1235"/>
      <c r="J23" s="1211"/>
      <c r="K23" s="1192"/>
      <c r="L23" s="1216"/>
      <c r="M23" s="1192"/>
      <c r="N23" s="1209"/>
      <c r="O23" s="1211"/>
      <c r="P23" s="1211"/>
      <c r="Q23" s="1211"/>
      <c r="R23" s="1211"/>
      <c r="S23" s="1211"/>
      <c r="T23" s="1209"/>
    </row>
    <row r="24" spans="6:20" s="1191" customFormat="1" ht="38.25" x14ac:dyDescent="0.2">
      <c r="F24" s="1203"/>
      <c r="G24" s="1203"/>
      <c r="H24" s="1220" t="s">
        <v>383</v>
      </c>
      <c r="I24" s="1245"/>
      <c r="J24" s="1246" t="s">
        <v>384</v>
      </c>
      <c r="K24" s="1247" t="s">
        <v>385</v>
      </c>
      <c r="L24" s="1247" t="s">
        <v>386</v>
      </c>
      <c r="M24" s="1247" t="s">
        <v>387</v>
      </c>
      <c r="N24" s="1209"/>
      <c r="O24" s="1211"/>
      <c r="P24" s="1211"/>
      <c r="Q24" s="1211"/>
      <c r="R24" s="1211"/>
      <c r="S24" s="1211"/>
      <c r="T24" s="1209"/>
    </row>
    <row r="25" spans="6:20" s="1191" customFormat="1" x14ac:dyDescent="0.2">
      <c r="F25" s="1203"/>
      <c r="G25" s="1203"/>
      <c r="H25" s="1204" t="s">
        <v>388</v>
      </c>
      <c r="I25" s="1235" t="s">
        <v>28</v>
      </c>
      <c r="J25" s="1206">
        <v>0.01</v>
      </c>
      <c r="K25" s="1248">
        <f>1-K11</f>
        <v>0.10999999999999999</v>
      </c>
      <c r="L25" s="1249">
        <f>J25*$M$11*$K$11/(1-K25)</f>
        <v>7.8558940281834202</v>
      </c>
      <c r="M25" s="1211">
        <f>L25*$J$17</f>
        <v>2638.0092146639927</v>
      </c>
      <c r="N25" s="1209"/>
      <c r="O25" s="1210" t="s">
        <v>389</v>
      </c>
      <c r="P25" s="1211"/>
      <c r="Q25" s="1211"/>
      <c r="R25" s="1211"/>
      <c r="S25" s="1211"/>
      <c r="T25" s="1209"/>
    </row>
    <row r="26" spans="6:20" s="1191" customFormat="1" x14ac:dyDescent="0.2">
      <c r="F26" s="1203"/>
      <c r="G26" s="1203"/>
      <c r="H26" s="1313" t="s">
        <v>550</v>
      </c>
      <c r="I26" s="1235" t="s">
        <v>28</v>
      </c>
      <c r="J26" s="1206">
        <v>0.12</v>
      </c>
      <c r="K26" s="1250">
        <v>0.1</v>
      </c>
      <c r="L26" s="1249">
        <f>J26*$M$11*$K$11/(1-K26)</f>
        <v>93.223275801109921</v>
      </c>
      <c r="M26" s="1211">
        <f>L26*$J$17</f>
        <v>31304.376014012712</v>
      </c>
      <c r="N26" s="1209"/>
      <c r="O26" s="1211"/>
      <c r="P26" s="1211"/>
      <c r="Q26" s="1211"/>
      <c r="R26" s="1211"/>
      <c r="S26" s="1211"/>
      <c r="T26" s="1209"/>
    </row>
    <row r="27" spans="6:20" s="1191" customFormat="1" x14ac:dyDescent="0.2">
      <c r="F27" s="1203"/>
      <c r="G27" s="1203"/>
      <c r="H27" s="1204" t="s">
        <v>391</v>
      </c>
      <c r="I27" s="1235" t="s">
        <v>28</v>
      </c>
      <c r="J27" s="1206">
        <v>0</v>
      </c>
      <c r="K27" s="1250">
        <v>0.1</v>
      </c>
      <c r="L27" s="1249">
        <f>J27*$M$11*$K$11/(1-K27)</f>
        <v>0</v>
      </c>
      <c r="M27" s="1211">
        <f>L27*$J$17</f>
        <v>0</v>
      </c>
      <c r="N27" s="1209"/>
      <c r="O27" s="1211"/>
      <c r="P27" s="1211"/>
      <c r="Q27" s="1211"/>
      <c r="R27" s="1211"/>
      <c r="S27" s="1211"/>
      <c r="T27" s="1209"/>
    </row>
    <row r="28" spans="6:20" s="1191" customFormat="1" x14ac:dyDescent="0.2">
      <c r="F28" s="1203"/>
      <c r="G28" s="1203"/>
      <c r="H28" s="1204" t="s">
        <v>392</v>
      </c>
      <c r="I28" s="1235" t="s">
        <v>28</v>
      </c>
      <c r="J28" s="1206">
        <v>0</v>
      </c>
      <c r="K28" s="1250">
        <v>7.0000000000000007E-2</v>
      </c>
      <c r="L28" s="1249">
        <f>J28*$M$11*$K$11/(1-K28)</f>
        <v>0</v>
      </c>
      <c r="M28" s="1211">
        <f>L28*$J$17</f>
        <v>0</v>
      </c>
      <c r="N28" s="1209"/>
      <c r="O28" s="1211"/>
      <c r="P28" s="1211"/>
      <c r="Q28" s="1211"/>
      <c r="R28" s="1211"/>
      <c r="S28" s="1211"/>
      <c r="T28" s="1209"/>
    </row>
    <row r="29" spans="6:20" s="1191" customFormat="1" x14ac:dyDescent="0.2">
      <c r="F29" s="1203"/>
      <c r="G29" s="1203"/>
      <c r="H29" s="1204" t="s">
        <v>393</v>
      </c>
      <c r="I29" s="1235" t="s">
        <v>28</v>
      </c>
      <c r="J29" s="1206">
        <v>0.72</v>
      </c>
      <c r="K29" s="1221" t="s">
        <v>394</v>
      </c>
      <c r="L29" s="1249">
        <f>M11-SUM(L25:L28)</f>
        <v>684.51023298904875</v>
      </c>
      <c r="M29" s="1211">
        <f>L29*$J$17</f>
        <v>229858.53623772258</v>
      </c>
      <c r="N29" s="1209"/>
      <c r="O29" s="1211"/>
      <c r="P29" s="1211"/>
      <c r="Q29" s="1211"/>
      <c r="R29" s="1211"/>
      <c r="S29" s="1211"/>
      <c r="T29" s="1209"/>
    </row>
    <row r="30" spans="6:20" s="1191" customFormat="1" x14ac:dyDescent="0.2">
      <c r="F30" s="1203"/>
      <c r="G30" s="1203"/>
      <c r="H30" s="1212" t="s">
        <v>395</v>
      </c>
      <c r="I30" s="1235" t="s">
        <v>28</v>
      </c>
      <c r="J30" s="1251">
        <f>SUM(J25:J29)</f>
        <v>0.85</v>
      </c>
      <c r="K30" s="1252">
        <v>0.95</v>
      </c>
      <c r="L30" s="1204" t="s">
        <v>396</v>
      </c>
      <c r="M30" s="1192"/>
      <c r="N30" s="1209"/>
      <c r="O30" s="1211"/>
      <c r="P30" s="1211"/>
      <c r="Q30" s="1211"/>
      <c r="R30" s="1211"/>
      <c r="S30" s="1211"/>
      <c r="T30" s="1209"/>
    </row>
    <row r="31" spans="6:20" s="1191" customFormat="1" x14ac:dyDescent="0.2">
      <c r="F31" s="1203"/>
      <c r="G31" s="1203"/>
      <c r="H31" s="1212"/>
      <c r="I31" s="1235"/>
      <c r="J31" s="1253"/>
      <c r="K31" s="1253"/>
      <c r="L31" s="1204"/>
      <c r="M31" s="1192"/>
      <c r="N31" s="1209"/>
      <c r="O31" s="1211"/>
      <c r="P31" s="1211"/>
      <c r="Q31" s="1211"/>
      <c r="R31" s="1211"/>
      <c r="S31" s="1211"/>
      <c r="T31" s="1209"/>
    </row>
    <row r="32" spans="6:20" s="1191" customFormat="1" ht="25.5" x14ac:dyDescent="0.2">
      <c r="F32" s="1203"/>
      <c r="G32" s="1203"/>
      <c r="H32" s="1220" t="s">
        <v>383</v>
      </c>
      <c r="I32" s="1245"/>
      <c r="J32" s="1246"/>
      <c r="K32" s="1254" t="s">
        <v>397</v>
      </c>
      <c r="L32" s="1233" t="s">
        <v>398</v>
      </c>
      <c r="M32" s="1232" t="s">
        <v>23</v>
      </c>
      <c r="N32" s="1209"/>
      <c r="O32" s="1211"/>
      <c r="P32" s="1211"/>
      <c r="Q32" s="1211"/>
      <c r="R32" s="1211"/>
      <c r="S32" s="1211"/>
      <c r="T32" s="1209"/>
    </row>
    <row r="33" spans="6:20" s="1191" customFormat="1" x14ac:dyDescent="0.2">
      <c r="F33" s="1203"/>
      <c r="G33" s="1203"/>
      <c r="H33" s="1204" t="s">
        <v>388</v>
      </c>
      <c r="I33" s="1235" t="s">
        <v>28</v>
      </c>
      <c r="J33" s="1246"/>
      <c r="K33" s="1211">
        <f>M25*'Sorgum (Starch)'!Q33</f>
        <v>1319.0046073319963</v>
      </c>
      <c r="L33" s="1255">
        <v>200</v>
      </c>
      <c r="M33" s="1211">
        <f>K33*L33</f>
        <v>263800.92146639928</v>
      </c>
      <c r="N33" s="1209"/>
      <c r="O33" s="1210" t="s">
        <v>399</v>
      </c>
      <c r="Q33" s="1236">
        <v>0.5</v>
      </c>
      <c r="T33" s="1209"/>
    </row>
    <row r="34" spans="6:20" s="1191" customFormat="1" x14ac:dyDescent="0.2">
      <c r="F34" s="1203"/>
      <c r="G34" s="1203"/>
      <c r="H34" s="1204" t="s">
        <v>390</v>
      </c>
      <c r="I34" s="1235" t="s">
        <v>28</v>
      </c>
      <c r="J34" s="1246"/>
      <c r="K34" s="1211">
        <f>M26</f>
        <v>31304.376014012712</v>
      </c>
      <c r="L34" s="1255">
        <v>200</v>
      </c>
      <c r="M34" s="1211">
        <f>K34*L34</f>
        <v>6260875.2028025426</v>
      </c>
      <c r="N34" s="1209"/>
      <c r="O34" s="1211"/>
      <c r="P34" s="1211"/>
      <c r="T34" s="1209"/>
    </row>
    <row r="35" spans="6:20" s="1191" customFormat="1" x14ac:dyDescent="0.2">
      <c r="F35" s="1203"/>
      <c r="G35" s="1203"/>
      <c r="H35" s="1204" t="s">
        <v>391</v>
      </c>
      <c r="I35" s="1235" t="s">
        <v>28</v>
      </c>
      <c r="J35" s="1246"/>
      <c r="K35" s="1211">
        <f>M27</f>
        <v>0</v>
      </c>
      <c r="L35" s="1255">
        <v>200</v>
      </c>
      <c r="M35" s="1211">
        <f>K35*L35</f>
        <v>0</v>
      </c>
      <c r="N35" s="1209"/>
      <c r="T35" s="1209"/>
    </row>
    <row r="36" spans="6:20" s="1191" customFormat="1" x14ac:dyDescent="0.2">
      <c r="F36" s="1203"/>
      <c r="G36" s="1203"/>
      <c r="H36" s="1204" t="s">
        <v>392</v>
      </c>
      <c r="I36" s="1235" t="s">
        <v>28</v>
      </c>
      <c r="J36" s="1246"/>
      <c r="K36" s="1211">
        <f>M28</f>
        <v>0</v>
      </c>
      <c r="L36" s="1255">
        <v>1250</v>
      </c>
      <c r="M36" s="1211">
        <f>K36*L36</f>
        <v>0</v>
      </c>
      <c r="N36" s="1209"/>
      <c r="T36" s="1209"/>
    </row>
    <row r="37" spans="6:20" s="1191" customFormat="1" x14ac:dyDescent="0.2">
      <c r="F37" s="1203"/>
      <c r="G37" s="1203"/>
      <c r="H37" s="1204" t="s">
        <v>393</v>
      </c>
      <c r="I37" s="1235" t="s">
        <v>28</v>
      </c>
      <c r="J37" s="1246"/>
      <c r="K37" s="1244"/>
      <c r="L37" s="1255">
        <v>450</v>
      </c>
      <c r="M37" s="1211">
        <f>K37*L37</f>
        <v>0</v>
      </c>
      <c r="N37" s="1209"/>
      <c r="T37" s="1209"/>
    </row>
    <row r="38" spans="6:20" s="1191" customFormat="1" x14ac:dyDescent="0.2">
      <c r="F38" s="1203"/>
      <c r="G38" s="1203"/>
      <c r="H38" s="1212" t="s">
        <v>400</v>
      </c>
      <c r="I38" s="1235" t="s">
        <v>28</v>
      </c>
      <c r="J38" s="1246"/>
      <c r="K38" s="1256">
        <f>SUM(K33:K37)</f>
        <v>32623.38062134471</v>
      </c>
      <c r="L38" s="1204"/>
      <c r="M38" s="1256">
        <f>SUM(M33:M37)</f>
        <v>6524676.1242689416</v>
      </c>
      <c r="N38" s="1209"/>
      <c r="T38" s="1209"/>
    </row>
    <row r="39" spans="6:20" s="1191" customFormat="1" x14ac:dyDescent="0.2">
      <c r="F39" s="1203"/>
      <c r="G39" s="1203"/>
      <c r="H39" s="1212"/>
      <c r="I39" s="1235"/>
      <c r="J39" s="1253"/>
      <c r="K39" s="1204"/>
      <c r="L39" s="1204"/>
      <c r="M39" s="1192"/>
      <c r="N39" s="1209"/>
      <c r="T39" s="1209"/>
    </row>
    <row r="40" spans="6:20" s="1191" customFormat="1" x14ac:dyDescent="0.2">
      <c r="F40" s="1203"/>
      <c r="G40" s="1203"/>
      <c r="H40" s="1220" t="s">
        <v>40</v>
      </c>
      <c r="I40" s="1243"/>
      <c r="J40" s="1192"/>
      <c r="K40" s="1192"/>
      <c r="L40" s="1216"/>
      <c r="M40" s="1192"/>
      <c r="N40" s="1209"/>
      <c r="O40" s="1210" t="s">
        <v>42</v>
      </c>
      <c r="P40" s="1211"/>
      <c r="T40" s="1209"/>
    </row>
    <row r="41" spans="6:20" s="1191" customFormat="1" x14ac:dyDescent="0.2">
      <c r="F41" s="1203"/>
      <c r="G41" s="1203"/>
      <c r="H41" s="1204" t="s">
        <v>401</v>
      </c>
      <c r="I41" s="1235" t="s">
        <v>28</v>
      </c>
      <c r="J41" s="1257">
        <v>0.99</v>
      </c>
      <c r="K41" s="1192"/>
      <c r="L41" s="1216"/>
      <c r="M41" s="1192"/>
      <c r="N41" s="1209"/>
      <c r="O41" s="1210"/>
      <c r="P41" s="1211"/>
      <c r="T41" s="1209"/>
    </row>
    <row r="42" spans="6:20" s="1191" customFormat="1" x14ac:dyDescent="0.2">
      <c r="F42" s="1203"/>
      <c r="G42" s="1203"/>
      <c r="H42" s="1204" t="s">
        <v>41</v>
      </c>
      <c r="I42" s="1235" t="s">
        <v>28</v>
      </c>
      <c r="J42" s="1257">
        <v>0.89</v>
      </c>
      <c r="K42" s="1192"/>
      <c r="L42" s="1216"/>
      <c r="M42" s="1192"/>
      <c r="N42" s="1209"/>
      <c r="O42" s="1211"/>
      <c r="P42" s="1211"/>
      <c r="T42" s="1209"/>
    </row>
    <row r="43" spans="6:20" s="1191" customFormat="1" x14ac:dyDescent="0.2">
      <c r="F43" s="1203"/>
      <c r="G43" s="1203"/>
      <c r="H43" s="1204" t="s">
        <v>43</v>
      </c>
      <c r="I43" s="1235" t="s">
        <v>28</v>
      </c>
      <c r="J43" s="1257">
        <v>0.98499999999999999</v>
      </c>
      <c r="K43" s="1192"/>
      <c r="L43" s="1216"/>
      <c r="M43" s="1192"/>
      <c r="N43" s="1209"/>
      <c r="O43" s="1211"/>
      <c r="P43" s="1211"/>
      <c r="T43" s="1209"/>
    </row>
    <row r="44" spans="6:20" s="1191" customFormat="1" x14ac:dyDescent="0.2">
      <c r="F44" s="1203"/>
      <c r="G44" s="1203"/>
      <c r="H44" s="1212" t="s">
        <v>44</v>
      </c>
      <c r="I44" s="1245" t="s">
        <v>28</v>
      </c>
      <c r="J44" s="1258">
        <f>J43*J42*J41</f>
        <v>0.86788350000000003</v>
      </c>
      <c r="K44" s="1192"/>
      <c r="L44" s="1216"/>
      <c r="M44" s="1192"/>
      <c r="N44" s="1209"/>
      <c r="O44" s="1211"/>
      <c r="P44" s="1211"/>
      <c r="T44" s="1209"/>
    </row>
    <row r="45" spans="6:20" s="1191" customFormat="1" x14ac:dyDescent="0.2">
      <c r="F45" s="1203"/>
      <c r="G45" s="1203"/>
      <c r="H45" s="1204"/>
      <c r="I45" s="1235"/>
      <c r="J45" s="1259"/>
      <c r="K45" s="1192"/>
      <c r="L45" s="1216"/>
      <c r="M45" s="1192"/>
      <c r="N45" s="1209"/>
      <c r="O45" s="1211"/>
      <c r="P45" s="1211"/>
      <c r="T45" s="1209"/>
    </row>
    <row r="46" spans="6:20" s="1191" customFormat="1" x14ac:dyDescent="0.2">
      <c r="F46" s="1203"/>
      <c r="G46" s="1203"/>
      <c r="H46" s="1220" t="s">
        <v>45</v>
      </c>
      <c r="I46" s="1235"/>
      <c r="J46" s="1259"/>
      <c r="K46" s="1192"/>
      <c r="L46" s="1216"/>
      <c r="M46" s="1192"/>
      <c r="N46" s="1209"/>
      <c r="O46" s="1211"/>
      <c r="P46" s="1211"/>
      <c r="Q46" s="1211"/>
      <c r="R46" s="1211"/>
      <c r="S46" s="1211"/>
      <c r="T46" s="1209"/>
    </row>
    <row r="47" spans="6:20" s="1191" customFormat="1" x14ac:dyDescent="0.2">
      <c r="F47" s="1203"/>
      <c r="G47" s="1203"/>
      <c r="H47" s="1204" t="s">
        <v>46</v>
      </c>
      <c r="I47" s="1235" t="s">
        <v>47</v>
      </c>
      <c r="J47" s="1260">
        <v>0.78900000000000003</v>
      </c>
      <c r="K47" s="1192"/>
      <c r="L47" s="1216"/>
      <c r="M47" s="1192"/>
      <c r="N47" s="1209"/>
      <c r="O47" s="1211"/>
      <c r="P47" s="1211"/>
      <c r="Q47" s="1211"/>
      <c r="R47" s="1211"/>
      <c r="S47" s="1211"/>
      <c r="T47" s="1209"/>
    </row>
    <row r="48" spans="6:20" s="1191" customFormat="1" x14ac:dyDescent="0.2">
      <c r="F48" s="1203"/>
      <c r="G48" s="1203"/>
      <c r="H48" s="1204" t="s">
        <v>402</v>
      </c>
      <c r="I48" s="1235" t="s">
        <v>28</v>
      </c>
      <c r="J48" s="1261">
        <v>1.1100000000000001</v>
      </c>
      <c r="K48" s="1262"/>
      <c r="L48" s="1216"/>
      <c r="M48" s="1192"/>
      <c r="N48" s="1209"/>
      <c r="O48" s="1211"/>
      <c r="P48" s="1211"/>
      <c r="Q48" s="1211"/>
      <c r="R48" s="1211"/>
      <c r="S48" s="1211"/>
      <c r="T48" s="1209"/>
    </row>
    <row r="49" spans="6:20" s="1191" customFormat="1" x14ac:dyDescent="0.2">
      <c r="F49" s="1203"/>
      <c r="G49" s="1203"/>
      <c r="H49" s="1204" t="s">
        <v>48</v>
      </c>
      <c r="I49" s="1235" t="s">
        <v>28</v>
      </c>
      <c r="J49" s="1263">
        <v>0.51</v>
      </c>
      <c r="K49" s="1264"/>
      <c r="L49" s="1216"/>
      <c r="M49" s="1192"/>
      <c r="N49" s="1209"/>
      <c r="O49" s="1211"/>
      <c r="P49" s="1211"/>
      <c r="Q49" s="1211"/>
      <c r="R49" s="1211"/>
      <c r="S49" s="1211"/>
      <c r="T49" s="1209"/>
    </row>
    <row r="50" spans="6:20" s="1191" customFormat="1" x14ac:dyDescent="0.2">
      <c r="F50" s="1192"/>
      <c r="G50" s="1203"/>
      <c r="H50" s="1204"/>
      <c r="I50" s="1235"/>
      <c r="J50" s="1235"/>
      <c r="K50" s="1192"/>
      <c r="L50" s="1216"/>
      <c r="M50" s="1192"/>
      <c r="N50" s="1209"/>
      <c r="O50" s="1211"/>
      <c r="P50" s="1211"/>
      <c r="Q50" s="1211"/>
      <c r="R50" s="1211"/>
      <c r="S50" s="1211"/>
      <c r="T50" s="1209"/>
    </row>
    <row r="51" spans="6:20" s="1191" customFormat="1" x14ac:dyDescent="0.2">
      <c r="F51" s="1192"/>
      <c r="G51" s="1203"/>
      <c r="H51" s="1220" t="s">
        <v>67</v>
      </c>
      <c r="I51" s="1245" t="s">
        <v>68</v>
      </c>
      <c r="J51" s="1265">
        <f>J21*J47/1000/J44/J49/J48</f>
        <v>478.23540485969392</v>
      </c>
      <c r="K51" s="1192"/>
      <c r="L51" s="1216"/>
      <c r="M51" s="1192"/>
      <c r="N51" s="1209"/>
      <c r="O51" s="1211"/>
      <c r="P51" s="1211"/>
      <c r="Q51" s="1211"/>
      <c r="R51" s="1211"/>
      <c r="S51" s="1211"/>
      <c r="T51" s="1209"/>
    </row>
    <row r="52" spans="6:20" s="1191" customFormat="1" x14ac:dyDescent="0.2">
      <c r="F52" s="1192"/>
      <c r="G52" s="1203"/>
      <c r="H52" s="1220"/>
      <c r="I52" s="1245"/>
      <c r="J52" s="1265"/>
      <c r="K52" s="1192"/>
      <c r="L52" s="1216"/>
      <c r="M52" s="1192"/>
      <c r="N52" s="1209"/>
      <c r="O52" s="1211"/>
      <c r="P52" s="1211"/>
      <c r="Q52" s="1211"/>
      <c r="R52" s="1211"/>
      <c r="S52" s="1211"/>
      <c r="T52" s="1209"/>
    </row>
    <row r="53" spans="6:20" s="1191" customFormat="1" x14ac:dyDescent="0.2">
      <c r="F53" s="1192"/>
      <c r="G53" s="1203"/>
      <c r="H53" s="1266" t="s">
        <v>403</v>
      </c>
      <c r="I53" s="1219"/>
      <c r="J53" s="1214"/>
      <c r="K53" s="1214"/>
      <c r="L53" s="1216"/>
      <c r="M53" s="1192"/>
      <c r="N53" s="1209"/>
      <c r="O53" s="1211"/>
      <c r="P53" s="1211"/>
      <c r="Q53" s="1211"/>
      <c r="R53" s="1211"/>
      <c r="S53" s="1211"/>
      <c r="T53" s="1209"/>
    </row>
    <row r="54" spans="6:20" s="1191" customFormat="1" x14ac:dyDescent="0.2">
      <c r="F54" s="1192"/>
      <c r="G54" s="1203"/>
      <c r="H54" s="1267"/>
      <c r="I54" s="1268" t="s">
        <v>404</v>
      </c>
      <c r="J54" s="1269"/>
      <c r="K54" s="1214"/>
      <c r="L54" s="1216"/>
      <c r="M54" s="1192"/>
      <c r="N54" s="1209"/>
      <c r="O54" s="1211"/>
      <c r="P54" s="1211"/>
      <c r="Q54" s="1211"/>
      <c r="R54" s="1211"/>
      <c r="S54" s="1211"/>
      <c r="T54" s="1209"/>
    </row>
    <row r="55" spans="6:20" s="1191" customFormat="1" x14ac:dyDescent="0.2">
      <c r="F55" s="1192"/>
      <c r="G55" s="1203"/>
      <c r="H55" s="1204"/>
      <c r="I55" s="1235"/>
      <c r="J55" s="1235"/>
      <c r="K55" s="1192"/>
      <c r="L55" s="1216"/>
      <c r="M55" s="1192"/>
      <c r="N55" s="1209"/>
      <c r="O55" s="1211"/>
      <c r="P55" s="1211"/>
      <c r="Q55" s="1211"/>
      <c r="R55" s="1211"/>
      <c r="S55" s="1211"/>
      <c r="T55" s="1209"/>
    </row>
    <row r="56" spans="6:20" s="1191" customFormat="1" ht="25.5" x14ac:dyDescent="0.2">
      <c r="F56" s="1192"/>
      <c r="G56" s="1203"/>
      <c r="H56" s="1220" t="s">
        <v>405</v>
      </c>
      <c r="I56" s="1235"/>
      <c r="J56" s="1270" t="s">
        <v>52</v>
      </c>
      <c r="K56" s="1271" t="s">
        <v>406</v>
      </c>
      <c r="L56" s="1247" t="s">
        <v>407</v>
      </c>
      <c r="M56" s="1247" t="s">
        <v>408</v>
      </c>
      <c r="N56" s="1209"/>
      <c r="O56" s="1211"/>
      <c r="P56" s="1211"/>
      <c r="Q56" s="1211"/>
      <c r="R56" s="1211"/>
      <c r="S56" s="1211"/>
      <c r="T56" s="1209"/>
    </row>
    <row r="57" spans="6:20" s="1191" customFormat="1" x14ac:dyDescent="0.2">
      <c r="F57" s="1192"/>
      <c r="G57" s="1203"/>
      <c r="H57" s="1235" t="str">
        <f t="shared" ref="H57:H62" si="1">H5</f>
        <v>Sorgum</v>
      </c>
      <c r="I57" s="1235" t="s">
        <v>54</v>
      </c>
      <c r="J57" s="1263">
        <v>0.1</v>
      </c>
      <c r="K57" s="1211">
        <f t="shared" ref="K57:K62" si="2">J57*N5</f>
        <v>26380.09214663993</v>
      </c>
      <c r="L57" s="1272">
        <v>0.1</v>
      </c>
      <c r="M57" s="1211">
        <f t="shared" ref="M57:M62" si="3">K57/(1-L57)</f>
        <v>29311.213496266588</v>
      </c>
      <c r="N57" s="1209"/>
      <c r="O57" s="1211"/>
      <c r="P57" s="1211"/>
      <c r="Q57" s="1211"/>
      <c r="R57" s="1211"/>
      <c r="S57" s="1211"/>
      <c r="T57" s="1209"/>
    </row>
    <row r="58" spans="6:20" s="1191" customFormat="1" x14ac:dyDescent="0.2">
      <c r="F58" s="1192"/>
      <c r="G58" s="1203"/>
      <c r="H58" s="1235">
        <f t="shared" si="1"/>
        <v>0</v>
      </c>
      <c r="I58" s="1235" t="s">
        <v>54</v>
      </c>
      <c r="J58" s="1263">
        <v>7.0000000000000007E-2</v>
      </c>
      <c r="K58" s="1211">
        <f t="shared" si="2"/>
        <v>0</v>
      </c>
      <c r="L58" s="1272">
        <v>0.1</v>
      </c>
      <c r="M58" s="1211">
        <f t="shared" si="3"/>
        <v>0</v>
      </c>
      <c r="N58" s="1209"/>
      <c r="O58" s="1211"/>
      <c r="P58" s="1211"/>
      <c r="Q58" s="1211"/>
      <c r="R58" s="1211"/>
      <c r="S58" s="1211"/>
      <c r="T58" s="1209"/>
    </row>
    <row r="59" spans="6:20" s="1191" customFormat="1" x14ac:dyDescent="0.2">
      <c r="F59" s="1192"/>
      <c r="G59" s="1203"/>
      <c r="H59" s="1235">
        <f t="shared" si="1"/>
        <v>0</v>
      </c>
      <c r="I59" s="1235" t="s">
        <v>54</v>
      </c>
      <c r="J59" s="1263">
        <v>7.0000000000000007E-2</v>
      </c>
      <c r="K59" s="1211">
        <f t="shared" si="2"/>
        <v>0</v>
      </c>
      <c r="L59" s="1272">
        <v>0.1</v>
      </c>
      <c r="M59" s="1211">
        <f t="shared" si="3"/>
        <v>0</v>
      </c>
      <c r="N59" s="1209"/>
      <c r="O59" s="1211"/>
      <c r="P59" s="1211"/>
      <c r="Q59" s="1211"/>
      <c r="R59" s="1211"/>
      <c r="S59" s="1211"/>
      <c r="T59" s="1209"/>
    </row>
    <row r="60" spans="6:20" s="1191" customFormat="1" x14ac:dyDescent="0.2">
      <c r="F60" s="1192"/>
      <c r="G60" s="1203"/>
      <c r="H60" s="1235">
        <f t="shared" si="1"/>
        <v>0</v>
      </c>
      <c r="I60" s="1235" t="s">
        <v>54</v>
      </c>
      <c r="J60" s="1263">
        <v>7.0000000000000007E-2</v>
      </c>
      <c r="K60" s="1211">
        <f t="shared" si="2"/>
        <v>0</v>
      </c>
      <c r="L60" s="1272">
        <v>0.1</v>
      </c>
      <c r="M60" s="1211">
        <f t="shared" si="3"/>
        <v>0</v>
      </c>
      <c r="N60" s="1209"/>
      <c r="O60" s="1211"/>
      <c r="P60" s="1211"/>
      <c r="Q60" s="1211"/>
      <c r="R60" s="1211"/>
      <c r="S60" s="1211"/>
      <c r="T60" s="1209"/>
    </row>
    <row r="61" spans="6:20" s="1191" customFormat="1" x14ac:dyDescent="0.2">
      <c r="F61" s="1192"/>
      <c r="G61" s="1203"/>
      <c r="H61" s="1235">
        <f t="shared" si="1"/>
        <v>0</v>
      </c>
      <c r="I61" s="1235" t="s">
        <v>54</v>
      </c>
      <c r="J61" s="1263">
        <v>7.0000000000000007E-2</v>
      </c>
      <c r="K61" s="1211">
        <f t="shared" si="2"/>
        <v>0</v>
      </c>
      <c r="L61" s="1272">
        <v>0.1</v>
      </c>
      <c r="M61" s="1211">
        <f t="shared" si="3"/>
        <v>0</v>
      </c>
      <c r="N61" s="1209"/>
      <c r="O61" s="1211"/>
      <c r="P61" s="1211"/>
      <c r="Q61" s="1211"/>
      <c r="R61" s="1211"/>
      <c r="S61" s="1211"/>
      <c r="T61" s="1209"/>
    </row>
    <row r="62" spans="6:20" s="1191" customFormat="1" x14ac:dyDescent="0.2">
      <c r="F62" s="1192"/>
      <c r="G62" s="1203"/>
      <c r="H62" s="1235">
        <f t="shared" si="1"/>
        <v>0</v>
      </c>
      <c r="I62" s="1235" t="s">
        <v>54</v>
      </c>
      <c r="J62" s="1263">
        <v>7.0000000000000007E-2</v>
      </c>
      <c r="K62" s="1211">
        <f t="shared" si="2"/>
        <v>0</v>
      </c>
      <c r="L62" s="1272">
        <v>0.1</v>
      </c>
      <c r="M62" s="1211">
        <f t="shared" si="3"/>
        <v>0</v>
      </c>
      <c r="N62" s="1209"/>
      <c r="O62" s="1211"/>
      <c r="P62" s="1211"/>
      <c r="Q62" s="1211"/>
      <c r="R62" s="1211"/>
      <c r="S62" s="1211"/>
      <c r="T62" s="1209"/>
    </row>
    <row r="63" spans="6:20" s="1191" customFormat="1" x14ac:dyDescent="0.2">
      <c r="F63" s="1192"/>
      <c r="G63" s="1203"/>
      <c r="H63" s="1212" t="s">
        <v>303</v>
      </c>
      <c r="I63" s="1235" t="s">
        <v>54</v>
      </c>
      <c r="J63" s="1270"/>
      <c r="K63" s="1273">
        <f>SUM(K57:K62)</f>
        <v>26380.09214663993</v>
      </c>
      <c r="L63" s="1216"/>
      <c r="M63" s="1273">
        <f>SUM(M57:M62)</f>
        <v>29311.213496266588</v>
      </c>
      <c r="N63" s="1209"/>
      <c r="O63" s="1211"/>
      <c r="P63" s="1211"/>
      <c r="Q63" s="1211"/>
      <c r="R63" s="1211"/>
      <c r="S63" s="1211"/>
      <c r="T63" s="1209"/>
    </row>
    <row r="64" spans="6:20" s="1191" customFormat="1" x14ac:dyDescent="0.2">
      <c r="F64" s="1192"/>
      <c r="G64" s="1203"/>
      <c r="H64" s="1212"/>
      <c r="I64" s="1235"/>
      <c r="J64" s="1270"/>
      <c r="K64" s="1265"/>
      <c r="L64" s="1216"/>
      <c r="M64" s="1265"/>
      <c r="N64" s="1209"/>
      <c r="O64" s="1211"/>
      <c r="P64" s="1211"/>
      <c r="Q64" s="1211"/>
      <c r="R64" s="1211"/>
      <c r="S64" s="1211"/>
      <c r="T64" s="1209"/>
    </row>
    <row r="65" spans="1:20" s="1191" customFormat="1" x14ac:dyDescent="0.2">
      <c r="F65" s="1192"/>
      <c r="G65" s="1203"/>
      <c r="H65" s="1245"/>
      <c r="I65" s="1235"/>
      <c r="J65" s="1270"/>
      <c r="K65" s="1265"/>
      <c r="L65" s="1233" t="s">
        <v>398</v>
      </c>
      <c r="M65" s="1232" t="s">
        <v>23</v>
      </c>
      <c r="N65" s="1209"/>
      <c r="O65" s="1211"/>
      <c r="P65" s="1211"/>
      <c r="Q65" s="1211"/>
      <c r="R65" s="1211"/>
      <c r="S65" s="1211"/>
      <c r="T65" s="1209"/>
    </row>
    <row r="66" spans="1:20" s="1191" customFormat="1" x14ac:dyDescent="0.2">
      <c r="F66" s="1192"/>
      <c r="G66" s="1203"/>
      <c r="H66" s="1266" t="s">
        <v>409</v>
      </c>
      <c r="I66" s="1245"/>
      <c r="J66" s="1220"/>
      <c r="K66" s="1238">
        <f>M63</f>
        <v>29311.213496266588</v>
      </c>
      <c r="L66" s="1274">
        <v>300</v>
      </c>
      <c r="M66" s="1238">
        <f>K66*L66</f>
        <v>8793364.0488799755</v>
      </c>
      <c r="N66" s="1209"/>
      <c r="O66" s="1210" t="s">
        <v>66</v>
      </c>
      <c r="P66" s="1211"/>
      <c r="Q66" s="1211"/>
      <c r="R66" s="1211"/>
      <c r="S66" s="1211"/>
      <c r="T66" s="1209"/>
    </row>
    <row r="67" spans="1:20" s="1191" customFormat="1" x14ac:dyDescent="0.2">
      <c r="F67" s="1107"/>
      <c r="G67" s="1203"/>
      <c r="H67" s="1192"/>
      <c r="I67" s="1243"/>
      <c r="J67" s="1192"/>
      <c r="K67" s="1192"/>
      <c r="L67" s="1216"/>
      <c r="M67" s="1192"/>
      <c r="N67" s="1209"/>
      <c r="O67" s="1211"/>
      <c r="P67" s="1211"/>
      <c r="Q67" s="1211"/>
      <c r="R67" s="1211"/>
      <c r="S67" s="1211"/>
      <c r="T67" s="1209"/>
    </row>
    <row r="68" spans="1:20" s="1191" customFormat="1" ht="25.5" x14ac:dyDescent="0.2">
      <c r="F68" s="1107"/>
      <c r="G68" s="1196" t="s">
        <v>69</v>
      </c>
      <c r="H68" s="1275" t="s">
        <v>70</v>
      </c>
      <c r="I68" s="1276" t="s">
        <v>20</v>
      </c>
      <c r="J68" s="1198" t="s">
        <v>71</v>
      </c>
      <c r="K68" s="1198" t="s">
        <v>72</v>
      </c>
      <c r="L68" s="1199" t="s">
        <v>73</v>
      </c>
      <c r="M68" s="1276" t="s">
        <v>74</v>
      </c>
      <c r="N68" s="1200"/>
      <c r="O68" s="1277"/>
      <c r="P68" s="1187"/>
      <c r="Q68" s="1187"/>
      <c r="R68" s="1187"/>
      <c r="S68" s="1187"/>
      <c r="T68" s="1202"/>
    </row>
    <row r="69" spans="1:20" s="1191" customFormat="1" x14ac:dyDescent="0.2">
      <c r="F69" s="1107"/>
      <c r="G69" s="1203"/>
      <c r="H69" s="1204" t="str">
        <f t="shared" ref="H69:H74" si="4">H5</f>
        <v>Sorgum</v>
      </c>
      <c r="I69" s="1235" t="s">
        <v>77</v>
      </c>
      <c r="J69" s="1278">
        <f t="shared" ref="J69:J74" si="5">N5/$J$15/1000</f>
        <v>2.6380092146639926</v>
      </c>
      <c r="K69" s="1211">
        <f>J69*$J$15*1000</f>
        <v>263800.92146639922</v>
      </c>
      <c r="L69" s="1279">
        <v>180</v>
      </c>
      <c r="M69" s="1244">
        <f>K69*L69</f>
        <v>47484165.863951862</v>
      </c>
      <c r="N69" s="1209"/>
      <c r="O69" s="1280"/>
      <c r="P69" s="1211"/>
      <c r="Q69" s="1211"/>
      <c r="R69" s="1211"/>
      <c r="S69" s="1211"/>
      <c r="T69" s="1209"/>
    </row>
    <row r="70" spans="1:20" s="1191" customFormat="1" x14ac:dyDescent="0.2">
      <c r="F70" s="1107"/>
      <c r="G70" s="1203"/>
      <c r="H70" s="1204">
        <f t="shared" si="4"/>
        <v>0</v>
      </c>
      <c r="I70" s="1235" t="s">
        <v>77</v>
      </c>
      <c r="J70" s="1278">
        <f t="shared" si="5"/>
        <v>0</v>
      </c>
      <c r="K70" s="1211">
        <f>J70*$J$15*1000</f>
        <v>0</v>
      </c>
      <c r="L70" s="1274"/>
      <c r="M70" s="1244">
        <f>K70*L70</f>
        <v>0</v>
      </c>
      <c r="N70" s="1209"/>
      <c r="O70" s="1280"/>
      <c r="P70" s="1211"/>
      <c r="Q70" s="1211"/>
      <c r="R70" s="1211"/>
      <c r="S70" s="1211"/>
      <c r="T70" s="1209"/>
    </row>
    <row r="71" spans="1:20" s="1191" customFormat="1" x14ac:dyDescent="0.2">
      <c r="F71" s="1107"/>
      <c r="G71" s="1203"/>
      <c r="H71" s="1204">
        <f t="shared" si="4"/>
        <v>0</v>
      </c>
      <c r="I71" s="1235" t="s">
        <v>77</v>
      </c>
      <c r="J71" s="1278">
        <f t="shared" si="5"/>
        <v>0</v>
      </c>
      <c r="K71" s="1211">
        <f>J71*$J$15*1000</f>
        <v>0</v>
      </c>
      <c r="L71" s="1274">
        <v>200</v>
      </c>
      <c r="M71" s="1244">
        <f>K71*L71</f>
        <v>0</v>
      </c>
      <c r="N71" s="1209"/>
      <c r="O71" s="1280"/>
      <c r="P71" s="1211"/>
      <c r="Q71" s="1211"/>
      <c r="R71" s="1211"/>
      <c r="S71" s="1211"/>
      <c r="T71" s="1209"/>
    </row>
    <row r="72" spans="1:20" s="1191" customFormat="1" x14ac:dyDescent="0.2">
      <c r="F72" s="1107"/>
      <c r="G72" s="1203"/>
      <c r="H72" s="1204">
        <f t="shared" si="4"/>
        <v>0</v>
      </c>
      <c r="I72" s="1235" t="s">
        <v>77</v>
      </c>
      <c r="J72" s="1278">
        <f t="shared" si="5"/>
        <v>0</v>
      </c>
      <c r="K72" s="1211">
        <f>J72*$J$15*1000</f>
        <v>0</v>
      </c>
      <c r="L72" s="1279"/>
      <c r="M72" s="1244">
        <f>K72*L72</f>
        <v>0</v>
      </c>
      <c r="N72" s="1209"/>
      <c r="O72" s="1280"/>
      <c r="P72" s="1211"/>
      <c r="Q72" s="1211"/>
      <c r="R72" s="1211"/>
      <c r="S72" s="1211"/>
      <c r="T72" s="1209"/>
    </row>
    <row r="73" spans="1:20" s="1191" customFormat="1" x14ac:dyDescent="0.2">
      <c r="F73" s="1107"/>
      <c r="G73" s="1203"/>
      <c r="H73" s="1204">
        <f t="shared" si="4"/>
        <v>0</v>
      </c>
      <c r="I73" s="1235" t="s">
        <v>77</v>
      </c>
      <c r="J73" s="1278">
        <f t="shared" si="5"/>
        <v>0</v>
      </c>
      <c r="K73" s="1211">
        <f>J73*$J$15*1000</f>
        <v>0</v>
      </c>
      <c r="L73" s="1279"/>
      <c r="M73" s="1244">
        <f>K73*L73</f>
        <v>0</v>
      </c>
      <c r="N73" s="1209"/>
      <c r="O73" s="1280"/>
      <c r="P73" s="1211"/>
      <c r="Q73" s="1265"/>
      <c r="R73" s="1211"/>
      <c r="S73" s="1211"/>
      <c r="T73" s="1209"/>
    </row>
    <row r="74" spans="1:20" s="1191" customFormat="1" x14ac:dyDescent="0.2">
      <c r="F74" s="1107"/>
      <c r="G74" s="1203"/>
      <c r="H74" s="1204">
        <f t="shared" si="4"/>
        <v>0</v>
      </c>
      <c r="I74" s="1235" t="s">
        <v>77</v>
      </c>
      <c r="J74" s="1278">
        <f t="shared" si="5"/>
        <v>0</v>
      </c>
      <c r="K74" s="1232"/>
      <c r="L74" s="1281">
        <v>165</v>
      </c>
      <c r="M74" s="1232"/>
      <c r="N74" s="1209"/>
      <c r="O74" s="1282"/>
      <c r="P74" s="1211"/>
      <c r="Q74" s="1211"/>
      <c r="R74" s="1211"/>
      <c r="S74" s="1211"/>
      <c r="T74" s="1209"/>
    </row>
    <row r="75" spans="1:20" s="1191" customFormat="1" x14ac:dyDescent="0.2">
      <c r="A75" s="1191" t="s">
        <v>703</v>
      </c>
      <c r="B75" s="1191" t="s">
        <v>285</v>
      </c>
      <c r="F75" s="1107"/>
      <c r="G75" s="1224"/>
      <c r="H75" s="1283" t="s">
        <v>410</v>
      </c>
      <c r="I75" s="1284"/>
      <c r="J75" s="1285"/>
      <c r="K75" s="1229"/>
      <c r="L75" s="1229"/>
      <c r="M75" s="1286">
        <f>SUM(M69:M74)</f>
        <v>47484165.863951862</v>
      </c>
      <c r="N75" s="1228"/>
      <c r="O75" s="1287"/>
      <c r="P75" s="1229"/>
      <c r="Q75" s="1229"/>
      <c r="R75" s="1229"/>
      <c r="S75" s="1229"/>
      <c r="T75" s="1228"/>
    </row>
    <row r="76" spans="1:20" s="1191" customFormat="1" x14ac:dyDescent="0.2">
      <c r="F76" s="1107"/>
      <c r="G76" s="1203"/>
      <c r="H76" s="1212"/>
      <c r="I76" s="1235"/>
      <c r="J76" s="1278"/>
      <c r="K76" s="1211"/>
      <c r="L76" s="1211"/>
      <c r="M76" s="1238"/>
      <c r="N76" s="1209"/>
      <c r="O76" s="1288"/>
      <c r="P76" s="1211"/>
      <c r="Q76" s="1211"/>
      <c r="R76" s="1211"/>
      <c r="S76" s="1211"/>
      <c r="T76" s="1209"/>
    </row>
    <row r="77" spans="1:20" s="1191" customFormat="1" ht="25.5" x14ac:dyDescent="0.2">
      <c r="F77" s="1203"/>
      <c r="G77" s="1230" t="s">
        <v>85</v>
      </c>
      <c r="H77" s="1231" t="s">
        <v>86</v>
      </c>
      <c r="I77" s="1232" t="s">
        <v>20</v>
      </c>
      <c r="J77" s="1254" t="s">
        <v>71</v>
      </c>
      <c r="K77" s="1254" t="s">
        <v>72</v>
      </c>
      <c r="L77" s="1289" t="s">
        <v>73</v>
      </c>
      <c r="M77" s="1232" t="s">
        <v>74</v>
      </c>
      <c r="N77" s="1209"/>
      <c r="O77" s="1290" t="s">
        <v>76</v>
      </c>
      <c r="P77" s="1211"/>
      <c r="Q77" s="1211"/>
      <c r="R77" s="1211"/>
      <c r="S77" s="1211"/>
      <c r="T77" s="1209"/>
    </row>
    <row r="78" spans="1:20" s="1191" customFormat="1" x14ac:dyDescent="0.2">
      <c r="F78" s="1203"/>
      <c r="G78" s="1230"/>
      <c r="H78" s="1220" t="s">
        <v>411</v>
      </c>
      <c r="I78" s="1232"/>
      <c r="J78" s="1254"/>
      <c r="K78" s="1254"/>
      <c r="L78" s="1289"/>
      <c r="M78" s="1232"/>
      <c r="N78" s="1209"/>
      <c r="O78" s="1290"/>
      <c r="P78" s="1211"/>
      <c r="Q78" s="1211"/>
      <c r="R78" s="1211"/>
      <c r="S78" s="1211"/>
      <c r="T78" s="1209"/>
    </row>
    <row r="79" spans="1:20" s="1191" customFormat="1" x14ac:dyDescent="0.2">
      <c r="F79" s="1203"/>
      <c r="G79" s="1230"/>
      <c r="H79" s="1204" t="s">
        <v>412</v>
      </c>
      <c r="I79" s="1235" t="s">
        <v>413</v>
      </c>
      <c r="J79" s="1291">
        <v>1E-3</v>
      </c>
      <c r="K79" s="1211">
        <f>J79*N11</f>
        <v>263.8009214663993</v>
      </c>
      <c r="L79" s="1279">
        <v>1000</v>
      </c>
      <c r="M79" s="1211">
        <f>L79*K79</f>
        <v>263800.92146639928</v>
      </c>
      <c r="N79" s="1209"/>
      <c r="O79" s="1210"/>
      <c r="P79" s="1211"/>
      <c r="Q79" s="1211"/>
      <c r="R79" s="1211"/>
      <c r="S79" s="1211"/>
      <c r="T79" s="1209"/>
    </row>
    <row r="80" spans="1:20" s="1191" customFormat="1" x14ac:dyDescent="0.2">
      <c r="F80" s="1203"/>
      <c r="G80" s="1230"/>
      <c r="H80" s="1204" t="s">
        <v>414</v>
      </c>
      <c r="I80" s="1235" t="s">
        <v>413</v>
      </c>
      <c r="J80" s="1292">
        <v>2.5000000000000001E-4</v>
      </c>
      <c r="K80" s="1211">
        <f>J80*N11</f>
        <v>65.950230366599826</v>
      </c>
      <c r="L80" s="1279">
        <v>1000</v>
      </c>
      <c r="M80" s="1211">
        <f>L80*K80</f>
        <v>65950.230366599819</v>
      </c>
      <c r="N80" s="1209"/>
      <c r="O80" s="1210"/>
      <c r="P80" s="1211"/>
      <c r="Q80" s="1211"/>
      <c r="R80" s="1211"/>
      <c r="S80" s="1211"/>
      <c r="T80" s="1209"/>
    </row>
    <row r="81" spans="6:20" s="1191" customFormat="1" x14ac:dyDescent="0.2">
      <c r="F81" s="1203"/>
      <c r="G81" s="1230"/>
      <c r="H81" s="1231"/>
      <c r="I81" s="1232"/>
      <c r="J81" s="1254"/>
      <c r="K81" s="1254"/>
      <c r="L81" s="1289"/>
      <c r="M81" s="1232"/>
      <c r="N81" s="1209"/>
      <c r="O81" s="1290"/>
      <c r="P81" s="1211"/>
      <c r="Q81" s="1211"/>
      <c r="R81" s="1211"/>
      <c r="S81" s="1211"/>
      <c r="T81" s="1209"/>
    </row>
    <row r="82" spans="6:20" s="1191" customFormat="1" x14ac:dyDescent="0.2">
      <c r="F82" s="1203"/>
      <c r="G82" s="1230"/>
      <c r="H82" s="1220" t="s">
        <v>415</v>
      </c>
      <c r="I82" s="1232"/>
      <c r="J82" s="1254"/>
      <c r="K82" s="1254"/>
      <c r="L82" s="1289"/>
      <c r="M82" s="1232"/>
      <c r="N82" s="1209"/>
      <c r="O82" s="1290"/>
      <c r="P82" s="1211"/>
      <c r="Q82" s="1211"/>
      <c r="R82" s="1211"/>
      <c r="S82" s="1211"/>
      <c r="T82" s="1209"/>
    </row>
    <row r="83" spans="6:20" s="1191" customFormat="1" x14ac:dyDescent="0.2">
      <c r="F83" s="1203"/>
      <c r="G83" s="1230"/>
      <c r="H83" s="1204" t="s">
        <v>416</v>
      </c>
      <c r="I83" s="1235" t="s">
        <v>110</v>
      </c>
      <c r="J83" s="1293">
        <f>0.02%*N11/J15</f>
        <v>0.52760184293279855</v>
      </c>
      <c r="K83" s="1211">
        <f>J83*$J$15*1000</f>
        <v>52760.184293279854</v>
      </c>
      <c r="L83" s="1279">
        <v>10</v>
      </c>
      <c r="M83" s="1244">
        <f>K83*L83</f>
        <v>527601.84293279855</v>
      </c>
      <c r="N83" s="1209"/>
      <c r="O83" s="1210" t="s">
        <v>417</v>
      </c>
      <c r="P83" s="1211"/>
      <c r="Q83" s="1211"/>
      <c r="R83" s="1211"/>
      <c r="S83" s="1211"/>
      <c r="T83" s="1209"/>
    </row>
    <row r="84" spans="6:20" s="1191" customFormat="1" x14ac:dyDescent="0.2">
      <c r="F84" s="1203"/>
      <c r="G84" s="1230"/>
      <c r="H84" s="1204" t="s">
        <v>418</v>
      </c>
      <c r="I84" s="1235" t="s">
        <v>110</v>
      </c>
      <c r="J84" s="1260">
        <f>0.03%*N11/J15</f>
        <v>0.79140276439919777</v>
      </c>
      <c r="K84" s="1211">
        <f>J84*$J$15*1000</f>
        <v>79140.276439919777</v>
      </c>
      <c r="L84" s="1279">
        <v>10</v>
      </c>
      <c r="M84" s="1244">
        <f>K84*L84</f>
        <v>791402.76439919777</v>
      </c>
      <c r="N84" s="1209"/>
      <c r="O84" s="1210" t="s">
        <v>419</v>
      </c>
      <c r="P84" s="1211"/>
      <c r="Q84" s="1211"/>
      <c r="R84" s="1211"/>
      <c r="S84" s="1211"/>
      <c r="T84" s="1209"/>
    </row>
    <row r="85" spans="6:20" s="1191" customFormat="1" x14ac:dyDescent="0.2">
      <c r="F85" s="1203"/>
      <c r="G85" s="1230"/>
      <c r="H85" s="1231"/>
      <c r="I85" s="1232"/>
      <c r="J85" s="1254"/>
      <c r="K85" s="1254"/>
      <c r="L85" s="1289"/>
      <c r="M85" s="1232"/>
      <c r="N85" s="1209"/>
      <c r="O85" s="1290"/>
      <c r="P85" s="1211"/>
      <c r="Q85" s="1211"/>
      <c r="R85" s="1211"/>
      <c r="S85" s="1211"/>
      <c r="T85" s="1209"/>
    </row>
    <row r="86" spans="6:20" s="1191" customFormat="1" x14ac:dyDescent="0.2">
      <c r="F86" s="1203"/>
      <c r="G86" s="1230"/>
      <c r="H86" s="1220" t="s">
        <v>420</v>
      </c>
      <c r="I86" s="1232"/>
      <c r="J86" s="1254"/>
      <c r="K86" s="1254"/>
      <c r="L86" s="1289"/>
      <c r="M86" s="1232"/>
      <c r="N86" s="1209"/>
      <c r="O86" s="1290"/>
      <c r="P86" s="1211"/>
      <c r="Q86" s="1211"/>
      <c r="R86" s="1211"/>
      <c r="S86" s="1211"/>
      <c r="T86" s="1209"/>
    </row>
    <row r="87" spans="6:20" s="1191" customFormat="1" x14ac:dyDescent="0.2">
      <c r="F87" s="1203"/>
      <c r="G87" s="1203"/>
      <c r="H87" s="1204" t="s">
        <v>88</v>
      </c>
      <c r="I87" s="1235" t="s">
        <v>89</v>
      </c>
      <c r="J87" s="1294">
        <v>0.8</v>
      </c>
      <c r="K87" s="1211">
        <f>J87*$J$15*1000</f>
        <v>80000</v>
      </c>
      <c r="L87" s="1279">
        <v>2</v>
      </c>
      <c r="M87" s="1244">
        <f t="shared" ref="M87:M95" si="6">K87*L87</f>
        <v>160000</v>
      </c>
      <c r="N87" s="1209"/>
      <c r="O87" s="1211"/>
      <c r="P87" s="1211"/>
      <c r="Q87" s="1211"/>
      <c r="R87" s="1211"/>
      <c r="S87" s="1211"/>
      <c r="T87" s="1209"/>
    </row>
    <row r="88" spans="6:20" s="1191" customFormat="1" x14ac:dyDescent="0.2">
      <c r="F88" s="1203"/>
      <c r="G88" s="1203"/>
      <c r="H88" s="1204" t="s">
        <v>90</v>
      </c>
      <c r="I88" s="1235" t="s">
        <v>89</v>
      </c>
      <c r="J88" s="1294">
        <v>3</v>
      </c>
      <c r="K88" s="1211">
        <f>J88*$J$15*1000</f>
        <v>300000</v>
      </c>
      <c r="L88" s="1279">
        <v>0.45</v>
      </c>
      <c r="M88" s="1244">
        <f t="shared" si="6"/>
        <v>135000</v>
      </c>
      <c r="N88" s="1209"/>
      <c r="O88" s="1211"/>
      <c r="P88" s="1211"/>
      <c r="Q88" s="1211"/>
      <c r="R88" s="1211"/>
      <c r="S88" s="1211"/>
      <c r="T88" s="1209"/>
    </row>
    <row r="89" spans="6:20" s="1191" customFormat="1" x14ac:dyDescent="0.2">
      <c r="F89" s="1203"/>
      <c r="G89" s="1203"/>
      <c r="H89" s="1204" t="s">
        <v>91</v>
      </c>
      <c r="I89" s="1235" t="s">
        <v>89</v>
      </c>
      <c r="J89" s="1294">
        <v>3</v>
      </c>
      <c r="K89" s="1211">
        <f>J89*$J$15*1000</f>
        <v>300000</v>
      </c>
      <c r="L89" s="1279">
        <v>0.25</v>
      </c>
      <c r="M89" s="1244">
        <f t="shared" si="6"/>
        <v>75000</v>
      </c>
      <c r="N89" s="1209"/>
      <c r="O89" s="1211"/>
      <c r="P89" s="1211"/>
      <c r="Q89" s="1211"/>
      <c r="R89" s="1211"/>
      <c r="S89" s="1211"/>
      <c r="T89" s="1209"/>
    </row>
    <row r="90" spans="6:20" s="1191" customFormat="1" x14ac:dyDescent="0.2">
      <c r="F90" s="1203"/>
      <c r="G90" s="1203"/>
      <c r="H90" s="1192" t="s">
        <v>88</v>
      </c>
      <c r="I90" s="1235" t="s">
        <v>89</v>
      </c>
      <c r="J90" s="1294">
        <v>0.5</v>
      </c>
      <c r="K90" s="1211">
        <f>J90*$J$15*1000</f>
        <v>50000</v>
      </c>
      <c r="L90" s="1279">
        <v>2</v>
      </c>
      <c r="M90" s="1244">
        <f t="shared" si="6"/>
        <v>100000</v>
      </c>
      <c r="N90" s="1209"/>
      <c r="O90" s="1210" t="s">
        <v>92</v>
      </c>
      <c r="P90" s="1211"/>
      <c r="Q90" s="1211"/>
      <c r="R90" s="1211"/>
      <c r="S90" s="1211"/>
      <c r="T90" s="1209"/>
    </row>
    <row r="91" spans="6:20" s="1191" customFormat="1" x14ac:dyDescent="0.2">
      <c r="F91" s="1203"/>
      <c r="G91" s="1203"/>
      <c r="H91" s="1204" t="s">
        <v>93</v>
      </c>
      <c r="I91" s="1235" t="s">
        <v>89</v>
      </c>
      <c r="J91" s="1294">
        <v>0.5</v>
      </c>
      <c r="K91" s="1211">
        <f>J91*$J$15*1000</f>
        <v>50000</v>
      </c>
      <c r="L91" s="1279">
        <v>1</v>
      </c>
      <c r="M91" s="1244">
        <f t="shared" si="6"/>
        <v>50000</v>
      </c>
      <c r="N91" s="1209"/>
      <c r="O91" s="1210" t="s">
        <v>94</v>
      </c>
      <c r="P91" s="1211"/>
      <c r="Q91" s="1211"/>
      <c r="R91" s="1211"/>
      <c r="S91" s="1211"/>
      <c r="T91" s="1209"/>
    </row>
    <row r="92" spans="6:20" s="1191" customFormat="1" x14ac:dyDescent="0.2">
      <c r="F92" s="1203"/>
      <c r="G92" s="1203"/>
      <c r="H92" s="1204" t="s">
        <v>95</v>
      </c>
      <c r="I92" s="1235" t="s">
        <v>96</v>
      </c>
      <c r="J92" s="1294">
        <v>300</v>
      </c>
      <c r="K92" s="1211">
        <f>J92*$J$17</f>
        <v>100740</v>
      </c>
      <c r="L92" s="1279">
        <v>0.65</v>
      </c>
      <c r="M92" s="1244">
        <f t="shared" si="6"/>
        <v>65481</v>
      </c>
      <c r="N92" s="1209"/>
      <c r="O92" s="1210" t="s">
        <v>97</v>
      </c>
      <c r="P92" s="1211"/>
      <c r="Q92" s="1211"/>
      <c r="R92" s="1211"/>
      <c r="S92" s="1211"/>
      <c r="T92" s="1209"/>
    </row>
    <row r="93" spans="6:20" s="1191" customFormat="1" x14ac:dyDescent="0.2">
      <c r="F93" s="1203"/>
      <c r="G93" s="1203"/>
      <c r="H93" s="1204" t="s">
        <v>98</v>
      </c>
      <c r="I93" s="1235" t="s">
        <v>96</v>
      </c>
      <c r="J93" s="1294">
        <v>50</v>
      </c>
      <c r="K93" s="1211">
        <f>J93*$J$17</f>
        <v>16790</v>
      </c>
      <c r="L93" s="1279">
        <v>0.65</v>
      </c>
      <c r="M93" s="1244">
        <f t="shared" si="6"/>
        <v>10913.5</v>
      </c>
      <c r="N93" s="1209"/>
      <c r="O93" s="1210" t="s">
        <v>99</v>
      </c>
      <c r="P93" s="1211"/>
      <c r="Q93" s="1211"/>
      <c r="R93" s="1211"/>
      <c r="S93" s="1211"/>
      <c r="T93" s="1209"/>
    </row>
    <row r="94" spans="6:20" s="1191" customFormat="1" x14ac:dyDescent="0.2">
      <c r="F94" s="1203"/>
      <c r="G94" s="1203"/>
      <c r="H94" s="1204" t="s">
        <v>100</v>
      </c>
      <c r="I94" s="1235" t="s">
        <v>101</v>
      </c>
      <c r="J94" s="1294">
        <v>50</v>
      </c>
      <c r="K94" s="1211">
        <f>Q94*J94</f>
        <v>1500</v>
      </c>
      <c r="L94" s="1279">
        <v>100</v>
      </c>
      <c r="M94" s="1244">
        <f t="shared" si="6"/>
        <v>150000</v>
      </c>
      <c r="N94" s="1209"/>
      <c r="O94" s="1210" t="s">
        <v>102</v>
      </c>
      <c r="P94" s="1211"/>
      <c r="Q94" s="1236">
        <v>30</v>
      </c>
      <c r="R94" s="1210" t="s">
        <v>103</v>
      </c>
      <c r="S94" s="1211"/>
      <c r="T94" s="1209"/>
    </row>
    <row r="95" spans="6:20" s="1191" customFormat="1" x14ac:dyDescent="0.2">
      <c r="F95" s="1203"/>
      <c r="G95" s="1203"/>
      <c r="H95" s="1204" t="s">
        <v>104</v>
      </c>
      <c r="I95" s="1235" t="s">
        <v>89</v>
      </c>
      <c r="J95" s="1294">
        <v>5</v>
      </c>
      <c r="K95" s="1211">
        <f>J95*$J$15*1000</f>
        <v>500000</v>
      </c>
      <c r="L95" s="1279">
        <v>1</v>
      </c>
      <c r="M95" s="1244">
        <f t="shared" si="6"/>
        <v>500000</v>
      </c>
      <c r="N95" s="1209"/>
      <c r="O95" s="1211"/>
      <c r="P95" s="1211"/>
      <c r="Q95" s="1211"/>
      <c r="R95" s="1211"/>
      <c r="S95" s="1211"/>
      <c r="T95" s="1209"/>
    </row>
    <row r="96" spans="6:20" s="1191" customFormat="1" x14ac:dyDescent="0.2">
      <c r="F96" s="1203"/>
      <c r="G96" s="1203"/>
      <c r="H96" s="1204"/>
      <c r="I96" s="1235"/>
      <c r="J96" s="1204"/>
      <c r="K96" s="1204"/>
      <c r="L96" s="1204"/>
      <c r="M96" s="1244"/>
      <c r="N96" s="1209"/>
      <c r="O96" s="1211"/>
      <c r="P96" s="1211"/>
      <c r="Q96" s="1211"/>
      <c r="R96" s="1211"/>
      <c r="S96" s="1211"/>
      <c r="T96" s="1209"/>
    </row>
    <row r="97" spans="1:26" x14ac:dyDescent="0.2">
      <c r="F97" s="1203"/>
      <c r="G97" s="1203"/>
      <c r="H97" s="1220" t="s">
        <v>105</v>
      </c>
      <c r="I97" s="1235"/>
      <c r="J97" s="1204"/>
      <c r="K97" s="1204"/>
      <c r="L97" s="1204"/>
      <c r="M97" s="1204"/>
      <c r="N97" s="1209"/>
      <c r="O97" s="1210" t="s">
        <v>106</v>
      </c>
      <c r="P97" s="1211"/>
      <c r="Q97" s="1211"/>
      <c r="R97" s="1211"/>
      <c r="S97" s="1211"/>
      <c r="T97" s="1209"/>
    </row>
    <row r="98" spans="1:26" x14ac:dyDescent="0.2">
      <c r="F98" s="1203"/>
      <c r="G98" s="1203"/>
      <c r="H98" s="1204" t="s">
        <v>107</v>
      </c>
      <c r="I98" s="1235" t="s">
        <v>89</v>
      </c>
      <c r="J98" s="1295">
        <v>0.6</v>
      </c>
      <c r="K98" s="1211">
        <f t="shared" ref="K98:K103" si="7">J98*$J$15*1000</f>
        <v>60000</v>
      </c>
      <c r="L98" s="1296">
        <v>1</v>
      </c>
      <c r="M98" s="1244">
        <f t="shared" ref="M98:M103" si="8">K98*L98</f>
        <v>60000</v>
      </c>
      <c r="N98" s="1209"/>
      <c r="O98" s="1210" t="s">
        <v>106</v>
      </c>
      <c r="P98" s="1211"/>
      <c r="Q98" s="1211"/>
      <c r="R98" s="1211"/>
      <c r="S98" s="1211"/>
      <c r="T98" s="1209"/>
    </row>
    <row r="99" spans="1:26" x14ac:dyDescent="0.2">
      <c r="F99" s="1203"/>
      <c r="G99" s="1203"/>
      <c r="H99" s="1204" t="s">
        <v>95</v>
      </c>
      <c r="I99" s="1235" t="s">
        <v>89</v>
      </c>
      <c r="J99" s="1294"/>
      <c r="K99" s="1211">
        <f t="shared" si="7"/>
        <v>0</v>
      </c>
      <c r="L99" s="1296">
        <v>0.65</v>
      </c>
      <c r="M99" s="1244">
        <f t="shared" si="8"/>
        <v>0</v>
      </c>
      <c r="N99" s="1209"/>
      <c r="O99" s="1210" t="s">
        <v>106</v>
      </c>
      <c r="P99" s="1211"/>
      <c r="Q99" s="1211"/>
      <c r="R99" s="1211"/>
      <c r="S99" s="1211"/>
      <c r="T99" s="1209"/>
    </row>
    <row r="100" spans="1:26" x14ac:dyDescent="0.2">
      <c r="F100" s="1203"/>
      <c r="G100" s="1203"/>
      <c r="H100" s="1204" t="s">
        <v>108</v>
      </c>
      <c r="I100" s="1235" t="s">
        <v>89</v>
      </c>
      <c r="J100" s="1295">
        <v>0.34</v>
      </c>
      <c r="K100" s="1211">
        <f t="shared" si="7"/>
        <v>34000</v>
      </c>
      <c r="L100" s="1296">
        <v>0.45</v>
      </c>
      <c r="M100" s="1244">
        <f t="shared" si="8"/>
        <v>15300</v>
      </c>
      <c r="N100" s="1209"/>
      <c r="O100" s="1210" t="s">
        <v>106</v>
      </c>
      <c r="P100" s="1211"/>
      <c r="Q100" s="1211"/>
      <c r="R100" s="1211"/>
      <c r="S100" s="1211"/>
      <c r="T100" s="1209"/>
    </row>
    <row r="101" spans="1:26" x14ac:dyDescent="0.2">
      <c r="F101" s="1203"/>
      <c r="G101" s="1203"/>
      <c r="H101" s="1204" t="s">
        <v>109</v>
      </c>
      <c r="I101" s="1235" t="s">
        <v>110</v>
      </c>
      <c r="J101" s="1295"/>
      <c r="K101" s="1211">
        <f t="shared" si="7"/>
        <v>0</v>
      </c>
      <c r="L101" s="1296">
        <v>1</v>
      </c>
      <c r="M101" s="1244">
        <f t="shared" si="8"/>
        <v>0</v>
      </c>
      <c r="N101" s="1209"/>
      <c r="O101" s="1210" t="s">
        <v>106</v>
      </c>
      <c r="P101" s="1211"/>
      <c r="Q101" s="1211"/>
      <c r="R101" s="1211"/>
      <c r="S101" s="1211"/>
      <c r="T101" s="1209"/>
    </row>
    <row r="102" spans="1:26" x14ac:dyDescent="0.2">
      <c r="F102" s="1203"/>
      <c r="G102" s="1203"/>
      <c r="H102" s="1204" t="s">
        <v>111</v>
      </c>
      <c r="I102" s="1235" t="s">
        <v>110</v>
      </c>
      <c r="J102" s="1296"/>
      <c r="K102" s="1211">
        <f t="shared" si="7"/>
        <v>0</v>
      </c>
      <c r="L102" s="1296">
        <v>2.5</v>
      </c>
      <c r="M102" s="1244">
        <f t="shared" si="8"/>
        <v>0</v>
      </c>
      <c r="N102" s="1209"/>
      <c r="O102" s="1210" t="s">
        <v>106</v>
      </c>
      <c r="P102" s="1211"/>
      <c r="Q102" s="1211"/>
      <c r="R102" s="1211"/>
      <c r="S102" s="1211"/>
      <c r="T102" s="1209"/>
    </row>
    <row r="103" spans="1:26" x14ac:dyDescent="0.2">
      <c r="F103" s="1203"/>
      <c r="G103" s="1203"/>
      <c r="H103" s="1204" t="s">
        <v>112</v>
      </c>
      <c r="I103" s="1235" t="s">
        <v>89</v>
      </c>
      <c r="J103" s="1296"/>
      <c r="K103" s="1211">
        <f t="shared" si="7"/>
        <v>0</v>
      </c>
      <c r="L103" s="1296">
        <v>2</v>
      </c>
      <c r="M103" s="1244">
        <f t="shared" si="8"/>
        <v>0</v>
      </c>
      <c r="N103" s="1209"/>
      <c r="O103" s="1211"/>
      <c r="P103" s="1211"/>
      <c r="Q103" s="1211"/>
      <c r="R103" s="1211"/>
      <c r="S103" s="1211"/>
      <c r="T103" s="1209"/>
    </row>
    <row r="104" spans="1:26" x14ac:dyDescent="0.2">
      <c r="F104" s="1203"/>
      <c r="G104" s="1203"/>
      <c r="H104" s="1204"/>
      <c r="I104" s="1235"/>
      <c r="J104" s="1296"/>
      <c r="K104" s="1211"/>
      <c r="L104" s="1204"/>
      <c r="M104" s="1204"/>
      <c r="N104" s="1209"/>
      <c r="O104" s="1211"/>
      <c r="P104" s="1211"/>
      <c r="Q104" s="1211"/>
      <c r="R104" s="1211"/>
      <c r="S104" s="1265"/>
      <c r="T104" s="1209"/>
    </row>
    <row r="105" spans="1:26" x14ac:dyDescent="0.2">
      <c r="F105" s="1203"/>
      <c r="G105" s="1203"/>
      <c r="H105" s="1220" t="s">
        <v>421</v>
      </c>
      <c r="I105" s="1243"/>
      <c r="J105" s="1192"/>
      <c r="K105" s="1192"/>
      <c r="L105" s="1216"/>
      <c r="M105" s="1204"/>
      <c r="N105" s="1209"/>
      <c r="O105" s="1265"/>
      <c r="P105" s="1265"/>
      <c r="Q105" s="1265"/>
      <c r="R105" s="1265"/>
      <c r="S105" s="1265"/>
      <c r="T105" s="1209"/>
    </row>
    <row r="106" spans="1:26" x14ac:dyDescent="0.2">
      <c r="F106" s="1203"/>
      <c r="G106" s="1203"/>
      <c r="H106" s="1204" t="s">
        <v>115</v>
      </c>
      <c r="I106" s="1235" t="s">
        <v>422</v>
      </c>
      <c r="J106" s="1296"/>
      <c r="K106" s="1211">
        <f>J106*$K$62</f>
        <v>0</v>
      </c>
      <c r="L106" s="1279">
        <v>0.23499999999999999</v>
      </c>
      <c r="M106" s="1244">
        <f>K106*L106</f>
        <v>0</v>
      </c>
      <c r="N106" s="1241"/>
      <c r="O106" s="1211"/>
      <c r="P106" s="1211"/>
      <c r="Q106" s="1211"/>
      <c r="R106" s="1211"/>
      <c r="S106" s="1265"/>
      <c r="T106" s="1209"/>
    </row>
    <row r="107" spans="1:26" s="1297" customFormat="1" x14ac:dyDescent="0.2">
      <c r="F107" s="1298"/>
      <c r="G107" s="1298"/>
      <c r="H107" s="1204" t="s">
        <v>123</v>
      </c>
      <c r="I107" s="1235" t="s">
        <v>422</v>
      </c>
      <c r="J107" s="1296"/>
      <c r="K107" s="1211">
        <f>J107*$K$62</f>
        <v>0</v>
      </c>
      <c r="L107" s="1299">
        <v>0.45</v>
      </c>
      <c r="M107" s="1244">
        <f>K107*L107</f>
        <v>0</v>
      </c>
      <c r="N107" s="1241"/>
      <c r="O107" s="1211"/>
      <c r="P107" s="1211"/>
      <c r="Q107" s="1211"/>
      <c r="R107" s="1211"/>
      <c r="S107" s="1265"/>
      <c r="T107" s="1209"/>
      <c r="U107" s="1300"/>
      <c r="V107" s="1300"/>
      <c r="W107" s="1300"/>
      <c r="X107" s="1300"/>
      <c r="Y107" s="1300"/>
      <c r="Z107" s="1300"/>
    </row>
    <row r="108" spans="1:26" s="1297" customFormat="1" x14ac:dyDescent="0.2">
      <c r="F108" s="1298"/>
      <c r="G108" s="1298"/>
      <c r="H108" s="1204" t="s">
        <v>117</v>
      </c>
      <c r="I108" s="1235" t="s">
        <v>422</v>
      </c>
      <c r="J108" s="1296"/>
      <c r="K108" s="1211">
        <f>J108*$K$62</f>
        <v>0</v>
      </c>
      <c r="L108" s="1299">
        <v>0.45</v>
      </c>
      <c r="M108" s="1244">
        <f>K108*L108</f>
        <v>0</v>
      </c>
      <c r="N108" s="1241"/>
      <c r="O108" s="1211"/>
      <c r="P108" s="1211"/>
      <c r="Q108" s="1211"/>
      <c r="R108" s="1211"/>
      <c r="S108" s="1265"/>
      <c r="T108" s="1209"/>
      <c r="U108" s="1300"/>
      <c r="V108" s="1300"/>
      <c r="W108" s="1300"/>
      <c r="X108" s="1300"/>
      <c r="Y108" s="1300"/>
      <c r="Z108" s="1300"/>
    </row>
    <row r="109" spans="1:26" s="1297" customFormat="1" x14ac:dyDescent="0.2">
      <c r="A109" s="1191" t="s">
        <v>704</v>
      </c>
      <c r="B109" s="1191" t="s">
        <v>86</v>
      </c>
      <c r="F109" s="1298"/>
      <c r="G109" s="1298"/>
      <c r="H109" s="1212" t="s">
        <v>126</v>
      </c>
      <c r="M109" s="1256">
        <f>SUM(M79:M108)</f>
        <v>2970450.2591649955</v>
      </c>
      <c r="N109" s="1241"/>
      <c r="O109" s="1211"/>
      <c r="P109" s="1211"/>
      <c r="Q109" s="1211"/>
      <c r="R109" s="1211"/>
      <c r="S109" s="1265"/>
      <c r="T109" s="1209"/>
      <c r="U109" s="1300"/>
      <c r="V109" s="1300"/>
      <c r="W109" s="1300"/>
      <c r="X109" s="1300"/>
      <c r="Y109" s="1300"/>
      <c r="Z109" s="1300"/>
    </row>
    <row r="110" spans="1:26" s="1297" customFormat="1" x14ac:dyDescent="0.2">
      <c r="F110" s="1298"/>
      <c r="G110" s="1301"/>
      <c r="H110" s="1302"/>
      <c r="I110" s="1303"/>
      <c r="J110" s="1302"/>
      <c r="K110" s="1302"/>
      <c r="L110" s="1283"/>
      <c r="M110" s="1302"/>
      <c r="N110" s="1304"/>
      <c r="O110" s="1305"/>
      <c r="P110" s="1306"/>
      <c r="Q110" s="1305"/>
      <c r="R110" s="1305"/>
      <c r="S110" s="1305"/>
      <c r="T110" s="1304"/>
      <c r="U110" s="1300"/>
      <c r="V110" s="1300"/>
      <c r="W110" s="1300"/>
      <c r="X110" s="1300"/>
      <c r="Y110" s="1300"/>
      <c r="Z110" s="1300"/>
    </row>
    <row r="111" spans="1:26" ht="25.5" x14ac:dyDescent="0.2">
      <c r="F111" s="1203"/>
      <c r="G111" s="1230" t="s">
        <v>128</v>
      </c>
      <c r="H111" s="1231" t="s">
        <v>129</v>
      </c>
      <c r="I111" s="1232" t="s">
        <v>20</v>
      </c>
      <c r="J111" s="1254" t="s">
        <v>71</v>
      </c>
      <c r="K111" s="1254" t="s">
        <v>72</v>
      </c>
      <c r="L111" s="1289" t="s">
        <v>73</v>
      </c>
      <c r="M111" s="1254" t="s">
        <v>130</v>
      </c>
      <c r="N111" s="1209"/>
      <c r="O111" s="1290" t="s">
        <v>76</v>
      </c>
      <c r="P111" s="1211"/>
      <c r="Q111" s="1211"/>
      <c r="R111" s="1211"/>
      <c r="S111" s="1211"/>
      <c r="T111" s="1209"/>
    </row>
    <row r="112" spans="1:26" x14ac:dyDescent="0.2">
      <c r="F112" s="1203"/>
      <c r="G112" s="1230"/>
      <c r="H112" s="1220" t="s">
        <v>131</v>
      </c>
      <c r="I112" s="1232"/>
      <c r="J112" s="1254"/>
      <c r="K112" s="1254"/>
      <c r="L112" s="1289"/>
      <c r="M112" s="1232"/>
      <c r="N112" s="1209"/>
      <c r="O112" s="1290"/>
      <c r="P112" s="1211"/>
      <c r="Q112" s="1211"/>
      <c r="R112" s="1211"/>
      <c r="S112" s="1211"/>
      <c r="T112" s="1209"/>
    </row>
    <row r="113" spans="1:20" s="1191" customFormat="1" x14ac:dyDescent="0.2">
      <c r="E113" s="1307">
        <v>0</v>
      </c>
      <c r="F113" s="1203"/>
      <c r="G113" s="1203"/>
      <c r="H113" s="1204" t="s">
        <v>423</v>
      </c>
      <c r="I113" s="1235" t="s">
        <v>133</v>
      </c>
      <c r="J113" s="1294">
        <v>0</v>
      </c>
      <c r="K113" s="1211">
        <f>J113*$J$15*1000</f>
        <v>0</v>
      </c>
      <c r="L113" s="1279">
        <v>5</v>
      </c>
      <c r="M113" s="1244">
        <f>K113*L113</f>
        <v>0</v>
      </c>
      <c r="N113" s="1209"/>
      <c r="O113" s="1210" t="s">
        <v>136</v>
      </c>
      <c r="P113" s="1211"/>
      <c r="Q113" s="1211"/>
      <c r="R113" s="1211"/>
      <c r="S113" s="1211"/>
      <c r="T113" s="1209"/>
    </row>
    <row r="114" spans="1:20" s="1191" customFormat="1" x14ac:dyDescent="0.2">
      <c r="E114" s="1307">
        <v>1</v>
      </c>
      <c r="F114" s="1203"/>
      <c r="G114" s="1203"/>
      <c r="H114" s="1204" t="s">
        <v>424</v>
      </c>
      <c r="I114" s="1235" t="s">
        <v>133</v>
      </c>
      <c r="J114" s="1294">
        <v>1</v>
      </c>
      <c r="K114" s="1211">
        <f>J114*$J$15*1000</f>
        <v>100000</v>
      </c>
      <c r="L114" s="1216">
        <f>L113</f>
        <v>5</v>
      </c>
      <c r="M114" s="1244">
        <f>K114*L114</f>
        <v>500000</v>
      </c>
      <c r="N114" s="1209"/>
      <c r="O114" s="1210"/>
      <c r="P114" s="1211"/>
      <c r="Q114" s="1211"/>
      <c r="R114" s="1211"/>
      <c r="S114" s="1211"/>
      <c r="T114" s="1209"/>
    </row>
    <row r="115" spans="1:20" s="1191" customFormat="1" x14ac:dyDescent="0.2">
      <c r="E115" s="1307">
        <v>1</v>
      </c>
      <c r="F115" s="1203"/>
      <c r="G115" s="1203"/>
      <c r="H115" s="1204" t="s">
        <v>162</v>
      </c>
      <c r="I115" s="1235" t="s">
        <v>133</v>
      </c>
      <c r="J115" s="1294">
        <v>1.9</v>
      </c>
      <c r="K115" s="1211">
        <f>J115*$J$15*1000</f>
        <v>190000</v>
      </c>
      <c r="L115" s="1216">
        <f>L114</f>
        <v>5</v>
      </c>
      <c r="M115" s="1244">
        <f>K115*L115</f>
        <v>950000</v>
      </c>
      <c r="N115" s="1209"/>
      <c r="O115" s="1210" t="s">
        <v>136</v>
      </c>
      <c r="P115" s="1211"/>
      <c r="Q115" s="1211"/>
      <c r="R115" s="1211"/>
      <c r="S115" s="1211"/>
      <c r="T115" s="1209"/>
    </row>
    <row r="116" spans="1:20" s="1191" customFormat="1" x14ac:dyDescent="0.2">
      <c r="E116" s="1307">
        <v>1</v>
      </c>
      <c r="F116" s="1203"/>
      <c r="G116" s="1203"/>
      <c r="H116" s="1204" t="s">
        <v>163</v>
      </c>
      <c r="I116" s="1235" t="s">
        <v>133</v>
      </c>
      <c r="J116" s="1294">
        <v>0.63</v>
      </c>
      <c r="K116" s="1211">
        <f>J116*$J$15*1000</f>
        <v>63000</v>
      </c>
      <c r="L116" s="1216">
        <f>L115</f>
        <v>5</v>
      </c>
      <c r="M116" s="1244">
        <f>K116*L116</f>
        <v>315000</v>
      </c>
      <c r="N116" s="1209"/>
      <c r="O116" s="1210" t="s">
        <v>136</v>
      </c>
      <c r="P116" s="1211"/>
      <c r="Q116" s="1211"/>
      <c r="R116" s="1211"/>
      <c r="S116" s="1211"/>
      <c r="T116" s="1209"/>
    </row>
    <row r="117" spans="1:20" s="1191" customFormat="1" x14ac:dyDescent="0.2">
      <c r="E117" s="1307">
        <v>1</v>
      </c>
      <c r="F117" s="1203"/>
      <c r="G117" s="1203"/>
      <c r="H117" s="1204" t="s">
        <v>425</v>
      </c>
      <c r="I117" s="1235" t="s">
        <v>426</v>
      </c>
      <c r="J117" s="1294">
        <v>2</v>
      </c>
      <c r="K117" s="1308">
        <f>J117*K66</f>
        <v>58622.426992533176</v>
      </c>
      <c r="L117" s="1216">
        <f>L116</f>
        <v>5</v>
      </c>
      <c r="M117" s="1244">
        <f>K117*L117</f>
        <v>293112.13496266585</v>
      </c>
      <c r="N117" s="1209"/>
      <c r="O117" s="1210"/>
      <c r="P117" s="1211"/>
      <c r="Q117" s="1211"/>
      <c r="R117" s="1211"/>
      <c r="S117" s="1211"/>
      <c r="T117" s="1209"/>
    </row>
    <row r="118" spans="1:20" s="1191" customFormat="1" x14ac:dyDescent="0.2">
      <c r="A118" s="1191" t="s">
        <v>705</v>
      </c>
      <c r="B118" s="1191" t="s">
        <v>131</v>
      </c>
      <c r="F118" s="1203"/>
      <c r="G118" s="1203"/>
      <c r="H118" s="1212" t="s">
        <v>137</v>
      </c>
      <c r="I118" s="1235"/>
      <c r="J118" s="1204"/>
      <c r="K118" s="1211"/>
      <c r="L118" s="1216"/>
      <c r="M118" s="1256">
        <f>SUM(M113:M117)</f>
        <v>2058112.1349626658</v>
      </c>
      <c r="N118" s="1209"/>
      <c r="O118" s="1210"/>
      <c r="P118" s="1211"/>
      <c r="Q118" s="1211"/>
      <c r="R118" s="1211"/>
      <c r="S118" s="1211"/>
      <c r="T118" s="1209"/>
    </row>
    <row r="119" spans="1:20" s="1191" customFormat="1" x14ac:dyDescent="0.2">
      <c r="F119" s="1203"/>
      <c r="G119" s="1203"/>
      <c r="H119" s="1220" t="s">
        <v>140</v>
      </c>
      <c r="I119" s="1235"/>
      <c r="J119" s="1204"/>
      <c r="K119" s="1211"/>
      <c r="L119" s="1216"/>
      <c r="M119" s="1244"/>
      <c r="N119" s="1209"/>
      <c r="O119" s="1210"/>
      <c r="P119" s="1211"/>
      <c r="Q119" s="1211"/>
      <c r="R119" s="1211"/>
      <c r="S119" s="1211"/>
      <c r="T119" s="1209"/>
    </row>
    <row r="120" spans="1:20" s="1191" customFormat="1" x14ac:dyDescent="0.2">
      <c r="E120" s="1307">
        <v>1</v>
      </c>
      <c r="F120" s="1203"/>
      <c r="G120" s="1203"/>
      <c r="H120" s="1204" t="s">
        <v>141</v>
      </c>
      <c r="I120" s="1235" t="s">
        <v>133</v>
      </c>
      <c r="J120" s="1294">
        <v>1.9</v>
      </c>
      <c r="K120" s="1211">
        <f>J120*$J$15*1000</f>
        <v>190000</v>
      </c>
      <c r="L120" s="1216"/>
      <c r="M120" s="1244">
        <f>K120*L120</f>
        <v>0</v>
      </c>
      <c r="N120" s="1209"/>
      <c r="O120" s="1210" t="s">
        <v>427</v>
      </c>
      <c r="P120" s="1211"/>
      <c r="Q120" s="1211"/>
      <c r="R120" s="1211"/>
      <c r="S120" s="1211"/>
      <c r="T120" s="1209"/>
    </row>
    <row r="121" spans="1:20" s="1191" customFormat="1" x14ac:dyDescent="0.2">
      <c r="E121" s="1307">
        <v>1</v>
      </c>
      <c r="F121" s="1203"/>
      <c r="G121" s="1203"/>
      <c r="H121" s="1204" t="s">
        <v>143</v>
      </c>
      <c r="I121" s="1235" t="s">
        <v>133</v>
      </c>
      <c r="J121" s="1294">
        <v>0.63</v>
      </c>
      <c r="K121" s="1211">
        <f>J121*$J$15*1000</f>
        <v>63000</v>
      </c>
      <c r="L121" s="1216"/>
      <c r="M121" s="1244">
        <f>K121*L121</f>
        <v>0</v>
      </c>
      <c r="N121" s="1209"/>
      <c r="O121" s="1210" t="s">
        <v>427</v>
      </c>
      <c r="P121" s="1211"/>
      <c r="Q121" s="1211"/>
      <c r="R121" s="1211"/>
      <c r="S121" s="1211"/>
      <c r="T121" s="1209"/>
    </row>
    <row r="122" spans="1:20" s="1191" customFormat="1" x14ac:dyDescent="0.2">
      <c r="E122" s="1307">
        <v>1</v>
      </c>
      <c r="F122" s="1203"/>
      <c r="G122" s="1203"/>
      <c r="H122" s="1204" t="s">
        <v>144</v>
      </c>
      <c r="I122" s="1235" t="s">
        <v>133</v>
      </c>
      <c r="J122" s="1294">
        <v>4.0999999999999996</v>
      </c>
      <c r="K122" s="1211">
        <f>J122*$J$15*1000</f>
        <v>409999.99999999994</v>
      </c>
      <c r="L122" s="1279">
        <v>3</v>
      </c>
      <c r="M122" s="1244">
        <f>K122*L122</f>
        <v>1229999.9999999998</v>
      </c>
      <c r="N122" s="1209"/>
      <c r="O122" s="1210" t="s">
        <v>145</v>
      </c>
      <c r="P122" s="1211"/>
      <c r="Q122" s="1211"/>
      <c r="R122" s="1211"/>
      <c r="S122" s="1211"/>
      <c r="T122" s="1209"/>
    </row>
    <row r="123" spans="1:20" s="1191" customFormat="1" x14ac:dyDescent="0.2">
      <c r="F123" s="1203"/>
      <c r="G123" s="1203"/>
      <c r="H123" s="1192"/>
      <c r="I123" s="1243"/>
      <c r="J123" s="1192"/>
      <c r="K123" s="1192"/>
      <c r="L123" s="1216"/>
      <c r="M123" s="1192"/>
      <c r="N123" s="1209"/>
      <c r="O123" s="1211"/>
      <c r="P123" s="1211"/>
      <c r="Q123" s="1211"/>
      <c r="R123" s="1211"/>
      <c r="S123" s="1211"/>
      <c r="T123" s="1209"/>
    </row>
    <row r="124" spans="1:20" s="1191" customFormat="1" x14ac:dyDescent="0.2">
      <c r="F124" s="1203"/>
      <c r="G124" s="1203"/>
      <c r="H124" s="1220" t="s">
        <v>139</v>
      </c>
      <c r="I124" s="1243"/>
      <c r="J124" s="1192"/>
      <c r="K124" s="1192"/>
      <c r="L124" s="1216"/>
      <c r="M124" s="1192"/>
      <c r="N124" s="1209"/>
      <c r="O124" s="1211"/>
      <c r="P124" s="1211"/>
      <c r="Q124" s="1309"/>
      <c r="R124" s="1309"/>
      <c r="S124" s="1211"/>
      <c r="T124" s="1209"/>
    </row>
    <row r="125" spans="1:20" s="1191" customFormat="1" x14ac:dyDescent="0.2">
      <c r="E125" s="1310">
        <v>0</v>
      </c>
      <c r="F125" s="1203"/>
      <c r="G125" s="1203"/>
      <c r="H125" s="1204" t="s">
        <v>428</v>
      </c>
      <c r="I125" s="1235" t="s">
        <v>150</v>
      </c>
      <c r="J125" s="1294">
        <v>4</v>
      </c>
      <c r="K125" s="1211">
        <f>J125*$J$15*1000</f>
        <v>400000</v>
      </c>
      <c r="L125" s="1279">
        <v>1</v>
      </c>
      <c r="M125" s="1244">
        <f>L$125*K125</f>
        <v>400000</v>
      </c>
      <c r="N125" s="1209"/>
      <c r="O125" s="1210"/>
      <c r="P125" s="1211"/>
      <c r="Q125" s="1211"/>
      <c r="R125" s="1211"/>
      <c r="S125" s="1211"/>
      <c r="T125" s="1209"/>
    </row>
    <row r="126" spans="1:20" s="1191" customFormat="1" x14ac:dyDescent="0.2">
      <c r="E126" s="1310">
        <v>0</v>
      </c>
      <c r="F126" s="1203"/>
      <c r="G126" s="1203"/>
      <c r="H126" s="1204" t="s">
        <v>429</v>
      </c>
      <c r="I126" s="1235" t="s">
        <v>150</v>
      </c>
      <c r="J126" s="1294">
        <v>0</v>
      </c>
      <c r="K126" s="1211">
        <f>J126*$J$15*1000</f>
        <v>0</v>
      </c>
      <c r="L126" s="1216"/>
      <c r="M126" s="1244">
        <f>L126*K126</f>
        <v>0</v>
      </c>
      <c r="N126" s="1209"/>
      <c r="O126" s="1211" t="s">
        <v>511</v>
      </c>
      <c r="P126" s="1211"/>
      <c r="Q126" s="1211"/>
      <c r="R126" s="1211"/>
      <c r="S126" s="1211"/>
      <c r="T126" s="1209"/>
    </row>
    <row r="127" spans="1:20" s="1191" customFormat="1" x14ac:dyDescent="0.2">
      <c r="E127" s="1310">
        <v>1</v>
      </c>
      <c r="F127" s="1203"/>
      <c r="G127" s="1203"/>
      <c r="H127" s="1204" t="s">
        <v>153</v>
      </c>
      <c r="I127" s="1235" t="s">
        <v>150</v>
      </c>
      <c r="J127" s="1294">
        <v>90</v>
      </c>
      <c r="K127" s="1211">
        <f>J127*$J$15*1000</f>
        <v>9000000</v>
      </c>
      <c r="L127" s="1216"/>
      <c r="M127" s="1244">
        <f>L127*K127</f>
        <v>0</v>
      </c>
      <c r="N127" s="1209"/>
      <c r="O127" s="1311">
        <f>SUM(K125:K126)*J131*L131</f>
        <v>40000</v>
      </c>
      <c r="P127" s="1211" t="s">
        <v>512</v>
      </c>
      <c r="Q127" s="1211"/>
      <c r="R127" s="1211"/>
      <c r="S127" s="1211"/>
      <c r="T127" s="1209"/>
    </row>
    <row r="128" spans="1:20" s="1191" customFormat="1" x14ac:dyDescent="0.2">
      <c r="E128" s="1310">
        <v>1</v>
      </c>
      <c r="F128" s="1203"/>
      <c r="G128" s="1203"/>
      <c r="H128" s="1204" t="s">
        <v>154</v>
      </c>
      <c r="I128" s="1235" t="s">
        <v>150</v>
      </c>
      <c r="J128" s="1294">
        <v>50</v>
      </c>
      <c r="K128" s="1211">
        <f>J128*$J$15*1000</f>
        <v>5000000</v>
      </c>
      <c r="L128" s="1216"/>
      <c r="M128" s="1244">
        <f>L128*K128</f>
        <v>0</v>
      </c>
      <c r="N128" s="1209"/>
      <c r="O128" s="1210"/>
      <c r="P128" s="1211"/>
      <c r="Q128" s="1211"/>
      <c r="R128" s="1211"/>
      <c r="S128" s="1211"/>
      <c r="T128" s="1209"/>
    </row>
    <row r="129" spans="1:20" s="1191" customFormat="1" x14ac:dyDescent="0.2">
      <c r="E129" s="1310">
        <v>1</v>
      </c>
      <c r="F129" s="1203"/>
      <c r="G129" s="1203"/>
      <c r="H129" s="1204" t="s">
        <v>155</v>
      </c>
      <c r="I129" s="1235" t="s">
        <v>150</v>
      </c>
      <c r="J129" s="1294">
        <v>10</v>
      </c>
      <c r="K129" s="1211">
        <f>J129*$J$15*1000</f>
        <v>1000000</v>
      </c>
      <c r="L129" s="1216"/>
      <c r="M129" s="1244">
        <f>L129*K129</f>
        <v>0</v>
      </c>
      <c r="N129" s="1209"/>
      <c r="O129" s="1210"/>
      <c r="P129" s="1211"/>
      <c r="Q129" s="1211"/>
      <c r="R129" s="1211"/>
      <c r="S129" s="1211"/>
      <c r="T129" s="1209"/>
    </row>
    <row r="130" spans="1:20" s="1191" customFormat="1" x14ac:dyDescent="0.2">
      <c r="F130" s="1203"/>
      <c r="G130" s="1203"/>
      <c r="H130" s="1245" t="s">
        <v>156</v>
      </c>
      <c r="I130" s="1245" t="s">
        <v>65</v>
      </c>
      <c r="J130" s="1220"/>
      <c r="K130" s="1311">
        <f>SUM(K126:K129)</f>
        <v>15000000</v>
      </c>
      <c r="L130" s="1212"/>
      <c r="M130" s="1312">
        <f>SUM(M125:M129)</f>
        <v>400000</v>
      </c>
      <c r="N130" s="1209"/>
      <c r="O130" s="1210"/>
      <c r="P130" s="1211"/>
      <c r="Q130" s="1211"/>
      <c r="R130" s="1211"/>
      <c r="S130" s="1211"/>
      <c r="T130" s="1209"/>
    </row>
    <row r="131" spans="1:20" s="1191" customFormat="1" x14ac:dyDescent="0.2">
      <c r="F131" s="1203"/>
      <c r="G131" s="1203"/>
      <c r="H131" s="1313" t="s">
        <v>855</v>
      </c>
      <c r="I131" s="1235" t="s">
        <v>157</v>
      </c>
      <c r="J131" s="1263">
        <v>0.1</v>
      </c>
      <c r="K131" s="1211">
        <f>J131*K130</f>
        <v>1500000</v>
      </c>
      <c r="L131" s="1216">
        <f>L125</f>
        <v>1</v>
      </c>
      <c r="M131" s="1244">
        <f>L131*K131</f>
        <v>1500000</v>
      </c>
      <c r="N131" s="1209"/>
      <c r="O131" s="1210"/>
      <c r="P131" s="1211"/>
      <c r="Q131" s="1211"/>
      <c r="R131" s="1211"/>
      <c r="S131" s="1211"/>
      <c r="T131" s="1209"/>
    </row>
    <row r="132" spans="1:20" s="1191" customFormat="1" x14ac:dyDescent="0.2">
      <c r="A132" s="1191" t="s">
        <v>706</v>
      </c>
      <c r="B132" s="1191" t="s">
        <v>139</v>
      </c>
      <c r="F132" s="1203"/>
      <c r="G132" s="1203"/>
      <c r="H132" s="1212" t="s">
        <v>158</v>
      </c>
      <c r="I132" s="1243"/>
      <c r="J132" s="1192"/>
      <c r="K132" s="1192"/>
      <c r="L132" s="1216"/>
      <c r="M132" s="1256">
        <f>SUM(M130:M131,M122)</f>
        <v>3130000</v>
      </c>
      <c r="N132" s="1209"/>
      <c r="O132" s="1211"/>
      <c r="P132" s="1211"/>
      <c r="Q132" s="1211"/>
      <c r="R132" s="1211"/>
      <c r="S132" s="1211"/>
      <c r="T132" s="1209"/>
    </row>
    <row r="133" spans="1:20" s="1191" customFormat="1" x14ac:dyDescent="0.2">
      <c r="F133" s="1203"/>
      <c r="G133" s="1203"/>
      <c r="H133" s="1220" t="s">
        <v>159</v>
      </c>
      <c r="I133" s="1243"/>
      <c r="J133" s="1192"/>
      <c r="K133" s="1204"/>
      <c r="L133" s="1216"/>
      <c r="M133" s="1192"/>
      <c r="N133" s="1209"/>
      <c r="O133" s="1211"/>
      <c r="P133" s="1211"/>
      <c r="Q133" s="1211"/>
      <c r="R133" s="1211"/>
      <c r="S133" s="1211"/>
      <c r="T133" s="1209"/>
    </row>
    <row r="134" spans="1:20" s="1191" customFormat="1" x14ac:dyDescent="0.2">
      <c r="E134" s="1307">
        <v>0</v>
      </c>
      <c r="F134" s="1203"/>
      <c r="G134" s="1203"/>
      <c r="H134" s="1204" t="s">
        <v>430</v>
      </c>
      <c r="I134" s="1235" t="s">
        <v>161</v>
      </c>
      <c r="J134" s="1314">
        <v>20</v>
      </c>
      <c r="K134" s="1211">
        <f t="shared" ref="K134:K143" si="9">J134*$J$15*1000</f>
        <v>2000000</v>
      </c>
      <c r="L134" s="1315"/>
      <c r="M134" s="1244">
        <f>K134*$L$145</f>
        <v>80000</v>
      </c>
      <c r="N134" s="1209"/>
      <c r="O134" s="1211"/>
      <c r="P134" s="1210"/>
      <c r="Q134" s="1211"/>
      <c r="R134" s="1211"/>
      <c r="S134" s="1211"/>
      <c r="T134" s="1209"/>
    </row>
    <row r="135" spans="1:20" s="1191" customFormat="1" x14ac:dyDescent="0.2">
      <c r="E135" s="1307">
        <v>0</v>
      </c>
      <c r="F135" s="1203"/>
      <c r="G135" s="1203"/>
      <c r="H135" s="1204" t="s">
        <v>431</v>
      </c>
      <c r="I135" s="1235" t="s">
        <v>161</v>
      </c>
      <c r="J135" s="1314">
        <v>0</v>
      </c>
      <c r="K135" s="1211">
        <f t="shared" si="9"/>
        <v>0</v>
      </c>
      <c r="L135" s="1315"/>
      <c r="M135" s="1244">
        <f t="shared" ref="M135:M144" si="10">K135*$L$145</f>
        <v>0</v>
      </c>
      <c r="N135" s="1209"/>
      <c r="O135" s="1211"/>
      <c r="P135" s="1210"/>
      <c r="Q135" s="1211"/>
      <c r="R135" s="1211"/>
      <c r="S135" s="1211"/>
      <c r="T135" s="1209"/>
    </row>
    <row r="136" spans="1:20" s="1191" customFormat="1" x14ac:dyDescent="0.2">
      <c r="E136" s="1307">
        <v>1</v>
      </c>
      <c r="F136" s="1203"/>
      <c r="G136" s="1203"/>
      <c r="H136" s="1204" t="s">
        <v>424</v>
      </c>
      <c r="I136" s="1235" t="s">
        <v>161</v>
      </c>
      <c r="J136" s="1314">
        <f>167/19.1</f>
        <v>8.7434554973821985</v>
      </c>
      <c r="K136" s="1211">
        <f t="shared" si="9"/>
        <v>874345.54973821982</v>
      </c>
      <c r="L136" s="1315"/>
      <c r="M136" s="1244">
        <f t="shared" si="10"/>
        <v>34973.821989528791</v>
      </c>
      <c r="N136" s="1209"/>
      <c r="O136" s="1211"/>
      <c r="P136" s="1211"/>
      <c r="Q136" s="1211"/>
      <c r="R136" s="1211"/>
      <c r="S136" s="1211"/>
      <c r="T136" s="1209"/>
    </row>
    <row r="137" spans="1:20" s="1191" customFormat="1" x14ac:dyDescent="0.2">
      <c r="E137" s="1307">
        <v>1</v>
      </c>
      <c r="F137" s="1203"/>
      <c r="G137" s="1203"/>
      <c r="H137" s="1204" t="s">
        <v>432</v>
      </c>
      <c r="I137" s="1235" t="s">
        <v>161</v>
      </c>
      <c r="J137" s="1314">
        <v>3</v>
      </c>
      <c r="K137" s="1211">
        <f t="shared" si="9"/>
        <v>300000</v>
      </c>
      <c r="L137" s="1315"/>
      <c r="M137" s="1244">
        <f t="shared" si="10"/>
        <v>12000</v>
      </c>
      <c r="N137" s="1209"/>
      <c r="O137" s="1211"/>
      <c r="P137" s="1211"/>
      <c r="Q137" s="1211"/>
      <c r="R137" s="1211"/>
      <c r="S137" s="1211"/>
      <c r="T137" s="1209"/>
    </row>
    <row r="138" spans="1:20" s="1191" customFormat="1" x14ac:dyDescent="0.2">
      <c r="E138" s="1307">
        <v>1</v>
      </c>
      <c r="F138" s="1203"/>
      <c r="G138" s="1203"/>
      <c r="H138" s="1204" t="s">
        <v>160</v>
      </c>
      <c r="I138" s="1235" t="s">
        <v>161</v>
      </c>
      <c r="J138" s="1314">
        <v>45</v>
      </c>
      <c r="K138" s="1211">
        <f t="shared" si="9"/>
        <v>4500000</v>
      </c>
      <c r="L138" s="1315"/>
      <c r="M138" s="1244">
        <f t="shared" si="10"/>
        <v>180000</v>
      </c>
      <c r="N138" s="1209"/>
      <c r="O138" s="1211"/>
      <c r="P138" s="1211"/>
      <c r="Q138" s="1211"/>
      <c r="R138" s="1211"/>
      <c r="S138" s="1211"/>
      <c r="T138" s="1209"/>
    </row>
    <row r="139" spans="1:20" s="1191" customFormat="1" x14ac:dyDescent="0.2">
      <c r="E139" s="1307">
        <v>1</v>
      </c>
      <c r="F139" s="1203"/>
      <c r="G139" s="1203"/>
      <c r="H139" s="1204" t="s">
        <v>162</v>
      </c>
      <c r="I139" s="1235" t="s">
        <v>161</v>
      </c>
      <c r="J139" s="1316">
        <v>24</v>
      </c>
      <c r="K139" s="1211">
        <f t="shared" si="9"/>
        <v>2400000</v>
      </c>
      <c r="L139" s="1315"/>
      <c r="M139" s="1244">
        <f t="shared" si="10"/>
        <v>96000</v>
      </c>
      <c r="N139" s="1209"/>
      <c r="O139" s="1211"/>
      <c r="P139" s="1211"/>
      <c r="Q139" s="1211"/>
      <c r="R139" s="1211"/>
      <c r="S139" s="1211"/>
      <c r="T139" s="1209"/>
    </row>
    <row r="140" spans="1:20" s="1191" customFormat="1" x14ac:dyDescent="0.2">
      <c r="E140" s="1307">
        <v>1</v>
      </c>
      <c r="F140" s="1203"/>
      <c r="G140" s="1203"/>
      <c r="H140" s="1204" t="s">
        <v>163</v>
      </c>
      <c r="I140" s="1235" t="s">
        <v>161</v>
      </c>
      <c r="J140" s="1316">
        <v>9</v>
      </c>
      <c r="K140" s="1211">
        <f t="shared" si="9"/>
        <v>900000</v>
      </c>
      <c r="L140" s="1315"/>
      <c r="M140" s="1244">
        <f t="shared" si="10"/>
        <v>36000</v>
      </c>
      <c r="N140" s="1209"/>
      <c r="O140" s="1211"/>
      <c r="P140" s="1211"/>
      <c r="Q140" s="1211"/>
      <c r="R140" s="1211"/>
      <c r="S140" s="1211"/>
      <c r="T140" s="1209"/>
    </row>
    <row r="141" spans="1:20" s="1191" customFormat="1" x14ac:dyDescent="0.2">
      <c r="E141" s="1307">
        <v>1</v>
      </c>
      <c r="F141" s="1203"/>
      <c r="G141" s="1203"/>
      <c r="H141" s="1204" t="s">
        <v>433</v>
      </c>
      <c r="I141" s="1235" t="s">
        <v>161</v>
      </c>
      <c r="J141" s="1314">
        <v>15</v>
      </c>
      <c r="K141" s="1211">
        <f t="shared" si="9"/>
        <v>1500000</v>
      </c>
      <c r="L141" s="1315"/>
      <c r="M141" s="1244">
        <f t="shared" si="10"/>
        <v>60000</v>
      </c>
      <c r="N141" s="1209"/>
      <c r="O141" s="1211"/>
      <c r="P141" s="1211"/>
      <c r="Q141" s="1211"/>
      <c r="R141" s="1211"/>
      <c r="S141" s="1211"/>
      <c r="T141" s="1209"/>
    </row>
    <row r="142" spans="1:20" s="1191" customFormat="1" x14ac:dyDescent="0.2">
      <c r="E142" s="1307">
        <v>1</v>
      </c>
      <c r="F142" s="1203"/>
      <c r="G142" s="1203"/>
      <c r="H142" s="1204" t="s">
        <v>434</v>
      </c>
      <c r="I142" s="1235" t="s">
        <v>161</v>
      </c>
      <c r="J142" s="1316">
        <f>1168/19.1-J141</f>
        <v>46.151832460732983</v>
      </c>
      <c r="K142" s="1211">
        <f t="shared" si="9"/>
        <v>4615183.2460732982</v>
      </c>
      <c r="L142" s="1315"/>
      <c r="M142" s="1244">
        <f t="shared" si="10"/>
        <v>184607.32984293194</v>
      </c>
      <c r="N142" s="1209"/>
      <c r="O142" s="1211"/>
      <c r="P142" s="1211"/>
      <c r="Q142" s="1211"/>
      <c r="R142" s="1211"/>
      <c r="S142" s="1211"/>
      <c r="T142" s="1209"/>
    </row>
    <row r="143" spans="1:20" s="1191" customFormat="1" x14ac:dyDescent="0.2">
      <c r="E143" s="1307">
        <v>1</v>
      </c>
      <c r="F143" s="1203"/>
      <c r="G143" s="1203"/>
      <c r="H143" s="1204" t="s">
        <v>167</v>
      </c>
      <c r="I143" s="1235" t="s">
        <v>168</v>
      </c>
      <c r="J143" s="1314">
        <v>80</v>
      </c>
      <c r="K143" s="1211">
        <f t="shared" si="9"/>
        <v>8000000</v>
      </c>
      <c r="L143" s="1315"/>
      <c r="M143" s="1244">
        <f t="shared" si="10"/>
        <v>320000</v>
      </c>
      <c r="N143" s="1209"/>
      <c r="O143" s="1211"/>
      <c r="P143" s="1211"/>
      <c r="Q143" s="1211"/>
      <c r="R143" s="1211"/>
      <c r="S143" s="1211"/>
      <c r="T143" s="1209"/>
    </row>
    <row r="144" spans="1:20" s="1191" customFormat="1" x14ac:dyDescent="0.2">
      <c r="E144" s="1307">
        <v>1</v>
      </c>
      <c r="F144" s="1203"/>
      <c r="G144" s="1203"/>
      <c r="H144" s="1204" t="s">
        <v>169</v>
      </c>
      <c r="I144" s="1235" t="s">
        <v>170</v>
      </c>
      <c r="J144" s="1314">
        <v>350</v>
      </c>
      <c r="K144" s="1211">
        <f>J144*J17*24</f>
        <v>2820720</v>
      </c>
      <c r="L144" s="1315"/>
      <c r="M144" s="1244">
        <f t="shared" si="10"/>
        <v>112828.8</v>
      </c>
      <c r="N144" s="1209"/>
      <c r="O144" s="1210" t="s">
        <v>171</v>
      </c>
      <c r="P144" s="1211"/>
      <c r="Q144" s="1211"/>
      <c r="R144" s="1211"/>
      <c r="S144" s="1211"/>
      <c r="T144" s="1209"/>
    </row>
    <row r="145" spans="1:20" s="1191" customFormat="1" x14ac:dyDescent="0.2">
      <c r="A145" s="1191" t="s">
        <v>707</v>
      </c>
      <c r="B145" s="1191" t="s">
        <v>594</v>
      </c>
      <c r="F145" s="1203"/>
      <c r="G145" s="1203"/>
      <c r="H145" s="1212" t="s">
        <v>172</v>
      </c>
      <c r="I145" s="1235" t="s">
        <v>173</v>
      </c>
      <c r="J145" s="1192"/>
      <c r="K145" s="1256">
        <f>SUM(K134:K144)</f>
        <v>27910248.795811519</v>
      </c>
      <c r="L145" s="1317">
        <v>0.04</v>
      </c>
      <c r="M145" s="1273">
        <f>L145*K145</f>
        <v>1116409.9518324607</v>
      </c>
      <c r="N145" s="1209"/>
      <c r="O145" s="1211"/>
      <c r="P145" s="1211"/>
      <c r="Q145" s="1211"/>
      <c r="R145" s="1211"/>
      <c r="S145" s="1211"/>
      <c r="T145" s="1209"/>
    </row>
    <row r="146" spans="1:20" s="1191" customFormat="1" x14ac:dyDescent="0.2">
      <c r="F146" s="1203"/>
      <c r="G146" s="1203"/>
      <c r="H146" s="1212" t="s">
        <v>174</v>
      </c>
      <c r="I146" s="1235" t="s">
        <v>175</v>
      </c>
      <c r="J146" s="1192"/>
      <c r="K146" s="1211">
        <f>K145/J18</f>
        <v>3463.1537616403011</v>
      </c>
      <c r="L146" s="1216"/>
      <c r="M146" s="1192"/>
      <c r="N146" s="1209"/>
      <c r="O146" s="1211"/>
      <c r="P146" s="1211"/>
      <c r="Q146" s="1211"/>
      <c r="R146" s="1211"/>
      <c r="S146" s="1211"/>
      <c r="T146" s="1209"/>
    </row>
    <row r="147" spans="1:20" s="1191" customFormat="1" x14ac:dyDescent="0.2">
      <c r="F147" s="1203"/>
      <c r="G147" s="1203"/>
      <c r="H147" s="1212"/>
      <c r="I147" s="1245" t="s">
        <v>435</v>
      </c>
      <c r="J147" s="1192"/>
      <c r="K147" s="1244">
        <f>K145/J15/1000</f>
        <v>279.10248795811515</v>
      </c>
      <c r="L147" s="1216"/>
      <c r="M147" s="1192"/>
      <c r="N147" s="1209"/>
      <c r="O147" s="1211"/>
      <c r="P147" s="1211"/>
      <c r="Q147" s="1211"/>
      <c r="R147" s="1211"/>
      <c r="S147" s="1211"/>
      <c r="T147" s="1209"/>
    </row>
    <row r="148" spans="1:20" s="1191" customFormat="1" ht="25.5" x14ac:dyDescent="0.2">
      <c r="F148" s="1203"/>
      <c r="G148" s="1196" t="s">
        <v>176</v>
      </c>
      <c r="H148" s="1275" t="s">
        <v>436</v>
      </c>
      <c r="I148" s="1276" t="s">
        <v>20</v>
      </c>
      <c r="J148" s="1198" t="s">
        <v>71</v>
      </c>
      <c r="K148" s="1198" t="s">
        <v>72</v>
      </c>
      <c r="L148" s="1199" t="s">
        <v>73</v>
      </c>
      <c r="M148" s="1198" t="s">
        <v>437</v>
      </c>
      <c r="N148" s="1202"/>
      <c r="O148" s="1318" t="s">
        <v>76</v>
      </c>
      <c r="P148" s="1187"/>
      <c r="Q148" s="1187"/>
      <c r="R148" s="1187"/>
      <c r="S148" s="1187"/>
      <c r="T148" s="1202"/>
    </row>
    <row r="149" spans="1:20" s="1191" customFormat="1" x14ac:dyDescent="0.2">
      <c r="F149" s="1203"/>
      <c r="G149" s="1203"/>
      <c r="H149" s="1204" t="str">
        <f>H33</f>
        <v>Screen rejects</v>
      </c>
      <c r="I149" s="1235" t="s">
        <v>50</v>
      </c>
      <c r="J149" s="1319">
        <f>P149</f>
        <v>0</v>
      </c>
      <c r="K149" s="1211">
        <f>M25</f>
        <v>2638.0092146639927</v>
      </c>
      <c r="L149" s="1320">
        <v>20</v>
      </c>
      <c r="M149" s="1211">
        <f>L149*K149</f>
        <v>52760.184293279854</v>
      </c>
      <c r="N149" s="1209"/>
      <c r="O149" s="1210" t="s">
        <v>438</v>
      </c>
      <c r="P149" s="1210"/>
      <c r="Q149" s="1210"/>
      <c r="R149" s="1210"/>
      <c r="S149" s="1211"/>
      <c r="T149" s="1209"/>
    </row>
    <row r="150" spans="1:20" s="1191" customFormat="1" x14ac:dyDescent="0.2">
      <c r="F150" s="1203"/>
      <c r="G150" s="1203"/>
      <c r="H150" s="1204" t="str">
        <f>H34</f>
        <v>Bran - millrun</v>
      </c>
      <c r="I150" s="1235" t="s">
        <v>50</v>
      </c>
      <c r="J150" s="1235"/>
      <c r="K150" s="1211">
        <f>M26</f>
        <v>31304.376014012712</v>
      </c>
      <c r="L150" s="1321">
        <f>L149</f>
        <v>20</v>
      </c>
      <c r="M150" s="1211">
        <f>L150*K150</f>
        <v>626087.52028025431</v>
      </c>
      <c r="N150" s="1209"/>
      <c r="O150" s="1210" t="s">
        <v>438</v>
      </c>
      <c r="P150" s="1210"/>
      <c r="Q150" s="1210"/>
      <c r="R150" s="1210"/>
      <c r="S150" s="1211"/>
      <c r="T150" s="1209"/>
    </row>
    <row r="151" spans="1:20" s="1191" customFormat="1" x14ac:dyDescent="0.2">
      <c r="F151" s="1203"/>
      <c r="G151" s="1203"/>
      <c r="H151" s="1204"/>
      <c r="I151" s="1235" t="s">
        <v>50</v>
      </c>
      <c r="J151" s="1235"/>
      <c r="K151" s="1211">
        <f>M27</f>
        <v>0</v>
      </c>
      <c r="L151" s="1321">
        <f>L150</f>
        <v>20</v>
      </c>
      <c r="M151" s="1211">
        <f>L151*K151</f>
        <v>0</v>
      </c>
      <c r="N151" s="1209"/>
      <c r="O151" s="1210" t="s">
        <v>438</v>
      </c>
      <c r="P151" s="1210"/>
      <c r="Q151" s="1210"/>
      <c r="R151" s="1210"/>
      <c r="S151" s="1211"/>
      <c r="T151" s="1209"/>
    </row>
    <row r="152" spans="1:20" s="1191" customFormat="1" x14ac:dyDescent="0.2">
      <c r="F152" s="1203"/>
      <c r="G152" s="1203"/>
      <c r="H152" s="1204"/>
      <c r="I152" s="1235" t="s">
        <v>50</v>
      </c>
      <c r="J152" s="1235"/>
      <c r="K152" s="1211">
        <f>M28</f>
        <v>0</v>
      </c>
      <c r="L152" s="1320">
        <v>60</v>
      </c>
      <c r="M152" s="1211">
        <f>L152*K152</f>
        <v>0</v>
      </c>
      <c r="N152" s="1209"/>
      <c r="O152" s="1210" t="s">
        <v>439</v>
      </c>
      <c r="P152" s="1210"/>
      <c r="Q152" s="1210"/>
      <c r="R152" s="1210"/>
      <c r="S152" s="1211"/>
      <c r="T152" s="1209"/>
    </row>
    <row r="153" spans="1:20" s="1191" customFormat="1" x14ac:dyDescent="0.2">
      <c r="F153" s="1203"/>
      <c r="G153" s="1203"/>
      <c r="H153" s="1313" t="s">
        <v>454</v>
      </c>
      <c r="I153" s="1235"/>
      <c r="J153" s="1235"/>
      <c r="K153" s="1211">
        <f>K66</f>
        <v>29311.213496266588</v>
      </c>
      <c r="L153" s="1267">
        <f>L152</f>
        <v>60</v>
      </c>
      <c r="M153" s="1211">
        <f>L153*K153</f>
        <v>1758672.8097759953</v>
      </c>
      <c r="N153" s="1209"/>
      <c r="O153" s="1210"/>
      <c r="P153" s="1210"/>
      <c r="Q153" s="1210"/>
      <c r="R153" s="1210"/>
      <c r="S153" s="1211"/>
      <c r="T153" s="1209"/>
    </row>
    <row r="154" spans="1:20" s="1191" customFormat="1" x14ac:dyDescent="0.2">
      <c r="A154" s="1191" t="s">
        <v>708</v>
      </c>
      <c r="B154" s="1191" t="s">
        <v>719</v>
      </c>
      <c r="F154" s="1203"/>
      <c r="G154" s="1203"/>
      <c r="H154" s="1212" t="s">
        <v>440</v>
      </c>
      <c r="I154" s="1235"/>
      <c r="J154" s="1192"/>
      <c r="K154" s="1192"/>
      <c r="L154" s="1216"/>
      <c r="M154" s="1273">
        <f>SUM(M149:M153)</f>
        <v>2437520.5143495295</v>
      </c>
      <c r="N154" s="1209"/>
      <c r="O154" s="1211"/>
      <c r="P154" s="1211"/>
      <c r="Q154" s="1211"/>
      <c r="R154" s="1211"/>
      <c r="S154" s="1211"/>
      <c r="T154" s="1209"/>
    </row>
    <row r="155" spans="1:20" s="1191" customFormat="1" x14ac:dyDescent="0.2">
      <c r="F155" s="1203"/>
      <c r="G155" s="1224"/>
      <c r="H155" s="1283"/>
      <c r="I155" s="1284"/>
      <c r="J155" s="1225"/>
      <c r="K155" s="1225"/>
      <c r="L155" s="1227"/>
      <c r="M155" s="1322"/>
      <c r="N155" s="1228"/>
      <c r="O155" s="1229"/>
      <c r="P155" s="1229"/>
      <c r="Q155" s="1229"/>
      <c r="R155" s="1229"/>
      <c r="S155" s="1229"/>
      <c r="T155" s="1228"/>
    </row>
    <row r="156" spans="1:20" s="1191" customFormat="1" ht="38.25" x14ac:dyDescent="0.2">
      <c r="F156" s="1203"/>
      <c r="G156" s="1230" t="s">
        <v>189</v>
      </c>
      <c r="H156" s="1231" t="s">
        <v>441</v>
      </c>
      <c r="I156" s="1232" t="s">
        <v>20</v>
      </c>
      <c r="J156" s="1254" t="s">
        <v>213</v>
      </c>
      <c r="K156" s="1254" t="s">
        <v>72</v>
      </c>
      <c r="L156" s="1289" t="s">
        <v>73</v>
      </c>
      <c r="M156" s="1254" t="s">
        <v>130</v>
      </c>
      <c r="N156" s="1209"/>
      <c r="O156" s="1366" t="s">
        <v>1017</v>
      </c>
      <c r="P156" s="1211" t="s">
        <v>248</v>
      </c>
      <c r="Q156" s="1211"/>
      <c r="R156" s="1211"/>
      <c r="S156" s="1211"/>
      <c r="T156" s="1209"/>
    </row>
    <row r="157" spans="1:20" s="1191" customFormat="1" x14ac:dyDescent="0.2">
      <c r="A157" s="1191" t="s">
        <v>710</v>
      </c>
      <c r="B157" s="1191" t="s">
        <v>184</v>
      </c>
      <c r="F157" s="1203"/>
      <c r="G157" s="1203"/>
      <c r="H157" s="1267" t="s">
        <v>214</v>
      </c>
      <c r="I157" s="1235" t="s">
        <v>215</v>
      </c>
      <c r="J157" s="1411">
        <f>Assumptions!$F$17*P157</f>
        <v>983</v>
      </c>
      <c r="K157" s="1210">
        <f>J15*1000*J47</f>
        <v>78900</v>
      </c>
      <c r="L157" s="1216">
        <f>2.2/32</f>
        <v>6.8750000000000006E-2</v>
      </c>
      <c r="M157" s="1211">
        <f>L157*K157*J157</f>
        <v>5332160.625</v>
      </c>
      <c r="N157" s="1209"/>
      <c r="O157" s="1211" t="s">
        <v>324</v>
      </c>
      <c r="P157" s="1211">
        <f>IF(O157="yes",1,2)</f>
        <v>1</v>
      </c>
      <c r="Q157" s="1211"/>
      <c r="R157" s="1211"/>
      <c r="S157" s="1211"/>
      <c r="T157" s="1209"/>
    </row>
    <row r="158" spans="1:20" s="1191" customFormat="1" x14ac:dyDescent="0.2">
      <c r="F158" s="1203"/>
      <c r="G158" s="1203"/>
      <c r="H158" s="1245"/>
      <c r="I158" s="1243"/>
      <c r="J158" s="1192"/>
      <c r="K158" s="1220"/>
      <c r="L158" s="1216"/>
      <c r="M158" s="1192"/>
      <c r="N158" s="1209"/>
      <c r="O158" s="1210"/>
      <c r="P158" s="1211"/>
      <c r="Q158" s="1211"/>
      <c r="R158" s="1211"/>
      <c r="S158" s="1211"/>
      <c r="T158" s="1209"/>
    </row>
    <row r="159" spans="1:20" s="1191" customFormat="1" x14ac:dyDescent="0.2">
      <c r="F159" s="1203"/>
      <c r="G159" s="1203"/>
      <c r="H159" s="1212" t="s">
        <v>216</v>
      </c>
      <c r="I159" s="1243"/>
      <c r="J159" s="1192"/>
      <c r="K159" s="1220"/>
      <c r="L159" s="1216"/>
      <c r="M159" s="1273">
        <f>M157</f>
        <v>5332160.625</v>
      </c>
      <c r="N159" s="1209"/>
      <c r="O159" s="1211"/>
      <c r="P159" s="1211"/>
      <c r="Q159" s="1211"/>
      <c r="R159" s="1211"/>
      <c r="S159" s="1211"/>
      <c r="T159" s="1209"/>
    </row>
    <row r="160" spans="1:20" s="1191" customFormat="1" x14ac:dyDescent="0.2">
      <c r="F160" s="1203"/>
      <c r="G160" s="1203"/>
      <c r="H160" s="1212"/>
      <c r="I160" s="1243"/>
      <c r="J160" s="1192"/>
      <c r="K160" s="1220"/>
      <c r="L160" s="1216"/>
      <c r="M160" s="1238"/>
      <c r="N160" s="1209"/>
      <c r="O160" s="1211"/>
      <c r="P160" s="1211"/>
      <c r="Q160" s="1211"/>
      <c r="R160" s="1211"/>
      <c r="S160" s="1211"/>
      <c r="T160" s="1209"/>
    </row>
    <row r="161" spans="1:20" s="1191" customFormat="1" ht="25.5" x14ac:dyDescent="0.2">
      <c r="F161" s="1203"/>
      <c r="G161" s="1196" t="s">
        <v>211</v>
      </c>
      <c r="H161" s="1275" t="s">
        <v>218</v>
      </c>
      <c r="I161" s="1276" t="s">
        <v>20</v>
      </c>
      <c r="J161" s="1198" t="s">
        <v>213</v>
      </c>
      <c r="K161" s="1198" t="s">
        <v>72</v>
      </c>
      <c r="L161" s="1199" t="s">
        <v>73</v>
      </c>
      <c r="M161" s="1198" t="s">
        <v>130</v>
      </c>
      <c r="N161" s="1202"/>
      <c r="O161" s="1318" t="s">
        <v>76</v>
      </c>
      <c r="P161" s="1187"/>
      <c r="Q161" s="1187"/>
      <c r="R161" s="1187"/>
      <c r="S161" s="1187"/>
      <c r="T161" s="1202"/>
    </row>
    <row r="162" spans="1:20" s="1191" customFormat="1" x14ac:dyDescent="0.2">
      <c r="F162" s="1203"/>
      <c r="G162" s="1230"/>
      <c r="H162" s="1204" t="s">
        <v>442</v>
      </c>
      <c r="I162" s="1235" t="s">
        <v>220</v>
      </c>
      <c r="J162" s="1263">
        <v>0.03</v>
      </c>
      <c r="K162" s="1210">
        <f>SUM(I250:I252)*1000000</f>
        <v>20000000</v>
      </c>
      <c r="L162" s="1323"/>
      <c r="M162" s="1244">
        <f t="shared" ref="M162:M167" si="11">J162*K162</f>
        <v>600000</v>
      </c>
      <c r="N162" s="1209"/>
      <c r="O162" s="1290"/>
      <c r="P162" s="1211"/>
      <c r="Q162" s="1211"/>
      <c r="R162" s="1211"/>
      <c r="S162" s="1211"/>
      <c r="T162" s="1209"/>
    </row>
    <row r="163" spans="1:20" s="1191" customFormat="1" x14ac:dyDescent="0.2">
      <c r="F163" s="1203"/>
      <c r="G163" s="1230"/>
      <c r="H163" s="1204" t="s">
        <v>443</v>
      </c>
      <c r="I163" s="1235" t="s">
        <v>220</v>
      </c>
      <c r="J163" s="1263">
        <v>0.03</v>
      </c>
      <c r="K163" s="1210">
        <f>SUM(I253:I256)*1000000</f>
        <v>54000000</v>
      </c>
      <c r="L163" s="1323"/>
      <c r="M163" s="1244">
        <f t="shared" si="11"/>
        <v>1620000</v>
      </c>
      <c r="N163" s="1209"/>
      <c r="O163" s="1290"/>
      <c r="P163" s="1211"/>
      <c r="Q163" s="1211"/>
      <c r="R163" s="1211"/>
      <c r="S163" s="1211"/>
      <c r="T163" s="1209"/>
    </row>
    <row r="164" spans="1:20" s="1191" customFormat="1" x14ac:dyDescent="0.2">
      <c r="F164" s="1203"/>
      <c r="G164" s="1230"/>
      <c r="H164" s="1204" t="s">
        <v>444</v>
      </c>
      <c r="I164" s="1235" t="s">
        <v>220</v>
      </c>
      <c r="J164" s="1263">
        <v>0.03</v>
      </c>
      <c r="K164" s="1210">
        <f>SUM(I257:I258)*1000000</f>
        <v>18000000</v>
      </c>
      <c r="L164" s="1323"/>
      <c r="M164" s="1244">
        <f t="shared" si="11"/>
        <v>540000</v>
      </c>
      <c r="N164" s="1209"/>
      <c r="O164" s="1211"/>
      <c r="P164" s="1211"/>
      <c r="Q164" s="1211"/>
      <c r="R164" s="1211"/>
      <c r="S164" s="1211"/>
      <c r="T164" s="1209"/>
    </row>
    <row r="165" spans="1:20" s="1191" customFormat="1" x14ac:dyDescent="0.2">
      <c r="F165" s="1203"/>
      <c r="G165" s="1230"/>
      <c r="H165" s="1204" t="s">
        <v>221</v>
      </c>
      <c r="I165" s="1235" t="s">
        <v>220</v>
      </c>
      <c r="J165" s="1263">
        <v>0.03</v>
      </c>
      <c r="K165" s="1191">
        <f>I259*1000000</f>
        <v>13000000</v>
      </c>
      <c r="L165" s="1323"/>
      <c r="M165" s="1244">
        <f t="shared" si="11"/>
        <v>390000</v>
      </c>
      <c r="N165" s="1209"/>
      <c r="O165" s="1211"/>
      <c r="P165" s="1211"/>
      <c r="Q165" s="1211"/>
      <c r="R165" s="1211"/>
      <c r="S165" s="1211"/>
      <c r="T165" s="1209"/>
    </row>
    <row r="166" spans="1:20" s="1191" customFormat="1" x14ac:dyDescent="0.2">
      <c r="F166" s="1203"/>
      <c r="G166" s="1230"/>
      <c r="H166" s="1204" t="s">
        <v>222</v>
      </c>
      <c r="I166" s="1235" t="s">
        <v>220</v>
      </c>
      <c r="J166" s="1263">
        <v>0.03</v>
      </c>
      <c r="K166" s="1210">
        <f>I260*1000000</f>
        <v>10000000</v>
      </c>
      <c r="L166" s="1323"/>
      <c r="M166" s="1244">
        <f t="shared" si="11"/>
        <v>300000</v>
      </c>
      <c r="N166" s="1209"/>
      <c r="O166" s="1211"/>
      <c r="P166" s="1211"/>
      <c r="Q166" s="1211"/>
      <c r="R166" s="1211"/>
      <c r="S166" s="1211"/>
      <c r="T166" s="1209"/>
    </row>
    <row r="167" spans="1:20" s="1191" customFormat="1" x14ac:dyDescent="0.2">
      <c r="F167" s="1203"/>
      <c r="G167" s="1230"/>
      <c r="H167" s="1204" t="s">
        <v>129</v>
      </c>
      <c r="I167" s="1235" t="s">
        <v>220</v>
      </c>
      <c r="J167" s="1263">
        <v>0.03</v>
      </c>
      <c r="K167" s="1210">
        <f>SUM(J261,J266:K266)*1000000</f>
        <v>18350000</v>
      </c>
      <c r="L167" s="1323"/>
      <c r="M167" s="1244">
        <f t="shared" si="11"/>
        <v>550500</v>
      </c>
      <c r="N167" s="1209"/>
      <c r="O167" s="1211"/>
      <c r="P167" s="1211"/>
      <c r="Q167" s="1211"/>
      <c r="R167" s="1211"/>
      <c r="S167" s="1211"/>
      <c r="T167" s="1209"/>
    </row>
    <row r="168" spans="1:20" s="1191" customFormat="1" x14ac:dyDescent="0.2">
      <c r="A168" s="1191" t="s">
        <v>711</v>
      </c>
      <c r="B168" s="1191" t="s">
        <v>218</v>
      </c>
      <c r="F168" s="1203"/>
      <c r="G168" s="1230"/>
      <c r="H168" s="1212" t="s">
        <v>445</v>
      </c>
      <c r="I168" s="1235"/>
      <c r="J168" s="1204"/>
      <c r="K168" s="1204"/>
      <c r="L168" s="1216"/>
      <c r="M168" s="1273">
        <f>SUM(M162:M167)</f>
        <v>4000500</v>
      </c>
      <c r="N168" s="1209"/>
      <c r="O168" s="1211"/>
      <c r="P168" s="1211"/>
      <c r="Q168" s="1211"/>
      <c r="R168" s="1211"/>
      <c r="S168" s="1211"/>
      <c r="T168" s="1209"/>
    </row>
    <row r="169" spans="1:20" s="1191" customFormat="1" x14ac:dyDescent="0.2">
      <c r="F169" s="1203"/>
      <c r="G169" s="1324"/>
      <c r="H169" s="1325"/>
      <c r="I169" s="1284"/>
      <c r="J169" s="1325"/>
      <c r="K169" s="1325"/>
      <c r="L169" s="1227"/>
      <c r="M169" s="1225"/>
      <c r="N169" s="1228"/>
      <c r="O169" s="1229"/>
      <c r="P169" s="1229"/>
      <c r="Q169" s="1229"/>
      <c r="R169" s="1229"/>
      <c r="S169" s="1229"/>
      <c r="T169" s="1228"/>
    </row>
    <row r="170" spans="1:20" s="1191" customFormat="1" ht="25.5" x14ac:dyDescent="0.2">
      <c r="F170" s="1203"/>
      <c r="G170" s="1196" t="s">
        <v>217</v>
      </c>
      <c r="H170" s="1275" t="s">
        <v>190</v>
      </c>
      <c r="I170" s="1276" t="s">
        <v>20</v>
      </c>
      <c r="J170" s="1198" t="s">
        <v>71</v>
      </c>
      <c r="K170" s="1198" t="s">
        <v>72</v>
      </c>
      <c r="L170" s="1199" t="s">
        <v>73</v>
      </c>
      <c r="M170" s="1198" t="s">
        <v>130</v>
      </c>
      <c r="N170" s="1202"/>
      <c r="O170" s="1318" t="s">
        <v>76</v>
      </c>
      <c r="P170" s="1187"/>
      <c r="Q170" s="1187"/>
      <c r="R170" s="1187"/>
      <c r="S170" s="1187"/>
      <c r="T170" s="1202"/>
    </row>
    <row r="171" spans="1:20" s="1191" customFormat="1" x14ac:dyDescent="0.2">
      <c r="F171" s="1203"/>
      <c r="G171" s="1203"/>
      <c r="H171" s="1204" t="s">
        <v>191</v>
      </c>
      <c r="I171" s="1235" t="s">
        <v>192</v>
      </c>
      <c r="J171" s="1326">
        <v>1</v>
      </c>
      <c r="K171" s="1327">
        <f t="shared" ref="K171:K179" si="12">J171</f>
        <v>1</v>
      </c>
      <c r="L171" s="1274">
        <v>185000</v>
      </c>
      <c r="M171" s="1244">
        <f t="shared" ref="M171:M181" si="13">K171*L171</f>
        <v>185000</v>
      </c>
      <c r="N171" s="1209"/>
      <c r="O171" s="1211"/>
      <c r="P171" s="1211"/>
      <c r="Q171" s="1211"/>
      <c r="R171" s="1211"/>
      <c r="S171" s="1211"/>
      <c r="T171" s="1209"/>
    </row>
    <row r="172" spans="1:20" s="1191" customFormat="1" x14ac:dyDescent="0.2">
      <c r="F172" s="1203"/>
      <c r="G172" s="1203"/>
      <c r="H172" s="1204" t="s">
        <v>193</v>
      </c>
      <c r="I172" s="1235" t="s">
        <v>192</v>
      </c>
      <c r="J172" s="1326">
        <v>1</v>
      </c>
      <c r="K172" s="1327">
        <f t="shared" si="12"/>
        <v>1</v>
      </c>
      <c r="L172" s="1274">
        <v>145000</v>
      </c>
      <c r="M172" s="1244">
        <f t="shared" si="13"/>
        <v>145000</v>
      </c>
      <c r="N172" s="1209"/>
      <c r="O172" s="1211"/>
      <c r="P172" s="1211"/>
      <c r="Q172" s="1211"/>
      <c r="R172" s="1211"/>
      <c r="S172" s="1211"/>
      <c r="T172" s="1209"/>
    </row>
    <row r="173" spans="1:20" s="1191" customFormat="1" x14ac:dyDescent="0.2">
      <c r="F173" s="1203"/>
      <c r="G173" s="1203"/>
      <c r="H173" s="1204" t="s">
        <v>194</v>
      </c>
      <c r="I173" s="1235" t="s">
        <v>192</v>
      </c>
      <c r="J173" s="1326">
        <v>1</v>
      </c>
      <c r="K173" s="1327">
        <f t="shared" si="12"/>
        <v>1</v>
      </c>
      <c r="L173" s="1274">
        <v>155000</v>
      </c>
      <c r="M173" s="1244">
        <f t="shared" si="13"/>
        <v>155000</v>
      </c>
      <c r="N173" s="1209"/>
      <c r="O173" s="1328" t="s">
        <v>495</v>
      </c>
      <c r="P173" s="1211"/>
      <c r="Q173" s="1211"/>
      <c r="R173" s="1211"/>
      <c r="S173" s="1211"/>
      <c r="T173" s="1209"/>
    </row>
    <row r="174" spans="1:20" s="1191" customFormat="1" x14ac:dyDescent="0.2">
      <c r="F174" s="1203"/>
      <c r="G174" s="1203"/>
      <c r="H174" s="1204" t="s">
        <v>195</v>
      </c>
      <c r="I174" s="1235" t="s">
        <v>192</v>
      </c>
      <c r="J174" s="1326">
        <v>3</v>
      </c>
      <c r="K174" s="1327">
        <f t="shared" si="12"/>
        <v>3</v>
      </c>
      <c r="L174" s="1274">
        <v>75000</v>
      </c>
      <c r="M174" s="1244">
        <f t="shared" si="13"/>
        <v>225000</v>
      </c>
      <c r="N174" s="1209"/>
      <c r="O174" s="1210" t="s">
        <v>446</v>
      </c>
      <c r="P174" s="1211"/>
      <c r="Q174" s="1211"/>
      <c r="R174" s="1211"/>
      <c r="S174" s="1211"/>
      <c r="T174" s="1209"/>
    </row>
    <row r="175" spans="1:20" s="1191" customFormat="1" x14ac:dyDescent="0.2">
      <c r="F175" s="1203"/>
      <c r="G175" s="1203"/>
      <c r="H175" s="1204" t="s">
        <v>197</v>
      </c>
      <c r="I175" s="1235" t="s">
        <v>192</v>
      </c>
      <c r="J175" s="1326">
        <v>1</v>
      </c>
      <c r="K175" s="1327">
        <f t="shared" si="12"/>
        <v>1</v>
      </c>
      <c r="L175" s="1274">
        <v>145000</v>
      </c>
      <c r="M175" s="1244">
        <f t="shared" si="13"/>
        <v>145000</v>
      </c>
      <c r="N175" s="1209"/>
      <c r="O175" s="1211"/>
      <c r="P175" s="1211"/>
      <c r="Q175" s="1211"/>
      <c r="R175" s="1211"/>
      <c r="S175" s="1211"/>
      <c r="T175" s="1209"/>
    </row>
    <row r="176" spans="1:20" s="1191" customFormat="1" x14ac:dyDescent="0.2">
      <c r="F176" s="1203"/>
      <c r="G176" s="1203"/>
      <c r="H176" s="1204" t="s">
        <v>198</v>
      </c>
      <c r="I176" s="1235" t="s">
        <v>192</v>
      </c>
      <c r="J176" s="1326">
        <v>3</v>
      </c>
      <c r="K176" s="1327">
        <f t="shared" si="12"/>
        <v>3</v>
      </c>
      <c r="L176" s="1274">
        <v>145000</v>
      </c>
      <c r="M176" s="1244">
        <f t="shared" si="13"/>
        <v>435000</v>
      </c>
      <c r="N176" s="1209"/>
      <c r="O176" s="1211"/>
      <c r="P176" s="1211"/>
      <c r="Q176" s="1211"/>
      <c r="R176" s="1211"/>
      <c r="S176" s="1211"/>
      <c r="T176" s="1209"/>
    </row>
    <row r="177" spans="1:20" s="1191" customFormat="1" x14ac:dyDescent="0.2">
      <c r="F177" s="1203"/>
      <c r="G177" s="1203"/>
      <c r="H177" s="1204" t="s">
        <v>199</v>
      </c>
      <c r="I177" s="1235" t="s">
        <v>192</v>
      </c>
      <c r="J177" s="1326">
        <v>8</v>
      </c>
      <c r="K177" s="1327">
        <f t="shared" si="12"/>
        <v>8</v>
      </c>
      <c r="L177" s="1274">
        <v>75000</v>
      </c>
      <c r="M177" s="1244">
        <f t="shared" si="13"/>
        <v>600000</v>
      </c>
      <c r="N177" s="1209"/>
      <c r="O177" s="1328" t="s">
        <v>493</v>
      </c>
      <c r="P177" s="1211"/>
      <c r="Q177" s="1211"/>
      <c r="R177" s="1211"/>
      <c r="S177" s="1211"/>
      <c r="T177" s="1209"/>
    </row>
    <row r="178" spans="1:20" s="1191" customFormat="1" x14ac:dyDescent="0.2">
      <c r="F178" s="1203"/>
      <c r="G178" s="1203"/>
      <c r="H178" s="1204" t="s">
        <v>200</v>
      </c>
      <c r="I178" s="1235" t="s">
        <v>192</v>
      </c>
      <c r="J178" s="1326">
        <v>3</v>
      </c>
      <c r="K178" s="1327">
        <f t="shared" si="12"/>
        <v>3</v>
      </c>
      <c r="L178" s="1274">
        <v>55000</v>
      </c>
      <c r="M178" s="1244">
        <f t="shared" si="13"/>
        <v>165000</v>
      </c>
      <c r="N178" s="1209"/>
      <c r="O178" s="1211"/>
      <c r="P178" s="1211"/>
      <c r="Q178" s="1211"/>
      <c r="R178" s="1211"/>
      <c r="S178" s="1211"/>
      <c r="T178" s="1209"/>
    </row>
    <row r="179" spans="1:20" s="1191" customFormat="1" x14ac:dyDescent="0.2">
      <c r="F179" s="1203"/>
      <c r="G179" s="1203"/>
      <c r="H179" s="1204" t="s">
        <v>201</v>
      </c>
      <c r="I179" s="1235" t="s">
        <v>192</v>
      </c>
      <c r="J179" s="1326">
        <v>1</v>
      </c>
      <c r="K179" s="1327">
        <f t="shared" si="12"/>
        <v>1</v>
      </c>
      <c r="L179" s="1274">
        <v>65000</v>
      </c>
      <c r="M179" s="1244">
        <f t="shared" si="13"/>
        <v>65000</v>
      </c>
      <c r="N179" s="1209"/>
      <c r="O179" s="1210" t="s">
        <v>203</v>
      </c>
      <c r="P179" s="1211"/>
      <c r="Q179" s="1211"/>
      <c r="R179" s="1211"/>
      <c r="S179" s="1211"/>
      <c r="T179" s="1209"/>
    </row>
    <row r="180" spans="1:20" s="1191" customFormat="1" x14ac:dyDescent="0.2">
      <c r="F180" s="1203"/>
      <c r="G180" s="1203"/>
      <c r="H180" s="1204" t="s">
        <v>202</v>
      </c>
      <c r="I180" s="1235" t="s">
        <v>192</v>
      </c>
      <c r="J180" s="1326">
        <v>3</v>
      </c>
      <c r="K180" s="1329">
        <f>J180*P180</f>
        <v>9</v>
      </c>
      <c r="L180" s="1274">
        <v>50000</v>
      </c>
      <c r="M180" s="1244">
        <f t="shared" si="13"/>
        <v>450000</v>
      </c>
      <c r="N180" s="1209"/>
      <c r="O180" s="1330" t="s">
        <v>206</v>
      </c>
      <c r="P180" s="1236">
        <v>3</v>
      </c>
      <c r="Q180" s="1211"/>
      <c r="R180" s="1211"/>
      <c r="S180" s="1211"/>
      <c r="T180" s="1209"/>
    </row>
    <row r="181" spans="1:20" s="1191" customFormat="1" x14ac:dyDescent="0.2">
      <c r="F181" s="1203"/>
      <c r="G181" s="1203"/>
      <c r="H181" s="1204" t="s">
        <v>204</v>
      </c>
      <c r="I181" s="1235" t="s">
        <v>205</v>
      </c>
      <c r="J181" s="1326">
        <v>3</v>
      </c>
      <c r="K181" s="1327">
        <f>J181*P181</f>
        <v>12</v>
      </c>
      <c r="L181" s="1274">
        <v>65000</v>
      </c>
      <c r="M181" s="1244">
        <f t="shared" si="13"/>
        <v>780000</v>
      </c>
      <c r="N181" s="1209"/>
      <c r="O181" s="1210" t="s">
        <v>206</v>
      </c>
      <c r="P181" s="1236">
        <v>4</v>
      </c>
      <c r="Q181" s="1210"/>
      <c r="R181" s="1328" t="s">
        <v>494</v>
      </c>
      <c r="S181" s="1211"/>
      <c r="T181" s="1209"/>
    </row>
    <row r="182" spans="1:20" s="1191" customFormat="1" x14ac:dyDescent="0.2">
      <c r="F182" s="1203"/>
      <c r="G182" s="1203"/>
      <c r="H182" s="1245" t="s">
        <v>207</v>
      </c>
      <c r="I182" s="1243"/>
      <c r="J182" s="1192"/>
      <c r="K182" s="1331">
        <f>SUM(K171:K181)</f>
        <v>43</v>
      </c>
      <c r="L182" s="1216"/>
      <c r="M182" s="1312">
        <f>SUM(M171:M181)</f>
        <v>3350000</v>
      </c>
      <c r="N182" s="1209"/>
      <c r="O182" s="1211"/>
      <c r="P182" s="1211"/>
      <c r="Q182" s="1211"/>
      <c r="R182" s="1211"/>
      <c r="S182" s="1211"/>
      <c r="T182" s="1209"/>
    </row>
    <row r="183" spans="1:20" s="1191" customFormat="1" x14ac:dyDescent="0.2">
      <c r="F183" s="1203"/>
      <c r="G183" s="1203"/>
      <c r="H183" s="1245" t="s">
        <v>208</v>
      </c>
      <c r="I183" s="1235" t="s">
        <v>209</v>
      </c>
      <c r="J183" s="1332">
        <v>0.2</v>
      </c>
      <c r="K183" s="1238">
        <f>M182</f>
        <v>3350000</v>
      </c>
      <c r="L183" s="1216"/>
      <c r="M183" s="1244">
        <f>K183*J183</f>
        <v>670000</v>
      </c>
      <c r="N183" s="1209"/>
      <c r="O183" s="1211"/>
      <c r="P183" s="1211"/>
      <c r="Q183" s="1211"/>
      <c r="R183" s="1211"/>
      <c r="S183" s="1211"/>
      <c r="T183" s="1209"/>
    </row>
    <row r="184" spans="1:20" s="1191" customFormat="1" x14ac:dyDescent="0.2">
      <c r="A184" s="1191" t="s">
        <v>709</v>
      </c>
      <c r="B184" s="1191" t="s">
        <v>287</v>
      </c>
      <c r="F184" s="1203"/>
      <c r="G184" s="1203"/>
      <c r="H184" s="1212" t="s">
        <v>210</v>
      </c>
      <c r="I184" s="1243"/>
      <c r="J184" s="1192"/>
      <c r="K184" s="1220"/>
      <c r="L184" s="1216"/>
      <c r="M184" s="1256">
        <f>SUM(M182:M183)</f>
        <v>4020000</v>
      </c>
      <c r="N184" s="1209"/>
      <c r="O184" s="1211"/>
      <c r="P184" s="1211"/>
      <c r="Q184" s="1211"/>
      <c r="R184" s="1211"/>
      <c r="S184" s="1211"/>
      <c r="T184" s="1209"/>
    </row>
    <row r="185" spans="1:20" s="1191" customFormat="1" x14ac:dyDescent="0.2">
      <c r="F185" s="1203"/>
      <c r="G185" s="1224"/>
      <c r="H185" s="1303"/>
      <c r="I185" s="1226"/>
      <c r="J185" s="1225"/>
      <c r="K185" s="1302"/>
      <c r="L185" s="1227"/>
      <c r="M185" s="1225"/>
      <c r="N185" s="1228"/>
      <c r="O185" s="1229"/>
      <c r="P185" s="1229"/>
      <c r="Q185" s="1229"/>
      <c r="R185" s="1229"/>
      <c r="S185" s="1229"/>
      <c r="T185" s="1228"/>
    </row>
    <row r="186" spans="1:20" s="1191" customFormat="1" ht="25.5" x14ac:dyDescent="0.2">
      <c r="F186" s="1203"/>
      <c r="G186" s="1196" t="s">
        <v>447</v>
      </c>
      <c r="H186" s="1275" t="s">
        <v>448</v>
      </c>
      <c r="I186" s="1276" t="s">
        <v>20</v>
      </c>
      <c r="J186" s="1198" t="s">
        <v>213</v>
      </c>
      <c r="K186" s="1198" t="s">
        <v>72</v>
      </c>
      <c r="L186" s="1199" t="s">
        <v>73</v>
      </c>
      <c r="M186" s="1198" t="s">
        <v>130</v>
      </c>
      <c r="N186" s="1202"/>
      <c r="O186" s="1318" t="s">
        <v>76</v>
      </c>
      <c r="P186" s="1211"/>
      <c r="Q186" s="1211"/>
      <c r="R186" s="1211"/>
      <c r="S186" s="1211"/>
      <c r="T186" s="1209"/>
    </row>
    <row r="187" spans="1:20" s="1191" customFormat="1" x14ac:dyDescent="0.2">
      <c r="F187" s="1203"/>
      <c r="G187" s="1203"/>
      <c r="H187" s="1204" t="s">
        <v>224</v>
      </c>
      <c r="I187" s="1235" t="s">
        <v>225</v>
      </c>
      <c r="J187" s="1294">
        <v>20</v>
      </c>
      <c r="K187" s="1192">
        <f>J187</f>
        <v>20</v>
      </c>
      <c r="L187" s="1274">
        <v>2000</v>
      </c>
      <c r="M187" s="1211">
        <f>L187*K187</f>
        <v>40000</v>
      </c>
      <c r="N187" s="1209"/>
      <c r="O187" s="1211"/>
      <c r="P187" s="1211"/>
      <c r="Q187" s="1211"/>
      <c r="R187" s="1211"/>
      <c r="S187" s="1211"/>
      <c r="T187" s="1209"/>
    </row>
    <row r="188" spans="1:20" s="1191" customFormat="1" x14ac:dyDescent="0.2">
      <c r="F188" s="1203"/>
      <c r="G188" s="1203"/>
      <c r="H188" s="1204" t="s">
        <v>226</v>
      </c>
      <c r="I188" s="1235" t="s">
        <v>227</v>
      </c>
      <c r="J188" s="1294"/>
      <c r="K188" s="1192"/>
      <c r="L188" s="1208"/>
      <c r="M188" s="1211">
        <f>L188*K188</f>
        <v>0</v>
      </c>
      <c r="N188" s="1209"/>
      <c r="O188" s="1210" t="s">
        <v>228</v>
      </c>
      <c r="P188" s="1211"/>
      <c r="Q188" s="1211"/>
      <c r="R188" s="1211"/>
      <c r="S188" s="1211"/>
      <c r="T188" s="1209"/>
    </row>
    <row r="189" spans="1:20" s="1191" customFormat="1" x14ac:dyDescent="0.2">
      <c r="F189" s="1203"/>
      <c r="G189" s="1203"/>
      <c r="H189" s="1204" t="s">
        <v>229</v>
      </c>
      <c r="I189" s="1235" t="s">
        <v>227</v>
      </c>
      <c r="J189" s="1236">
        <v>1</v>
      </c>
      <c r="K189" s="1211">
        <f>J189</f>
        <v>1</v>
      </c>
      <c r="L189" s="1274">
        <v>150000</v>
      </c>
      <c r="M189" s="1211">
        <f>L189*K189</f>
        <v>150000</v>
      </c>
      <c r="N189" s="1209"/>
      <c r="O189" s="1211"/>
      <c r="P189" s="1211"/>
      <c r="Q189" s="1211"/>
      <c r="R189" s="1211"/>
      <c r="S189" s="1211"/>
      <c r="T189" s="1209"/>
    </row>
    <row r="190" spans="1:20" s="1191" customFormat="1" x14ac:dyDescent="0.2">
      <c r="F190" s="1203"/>
      <c r="G190" s="1203"/>
      <c r="H190" s="1204" t="s">
        <v>449</v>
      </c>
      <c r="I190" s="1235" t="s">
        <v>227</v>
      </c>
      <c r="J190" s="1236">
        <v>1</v>
      </c>
      <c r="K190" s="1211">
        <f>J190</f>
        <v>1</v>
      </c>
      <c r="L190" s="1274">
        <v>1000000</v>
      </c>
      <c r="M190" s="1211">
        <f>L190*K190</f>
        <v>1000000</v>
      </c>
      <c r="N190" s="1209"/>
      <c r="O190" s="1211"/>
      <c r="P190" s="1211"/>
      <c r="Q190" s="1211"/>
      <c r="R190" s="1211"/>
      <c r="S190" s="1211"/>
      <c r="T190" s="1209"/>
    </row>
    <row r="191" spans="1:20" s="1191" customFormat="1" x14ac:dyDescent="0.2">
      <c r="F191" s="1203"/>
      <c r="G191" s="1203"/>
      <c r="H191" s="1204" t="s">
        <v>231</v>
      </c>
      <c r="I191" s="1235" t="s">
        <v>220</v>
      </c>
      <c r="J191" s="1333">
        <v>3.0000000000000001E-3</v>
      </c>
      <c r="K191" s="1334">
        <f>SUM(J268:K268)*1000000</f>
        <v>179850000.00000003</v>
      </c>
      <c r="L191" s="1208">
        <f>K191*J191</f>
        <v>539550.00000000012</v>
      </c>
      <c r="M191" s="1211">
        <f>L191</f>
        <v>539550.00000000012</v>
      </c>
      <c r="N191" s="1209"/>
      <c r="O191" s="1211"/>
      <c r="P191" s="1211"/>
      <c r="Q191" s="1211"/>
      <c r="R191" s="1211"/>
      <c r="S191" s="1211"/>
      <c r="T191" s="1209"/>
    </row>
    <row r="192" spans="1:20" s="1191" customFormat="1" x14ac:dyDescent="0.2">
      <c r="F192" s="1203"/>
      <c r="G192" s="1203"/>
      <c r="H192" s="1204" t="s">
        <v>232</v>
      </c>
      <c r="I192" s="1235" t="s">
        <v>233</v>
      </c>
      <c r="J192" s="1335">
        <v>75</v>
      </c>
      <c r="K192" s="1244">
        <f>J192</f>
        <v>75</v>
      </c>
      <c r="L192" s="1274">
        <v>1000</v>
      </c>
      <c r="M192" s="1211">
        <f>L192*K192</f>
        <v>75000</v>
      </c>
      <c r="N192" s="1209"/>
      <c r="O192" s="1211"/>
      <c r="P192" s="1211"/>
      <c r="Q192" s="1211"/>
      <c r="R192" s="1211"/>
      <c r="S192" s="1211"/>
      <c r="T192" s="1209"/>
    </row>
    <row r="193" spans="1:27" s="1191" customFormat="1" x14ac:dyDescent="0.2">
      <c r="F193" s="1203"/>
      <c r="G193" s="1203"/>
      <c r="H193" s="1204" t="s">
        <v>234</v>
      </c>
      <c r="I193" s="1235" t="s">
        <v>235</v>
      </c>
      <c r="J193" s="1294">
        <v>200</v>
      </c>
      <c r="K193" s="1240">
        <f>J17</f>
        <v>335.8</v>
      </c>
      <c r="L193" s="1208">
        <f>K193*J193</f>
        <v>67160</v>
      </c>
      <c r="M193" s="1211">
        <f>L193</f>
        <v>67160</v>
      </c>
      <c r="N193" s="1209"/>
      <c r="O193" s="1211"/>
      <c r="P193" s="1211"/>
      <c r="Q193" s="1211"/>
      <c r="R193" s="1211"/>
      <c r="S193" s="1211"/>
      <c r="T193" s="1209"/>
    </row>
    <row r="194" spans="1:27" x14ac:dyDescent="0.2">
      <c r="A194" s="1107" t="s">
        <v>712</v>
      </c>
      <c r="B194" s="1107" t="s">
        <v>448</v>
      </c>
      <c r="F194" s="1203"/>
      <c r="G194" s="1203"/>
      <c r="H194" s="1212" t="s">
        <v>364</v>
      </c>
      <c r="I194" s="1243"/>
      <c r="J194" s="1192"/>
      <c r="K194" s="1192"/>
      <c r="L194" s="1216"/>
      <c r="M194" s="1256">
        <f>SUM(M187:M193)</f>
        <v>1871710</v>
      </c>
      <c r="N194" s="1209"/>
      <c r="O194" s="1211"/>
      <c r="P194" s="1211"/>
      <c r="Q194" s="1211"/>
      <c r="R194" s="1211"/>
      <c r="S194" s="1211"/>
      <c r="T194" s="1209"/>
    </row>
    <row r="195" spans="1:27" x14ac:dyDescent="0.2">
      <c r="F195" s="1203"/>
      <c r="G195" s="1203"/>
      <c r="H195" s="1212"/>
      <c r="I195" s="1243"/>
      <c r="J195" s="1192"/>
      <c r="K195" s="1192"/>
      <c r="L195" s="1216"/>
      <c r="M195" s="1192"/>
      <c r="N195" s="1209"/>
      <c r="O195" s="1211"/>
      <c r="P195" s="1211"/>
      <c r="Q195" s="1211"/>
      <c r="R195" s="1211"/>
      <c r="S195" s="1211"/>
      <c r="T195" s="1209"/>
    </row>
    <row r="196" spans="1:27" ht="25.5" x14ac:dyDescent="0.2">
      <c r="F196" s="1203"/>
      <c r="G196" s="1196" t="s">
        <v>450</v>
      </c>
      <c r="H196" s="1336" t="s">
        <v>451</v>
      </c>
      <c r="I196" s="1276" t="s">
        <v>20</v>
      </c>
      <c r="J196" s="1198" t="s">
        <v>213</v>
      </c>
      <c r="K196" s="1198" t="s">
        <v>72</v>
      </c>
      <c r="L196" s="1199" t="s">
        <v>73</v>
      </c>
      <c r="M196" s="1198" t="s">
        <v>130</v>
      </c>
      <c r="N196" s="1202"/>
      <c r="O196" s="1318" t="s">
        <v>76</v>
      </c>
      <c r="P196" s="1187"/>
      <c r="Q196" s="1187"/>
      <c r="R196" s="1187"/>
      <c r="S196" s="1187"/>
      <c r="T196" s="1202"/>
    </row>
    <row r="197" spans="1:27" x14ac:dyDescent="0.2">
      <c r="F197" s="1203"/>
      <c r="G197" s="1203"/>
      <c r="H197" s="1204" t="s">
        <v>237</v>
      </c>
      <c r="I197" s="1235" t="s">
        <v>238</v>
      </c>
      <c r="J197" s="1294"/>
      <c r="K197" s="1192"/>
      <c r="L197" s="1299"/>
      <c r="M197" s="1192"/>
      <c r="N197" s="1209"/>
      <c r="O197" s="1211"/>
      <c r="P197" s="1211"/>
      <c r="Q197" s="1211"/>
      <c r="R197" s="1211"/>
      <c r="S197" s="1211"/>
      <c r="T197" s="1209"/>
    </row>
    <row r="198" spans="1:27" ht="14.25" x14ac:dyDescent="0.2">
      <c r="F198" s="1203"/>
      <c r="G198" s="1203"/>
      <c r="H198" s="1204" t="s">
        <v>221</v>
      </c>
      <c r="I198" s="1235" t="s">
        <v>239</v>
      </c>
      <c r="J198" s="1335">
        <v>8000</v>
      </c>
      <c r="K198" s="1192"/>
      <c r="L198" s="1279"/>
      <c r="M198" s="1192"/>
      <c r="N198" s="1209"/>
      <c r="O198" s="1210" t="s">
        <v>240</v>
      </c>
      <c r="P198" s="1211"/>
      <c r="Q198" s="1236">
        <v>0.6</v>
      </c>
      <c r="R198" s="1210" t="s">
        <v>241</v>
      </c>
      <c r="S198" s="1236">
        <v>37</v>
      </c>
      <c r="T198" s="1241" t="s">
        <v>242</v>
      </c>
    </row>
    <row r="199" spans="1:27" x14ac:dyDescent="0.2">
      <c r="F199" s="1203"/>
      <c r="G199" s="1203"/>
      <c r="H199" s="1192"/>
      <c r="I199" s="1235" t="s">
        <v>243</v>
      </c>
      <c r="J199" s="1335">
        <f>J198*Q198*S198</f>
        <v>177600</v>
      </c>
      <c r="K199" s="1240">
        <f>J17</f>
        <v>335.8</v>
      </c>
      <c r="L199" s="1279">
        <f>7/1000</f>
        <v>7.0000000000000001E-3</v>
      </c>
      <c r="M199" s="1337"/>
      <c r="N199" s="1209"/>
      <c r="O199" s="1211"/>
      <c r="P199" s="1211"/>
      <c r="Q199" s="1211"/>
      <c r="R199" s="1211"/>
      <c r="S199" s="1211"/>
      <c r="T199" s="1209"/>
    </row>
    <row r="200" spans="1:27" x14ac:dyDescent="0.2">
      <c r="F200" s="1203"/>
      <c r="G200" s="1203"/>
      <c r="H200" s="1204" t="s">
        <v>244</v>
      </c>
      <c r="I200" s="1235" t="s">
        <v>245</v>
      </c>
      <c r="J200" s="1244" t="str">
        <f>K148</f>
        <v xml:space="preserve"> Quantity</v>
      </c>
      <c r="K200" s="1338">
        <f>K145/1000</f>
        <v>27910.24879581152</v>
      </c>
      <c r="L200" s="1294">
        <v>80</v>
      </c>
      <c r="M200" s="1210">
        <f>L200*K200</f>
        <v>2232819.9036649214</v>
      </c>
      <c r="N200" s="1192"/>
      <c r="O200" s="1339" t="s">
        <v>246</v>
      </c>
      <c r="P200" s="1211"/>
      <c r="Q200" s="1211"/>
      <c r="R200" s="1211"/>
      <c r="S200" s="1211"/>
      <c r="T200" s="1209"/>
    </row>
    <row r="201" spans="1:27" x14ac:dyDescent="0.2">
      <c r="F201" s="1203"/>
      <c r="G201" s="1203"/>
      <c r="H201" s="1204" t="s">
        <v>247</v>
      </c>
      <c r="I201" s="1235"/>
      <c r="J201" s="1192"/>
      <c r="K201" s="1192"/>
      <c r="L201" s="1192"/>
      <c r="M201" s="1192"/>
      <c r="N201" s="1192"/>
      <c r="O201" s="1204"/>
      <c r="P201" s="1211"/>
      <c r="Q201" s="1211"/>
      <c r="R201" s="1211"/>
      <c r="S201" s="1211"/>
      <c r="T201" s="1209"/>
    </row>
    <row r="202" spans="1:27" x14ac:dyDescent="0.2">
      <c r="F202" s="1203"/>
      <c r="G202" s="1203"/>
      <c r="H202" s="1212" t="s">
        <v>365</v>
      </c>
      <c r="I202" s="1235"/>
      <c r="J202" s="1192"/>
      <c r="K202" s="1192"/>
      <c r="L202" s="1192"/>
      <c r="M202" s="1265">
        <f>SUM(M197:M200)</f>
        <v>2232819.9036649214</v>
      </c>
      <c r="N202" s="1192"/>
      <c r="O202" s="1204"/>
      <c r="P202" s="1211"/>
      <c r="Q202" s="1211"/>
      <c r="R202" s="1211"/>
      <c r="S202" s="1211"/>
      <c r="T202" s="1209"/>
    </row>
    <row r="203" spans="1:27" x14ac:dyDescent="0.2">
      <c r="F203" s="1203"/>
      <c r="G203" s="1203"/>
      <c r="H203" s="1204"/>
      <c r="I203" s="1235"/>
      <c r="J203" s="1192"/>
      <c r="K203" s="1192"/>
      <c r="L203" s="1192"/>
      <c r="M203" s="1192"/>
      <c r="N203" s="1209"/>
      <c r="O203" s="1210"/>
      <c r="P203" s="1211"/>
      <c r="Q203" s="1211"/>
      <c r="R203" s="1211"/>
      <c r="S203" s="1211"/>
      <c r="T203" s="1209"/>
    </row>
    <row r="204" spans="1:27" x14ac:dyDescent="0.2">
      <c r="F204" s="1203"/>
      <c r="G204" s="1224"/>
      <c r="H204" s="1225"/>
      <c r="I204" s="1226"/>
      <c r="J204" s="1340">
        <v>0</v>
      </c>
      <c r="K204" s="1341">
        <v>1</v>
      </c>
      <c r="L204" s="1341">
        <v>2</v>
      </c>
      <c r="M204" s="1341">
        <v>3</v>
      </c>
      <c r="N204" s="1341">
        <v>4</v>
      </c>
      <c r="O204" s="1341">
        <v>5</v>
      </c>
      <c r="P204" s="1341">
        <v>6</v>
      </c>
      <c r="Q204" s="1341">
        <v>7</v>
      </c>
      <c r="R204" s="1341">
        <v>8</v>
      </c>
      <c r="S204" s="1341">
        <v>9</v>
      </c>
      <c r="T204" s="1341">
        <v>10</v>
      </c>
      <c r="U204" s="1341">
        <v>11</v>
      </c>
      <c r="V204" s="1341">
        <v>12</v>
      </c>
      <c r="W204" s="1341">
        <v>13</v>
      </c>
      <c r="X204" s="1341">
        <v>14</v>
      </c>
      <c r="Y204" s="1341">
        <v>15</v>
      </c>
      <c r="Z204" s="1342">
        <v>16</v>
      </c>
    </row>
    <row r="205" spans="1:27" x14ac:dyDescent="0.2">
      <c r="F205" s="1203"/>
      <c r="G205" s="1196">
        <v>12</v>
      </c>
      <c r="H205" s="1343" t="s">
        <v>248</v>
      </c>
      <c r="I205" s="1344"/>
      <c r="J205" s="1198" t="s">
        <v>249</v>
      </c>
      <c r="K205" s="1199" t="s">
        <v>250</v>
      </c>
      <c r="L205" s="1199" t="s">
        <v>251</v>
      </c>
      <c r="M205" s="1199" t="s">
        <v>252</v>
      </c>
      <c r="N205" s="1345" t="s">
        <v>253</v>
      </c>
      <c r="O205" s="1345" t="s">
        <v>254</v>
      </c>
      <c r="P205" s="1345" t="s">
        <v>255</v>
      </c>
      <c r="Q205" s="1345" t="s">
        <v>256</v>
      </c>
      <c r="R205" s="1345" t="s">
        <v>257</v>
      </c>
      <c r="S205" s="1345" t="s">
        <v>258</v>
      </c>
      <c r="T205" s="1345" t="s">
        <v>259</v>
      </c>
      <c r="U205" s="1345" t="s">
        <v>260</v>
      </c>
      <c r="V205" s="1345" t="s">
        <v>261</v>
      </c>
      <c r="W205" s="1345" t="s">
        <v>262</v>
      </c>
      <c r="X205" s="1345" t="s">
        <v>263</v>
      </c>
      <c r="Y205" s="1345" t="s">
        <v>264</v>
      </c>
      <c r="Z205" s="1346" t="s">
        <v>265</v>
      </c>
    </row>
    <row r="206" spans="1:27" x14ac:dyDescent="0.2">
      <c r="F206" s="1203"/>
      <c r="G206" s="1203"/>
      <c r="H206" s="1204" t="s">
        <v>266</v>
      </c>
      <c r="I206" s="1235"/>
      <c r="J206" s="1347">
        <v>0</v>
      </c>
      <c r="K206" s="1348">
        <f t="shared" ref="K206:Z207" si="14">J206</f>
        <v>0</v>
      </c>
      <c r="L206" s="1348">
        <f t="shared" si="14"/>
        <v>0</v>
      </c>
      <c r="M206" s="1348">
        <f t="shared" si="14"/>
        <v>0</v>
      </c>
      <c r="N206" s="1349">
        <f t="shared" si="14"/>
        <v>0</v>
      </c>
      <c r="O206" s="1259">
        <f t="shared" si="14"/>
        <v>0</v>
      </c>
      <c r="P206" s="1349">
        <f t="shared" si="14"/>
        <v>0</v>
      </c>
      <c r="Q206" s="1349">
        <f t="shared" si="14"/>
        <v>0</v>
      </c>
      <c r="R206" s="1349">
        <f t="shared" si="14"/>
        <v>0</v>
      </c>
      <c r="S206" s="1349">
        <f t="shared" si="14"/>
        <v>0</v>
      </c>
      <c r="T206" s="1349">
        <f t="shared" si="14"/>
        <v>0</v>
      </c>
      <c r="U206" s="1349">
        <f t="shared" si="14"/>
        <v>0</v>
      </c>
      <c r="V206" s="1349">
        <f t="shared" si="14"/>
        <v>0</v>
      </c>
      <c r="W206" s="1349">
        <f t="shared" si="14"/>
        <v>0</v>
      </c>
      <c r="X206" s="1349">
        <f t="shared" si="14"/>
        <v>0</v>
      </c>
      <c r="Y206" s="1349">
        <f t="shared" si="14"/>
        <v>0</v>
      </c>
      <c r="Z206" s="1350">
        <f t="shared" si="14"/>
        <v>0</v>
      </c>
      <c r="AA206" s="1351"/>
    </row>
    <row r="207" spans="1:27" x14ac:dyDescent="0.2">
      <c r="F207" s="1203"/>
      <c r="G207" s="1203"/>
      <c r="H207" s="1204" t="s">
        <v>267</v>
      </c>
      <c r="I207" s="1235"/>
      <c r="J207" s="1347">
        <v>0</v>
      </c>
      <c r="K207" s="1348">
        <f t="shared" si="14"/>
        <v>0</v>
      </c>
      <c r="L207" s="1348">
        <f t="shared" si="14"/>
        <v>0</v>
      </c>
      <c r="M207" s="1348">
        <f t="shared" si="14"/>
        <v>0</v>
      </c>
      <c r="N207" s="1349">
        <f t="shared" si="14"/>
        <v>0</v>
      </c>
      <c r="O207" s="1259">
        <f t="shared" si="14"/>
        <v>0</v>
      </c>
      <c r="P207" s="1349">
        <f t="shared" si="14"/>
        <v>0</v>
      </c>
      <c r="Q207" s="1349">
        <f t="shared" si="14"/>
        <v>0</v>
      </c>
      <c r="R207" s="1349">
        <f t="shared" si="14"/>
        <v>0</v>
      </c>
      <c r="S207" s="1349">
        <f t="shared" si="14"/>
        <v>0</v>
      </c>
      <c r="T207" s="1349">
        <f t="shared" si="14"/>
        <v>0</v>
      </c>
      <c r="U207" s="1349">
        <f t="shared" si="14"/>
        <v>0</v>
      </c>
      <c r="V207" s="1349">
        <f t="shared" si="14"/>
        <v>0</v>
      </c>
      <c r="W207" s="1349">
        <f t="shared" si="14"/>
        <v>0</v>
      </c>
      <c r="X207" s="1349">
        <f t="shared" si="14"/>
        <v>0</v>
      </c>
      <c r="Y207" s="1349">
        <f t="shared" si="14"/>
        <v>0</v>
      </c>
      <c r="Z207" s="1350">
        <f t="shared" si="14"/>
        <v>0</v>
      </c>
      <c r="AA207" s="1351"/>
    </row>
    <row r="208" spans="1:27" x14ac:dyDescent="0.2">
      <c r="F208" s="1203"/>
      <c r="G208" s="1203"/>
      <c r="H208" s="1204" t="s">
        <v>268</v>
      </c>
      <c r="I208" s="1235"/>
      <c r="J208" s="1352">
        <v>1</v>
      </c>
      <c r="K208" s="1348"/>
      <c r="L208" s="1348"/>
      <c r="M208" s="1348"/>
      <c r="N208" s="1349"/>
      <c r="O208" s="1259"/>
      <c r="P208" s="1349"/>
      <c r="Q208" s="1349"/>
      <c r="R208" s="1349"/>
      <c r="S208" s="1349"/>
      <c r="T208" s="1349"/>
      <c r="U208" s="1349"/>
      <c r="V208" s="1349"/>
      <c r="W208" s="1349"/>
      <c r="X208" s="1349"/>
      <c r="Y208" s="1349"/>
      <c r="Z208" s="1350"/>
      <c r="AA208" s="1351"/>
    </row>
    <row r="209" spans="3:28" x14ac:dyDescent="0.2">
      <c r="F209" s="1203"/>
      <c r="G209" s="1203"/>
      <c r="H209" s="1204" t="s">
        <v>269</v>
      </c>
      <c r="I209" s="1235"/>
      <c r="J209" s="1352">
        <v>1</v>
      </c>
      <c r="K209" s="1204"/>
      <c r="L209" s="1192"/>
      <c r="M209" s="1192"/>
      <c r="N209" s="1349"/>
      <c r="O209" s="1259"/>
      <c r="P209" s="1349"/>
      <c r="Q209" s="1349"/>
      <c r="R209" s="1349"/>
      <c r="S209" s="1349"/>
      <c r="T209" s="1349"/>
      <c r="U209" s="1349"/>
      <c r="V209" s="1349"/>
      <c r="W209" s="1349"/>
      <c r="X209" s="1349"/>
      <c r="Y209" s="1349"/>
      <c r="Z209" s="1350"/>
    </row>
    <row r="210" spans="3:28" x14ac:dyDescent="0.2">
      <c r="F210" s="1203"/>
      <c r="G210" s="1203"/>
      <c r="H210" s="1204" t="s">
        <v>270</v>
      </c>
      <c r="I210" s="1235"/>
      <c r="J210" s="1294">
        <v>0</v>
      </c>
      <c r="K210" s="983">
        <v>0</v>
      </c>
      <c r="L210" s="1250">
        <v>0.75</v>
      </c>
      <c r="M210" s="1250">
        <v>1</v>
      </c>
      <c r="N210" s="1353">
        <f t="shared" ref="N210:Z210" si="15">M210</f>
        <v>1</v>
      </c>
      <c r="O210" s="1353">
        <f t="shared" si="15"/>
        <v>1</v>
      </c>
      <c r="P210" s="1353">
        <f t="shared" si="15"/>
        <v>1</v>
      </c>
      <c r="Q210" s="1353">
        <f t="shared" si="15"/>
        <v>1</v>
      </c>
      <c r="R210" s="1353">
        <f t="shared" si="15"/>
        <v>1</v>
      </c>
      <c r="S210" s="1353">
        <f t="shared" si="15"/>
        <v>1</v>
      </c>
      <c r="T210" s="1353">
        <f t="shared" si="15"/>
        <v>1</v>
      </c>
      <c r="U210" s="1353">
        <f t="shared" si="15"/>
        <v>1</v>
      </c>
      <c r="V210" s="1353">
        <f t="shared" si="15"/>
        <v>1</v>
      </c>
      <c r="W210" s="1353">
        <f t="shared" si="15"/>
        <v>1</v>
      </c>
      <c r="X210" s="1353">
        <f t="shared" si="15"/>
        <v>1</v>
      </c>
      <c r="Y210" s="1353">
        <f t="shared" si="15"/>
        <v>1</v>
      </c>
      <c r="Z210" s="1354">
        <f t="shared" si="15"/>
        <v>1</v>
      </c>
      <c r="AA210" s="1332"/>
    </row>
    <row r="211" spans="3:28" x14ac:dyDescent="0.2">
      <c r="F211" s="1203"/>
      <c r="G211" s="1203"/>
      <c r="H211" s="1355" t="s">
        <v>271</v>
      </c>
      <c r="I211" s="1235"/>
      <c r="J211" s="1308">
        <f t="shared" ref="J211:Z211" si="16">(1+J206)^J204</f>
        <v>1</v>
      </c>
      <c r="K211" s="1308">
        <f t="shared" si="16"/>
        <v>1</v>
      </c>
      <c r="L211" s="1308">
        <f t="shared" si="16"/>
        <v>1</v>
      </c>
      <c r="M211" s="1308">
        <f t="shared" si="16"/>
        <v>1</v>
      </c>
      <c r="N211" s="1278">
        <f t="shared" si="16"/>
        <v>1</v>
      </c>
      <c r="O211" s="1278">
        <f t="shared" si="16"/>
        <v>1</v>
      </c>
      <c r="P211" s="1278">
        <f t="shared" si="16"/>
        <v>1</v>
      </c>
      <c r="Q211" s="1278">
        <f t="shared" si="16"/>
        <v>1</v>
      </c>
      <c r="R211" s="1278">
        <f t="shared" si="16"/>
        <v>1</v>
      </c>
      <c r="S211" s="1278">
        <f t="shared" si="16"/>
        <v>1</v>
      </c>
      <c r="T211" s="1278">
        <f t="shared" si="16"/>
        <v>1</v>
      </c>
      <c r="U211" s="1278">
        <f t="shared" si="16"/>
        <v>1</v>
      </c>
      <c r="V211" s="1278">
        <f t="shared" si="16"/>
        <v>1</v>
      </c>
      <c r="W211" s="1278">
        <f t="shared" si="16"/>
        <v>1</v>
      </c>
      <c r="X211" s="1278">
        <f t="shared" si="16"/>
        <v>1</v>
      </c>
      <c r="Y211" s="1278">
        <f t="shared" si="16"/>
        <v>1</v>
      </c>
      <c r="Z211" s="1356">
        <f t="shared" si="16"/>
        <v>1</v>
      </c>
      <c r="AA211" s="1308"/>
    </row>
    <row r="212" spans="3:28" x14ac:dyDescent="0.2">
      <c r="F212" s="1203"/>
      <c r="G212" s="1203"/>
      <c r="H212" s="1355" t="s">
        <v>272</v>
      </c>
      <c r="I212" s="1235"/>
      <c r="J212" s="1308">
        <f t="shared" ref="J212:Z212" si="17">(1+J207)^J204</f>
        <v>1</v>
      </c>
      <c r="K212" s="1308">
        <f t="shared" si="17"/>
        <v>1</v>
      </c>
      <c r="L212" s="1308">
        <f t="shared" si="17"/>
        <v>1</v>
      </c>
      <c r="M212" s="1308">
        <f t="shared" si="17"/>
        <v>1</v>
      </c>
      <c r="N212" s="1278">
        <f t="shared" si="17"/>
        <v>1</v>
      </c>
      <c r="O212" s="1278">
        <f t="shared" si="17"/>
        <v>1</v>
      </c>
      <c r="P212" s="1278">
        <f t="shared" si="17"/>
        <v>1</v>
      </c>
      <c r="Q212" s="1278">
        <f t="shared" si="17"/>
        <v>1</v>
      </c>
      <c r="R212" s="1278">
        <f t="shared" si="17"/>
        <v>1</v>
      </c>
      <c r="S212" s="1278">
        <f t="shared" si="17"/>
        <v>1</v>
      </c>
      <c r="T212" s="1278">
        <f t="shared" si="17"/>
        <v>1</v>
      </c>
      <c r="U212" s="1278">
        <f t="shared" si="17"/>
        <v>1</v>
      </c>
      <c r="V212" s="1278">
        <f t="shared" si="17"/>
        <v>1</v>
      </c>
      <c r="W212" s="1278">
        <f t="shared" si="17"/>
        <v>1</v>
      </c>
      <c r="X212" s="1278">
        <f t="shared" si="17"/>
        <v>1</v>
      </c>
      <c r="Y212" s="1278">
        <f t="shared" si="17"/>
        <v>1</v>
      </c>
      <c r="Z212" s="1356">
        <f t="shared" si="17"/>
        <v>1</v>
      </c>
      <c r="AA212" s="1308"/>
    </row>
    <row r="213" spans="3:28" x14ac:dyDescent="0.2">
      <c r="F213" s="1203"/>
      <c r="G213" s="1203"/>
      <c r="H213" s="1355" t="s">
        <v>547</v>
      </c>
      <c r="I213" s="1235"/>
      <c r="J213" s="1308">
        <v>100</v>
      </c>
      <c r="K213" s="1308"/>
      <c r="L213" s="1308"/>
      <c r="M213" s="1308"/>
      <c r="N213" s="1278"/>
      <c r="O213" s="1278"/>
      <c r="P213" s="1278"/>
      <c r="Q213" s="1278"/>
      <c r="R213" s="1278"/>
      <c r="S213" s="1278"/>
      <c r="T213" s="1278"/>
      <c r="U213" s="1278"/>
      <c r="V213" s="1278"/>
      <c r="W213" s="1278"/>
      <c r="X213" s="1278"/>
      <c r="Y213" s="1278"/>
      <c r="Z213" s="1356"/>
      <c r="AA213" s="1308"/>
    </row>
    <row r="214" spans="3:28" x14ac:dyDescent="0.2">
      <c r="F214" s="1203"/>
      <c r="G214" s="1203"/>
      <c r="H214" s="1355" t="s">
        <v>548</v>
      </c>
      <c r="I214" s="1235"/>
      <c r="J214" s="1308">
        <v>0.66</v>
      </c>
      <c r="K214" s="1308"/>
      <c r="L214" s="1308"/>
      <c r="M214" s="1308"/>
      <c r="N214" s="1278"/>
      <c r="O214" s="1278"/>
      <c r="P214" s="1278"/>
      <c r="Q214" s="1278"/>
      <c r="R214" s="1278"/>
      <c r="S214" s="1278"/>
      <c r="T214" s="1278"/>
      <c r="U214" s="1278"/>
      <c r="V214" s="1278"/>
      <c r="W214" s="1278"/>
      <c r="X214" s="1278"/>
      <c r="Y214" s="1278"/>
      <c r="Z214" s="1356"/>
      <c r="AA214" s="1308"/>
    </row>
    <row r="215" spans="3:28" x14ac:dyDescent="0.2">
      <c r="F215" s="1203"/>
      <c r="G215" s="1203"/>
      <c r="H215" s="1357" t="s">
        <v>273</v>
      </c>
      <c r="I215" s="1235"/>
      <c r="J215" s="1358">
        <v>1</v>
      </c>
      <c r="K215" s="1308"/>
      <c r="L215" s="1308"/>
      <c r="M215" s="1308"/>
      <c r="N215" s="1349"/>
      <c r="O215" s="1349"/>
      <c r="P215" s="1349"/>
      <c r="Q215" s="1349"/>
      <c r="R215" s="1349"/>
      <c r="S215" s="1349"/>
      <c r="T215" s="1349"/>
      <c r="U215" s="1349"/>
      <c r="V215" s="1349"/>
      <c r="W215" s="1349"/>
      <c r="X215" s="1349"/>
      <c r="Y215" s="1349"/>
      <c r="Z215" s="1350"/>
      <c r="AA215" s="1308"/>
    </row>
    <row r="216" spans="3:28" x14ac:dyDescent="0.2">
      <c r="F216" s="1203"/>
      <c r="G216" s="1203"/>
      <c r="H216" s="1357" t="s">
        <v>274</v>
      </c>
      <c r="I216" s="1235"/>
      <c r="J216" s="1358">
        <v>0.4</v>
      </c>
      <c r="K216" s="1358">
        <v>0.6</v>
      </c>
      <c r="L216" s="1308"/>
      <c r="M216" s="1308"/>
      <c r="N216" s="1349"/>
      <c r="O216" s="1349"/>
      <c r="P216" s="1349"/>
      <c r="Q216" s="1349"/>
      <c r="R216" s="1349"/>
      <c r="S216" s="1349"/>
      <c r="T216" s="1349"/>
      <c r="U216" s="1349"/>
      <c r="V216" s="1349"/>
      <c r="W216" s="1349"/>
      <c r="X216" s="1349"/>
      <c r="Y216" s="1349"/>
      <c r="Z216" s="1350"/>
      <c r="AA216" s="1308"/>
    </row>
    <row r="217" spans="3:28" x14ac:dyDescent="0.2">
      <c r="F217" s="1203"/>
      <c r="G217" s="1203"/>
      <c r="H217" s="1357" t="s">
        <v>275</v>
      </c>
      <c r="I217" s="1235"/>
      <c r="J217" s="1333">
        <v>0.01</v>
      </c>
      <c r="K217" s="1359">
        <f t="shared" ref="K217:Z217" si="18">J217</f>
        <v>0.01</v>
      </c>
      <c r="L217" s="1359">
        <f t="shared" si="18"/>
        <v>0.01</v>
      </c>
      <c r="M217" s="1359">
        <f t="shared" si="18"/>
        <v>0.01</v>
      </c>
      <c r="N217" s="1349">
        <f t="shared" si="18"/>
        <v>0.01</v>
      </c>
      <c r="O217" s="1349">
        <f t="shared" si="18"/>
        <v>0.01</v>
      </c>
      <c r="P217" s="1349">
        <f t="shared" si="18"/>
        <v>0.01</v>
      </c>
      <c r="Q217" s="1349">
        <f t="shared" si="18"/>
        <v>0.01</v>
      </c>
      <c r="R217" s="1349">
        <f t="shared" si="18"/>
        <v>0.01</v>
      </c>
      <c r="S217" s="1349">
        <f t="shared" si="18"/>
        <v>0.01</v>
      </c>
      <c r="T217" s="1349">
        <f t="shared" si="18"/>
        <v>0.01</v>
      </c>
      <c r="U217" s="1349">
        <f t="shared" si="18"/>
        <v>0.01</v>
      </c>
      <c r="V217" s="1349">
        <f t="shared" si="18"/>
        <v>0.01</v>
      </c>
      <c r="W217" s="1349">
        <f t="shared" si="18"/>
        <v>0.01</v>
      </c>
      <c r="X217" s="1349">
        <f t="shared" si="18"/>
        <v>0.01</v>
      </c>
      <c r="Y217" s="1349">
        <f t="shared" si="18"/>
        <v>0.01</v>
      </c>
      <c r="Z217" s="1350">
        <f t="shared" si="18"/>
        <v>0.01</v>
      </c>
      <c r="AA217" s="1359"/>
    </row>
    <row r="218" spans="3:28" x14ac:dyDescent="0.2">
      <c r="F218" s="1203"/>
      <c r="G218" s="1203"/>
      <c r="H218" s="1204" t="s">
        <v>276</v>
      </c>
      <c r="I218" s="1235"/>
      <c r="J218" s="1263">
        <v>0.2</v>
      </c>
      <c r="K218" s="1204" t="s">
        <v>277</v>
      </c>
      <c r="L218" s="1192"/>
      <c r="M218" s="1192"/>
      <c r="N218" s="1211"/>
      <c r="O218" s="1210"/>
      <c r="P218" s="1211"/>
      <c r="Q218" s="1211"/>
      <c r="R218" s="1211"/>
      <c r="S218" s="1211"/>
      <c r="T218" s="1211"/>
      <c r="U218" s="1211"/>
      <c r="V218" s="1211"/>
      <c r="W218" s="1211"/>
      <c r="X218" s="1211"/>
      <c r="Y218" s="1211"/>
      <c r="Z218" s="1209"/>
    </row>
    <row r="219" spans="3:28" x14ac:dyDescent="0.2">
      <c r="F219" s="1203"/>
      <c r="G219" s="1203"/>
      <c r="H219" s="1192"/>
      <c r="I219" s="1243"/>
      <c r="J219" s="1192"/>
      <c r="K219" s="1192"/>
      <c r="L219" s="1216"/>
      <c r="M219" s="1192"/>
      <c r="N219" s="1211"/>
      <c r="O219" s="1211"/>
      <c r="P219" s="1211"/>
      <c r="Q219" s="1211"/>
      <c r="R219" s="1211"/>
      <c r="S219" s="1211"/>
      <c r="T219" s="1211"/>
      <c r="U219" s="1211"/>
      <c r="V219" s="1211"/>
      <c r="W219" s="1211"/>
      <c r="X219" s="1211"/>
      <c r="Y219" s="1211"/>
      <c r="Z219" s="1209"/>
    </row>
    <row r="220" spans="3:28" x14ac:dyDescent="0.2">
      <c r="F220" s="1203"/>
      <c r="G220" s="1196">
        <v>13</v>
      </c>
      <c r="H220" s="1275" t="s">
        <v>278</v>
      </c>
      <c r="I220" s="1276"/>
      <c r="J220" s="1360" t="s">
        <v>249</v>
      </c>
      <c r="K220" s="1361" t="s">
        <v>250</v>
      </c>
      <c r="L220" s="1198" t="s">
        <v>251</v>
      </c>
      <c r="M220" s="1198" t="s">
        <v>252</v>
      </c>
      <c r="N220" s="1362" t="s">
        <v>253</v>
      </c>
      <c r="O220" s="1362" t="s">
        <v>254</v>
      </c>
      <c r="P220" s="1362" t="s">
        <v>255</v>
      </c>
      <c r="Q220" s="1362" t="s">
        <v>256</v>
      </c>
      <c r="R220" s="1362" t="s">
        <v>257</v>
      </c>
      <c r="S220" s="1362" t="s">
        <v>258</v>
      </c>
      <c r="T220" s="1362" t="s">
        <v>259</v>
      </c>
      <c r="U220" s="1362" t="s">
        <v>260</v>
      </c>
      <c r="V220" s="1362" t="s">
        <v>261</v>
      </c>
      <c r="W220" s="1362" t="s">
        <v>262</v>
      </c>
      <c r="X220" s="1362" t="s">
        <v>263</v>
      </c>
      <c r="Y220" s="1362" t="s">
        <v>264</v>
      </c>
      <c r="Z220" s="1200" t="s">
        <v>265</v>
      </c>
      <c r="AB220" s="1198"/>
    </row>
    <row r="221" spans="3:28" x14ac:dyDescent="0.2">
      <c r="C221" s="1363"/>
      <c r="D221" s="1363"/>
      <c r="E221" s="1363"/>
      <c r="F221" s="1203"/>
      <c r="G221" s="1230"/>
      <c r="H221" s="1220" t="s">
        <v>279</v>
      </c>
      <c r="I221" s="1232"/>
      <c r="J221" s="1364"/>
      <c r="K221" s="1365"/>
      <c r="L221" s="1254"/>
      <c r="M221" s="1254"/>
      <c r="N221" s="1366"/>
      <c r="O221" s="1366"/>
      <c r="P221" s="1366"/>
      <c r="Q221" s="1366"/>
      <c r="R221" s="1366"/>
      <c r="S221" s="1366"/>
      <c r="T221" s="1366"/>
      <c r="U221" s="1366"/>
      <c r="V221" s="1366"/>
      <c r="W221" s="1366"/>
      <c r="X221" s="1366"/>
      <c r="Y221" s="1366"/>
      <c r="Z221" s="1367"/>
      <c r="AA221" s="1254"/>
      <c r="AB221" s="1254"/>
    </row>
    <row r="222" spans="3:28" x14ac:dyDescent="0.2">
      <c r="C222" s="1363">
        <v>8</v>
      </c>
      <c r="D222" s="1363" t="s">
        <v>631</v>
      </c>
      <c r="E222" s="1363"/>
      <c r="F222" s="1203"/>
      <c r="G222" s="1230"/>
      <c r="H222" s="1368" t="s">
        <v>452</v>
      </c>
      <c r="I222" s="1232"/>
      <c r="J222" s="1364"/>
      <c r="K222" s="1365"/>
      <c r="L222" s="1309">
        <f t="shared" ref="L222:Z222" si="19">L210*$J$208*L211*SUM($M$33:$M$34)</f>
        <v>4893507.0932017062</v>
      </c>
      <c r="M222" s="1309">
        <f t="shared" si="19"/>
        <v>6524676.1242689416</v>
      </c>
      <c r="N222" s="1309">
        <f t="shared" si="19"/>
        <v>6524676.1242689416</v>
      </c>
      <c r="O222" s="1309">
        <f t="shared" si="19"/>
        <v>6524676.1242689416</v>
      </c>
      <c r="P222" s="1309">
        <f t="shared" si="19"/>
        <v>6524676.1242689416</v>
      </c>
      <c r="Q222" s="1309">
        <f t="shared" si="19"/>
        <v>6524676.1242689416</v>
      </c>
      <c r="R222" s="1309">
        <f t="shared" si="19"/>
        <v>6524676.1242689416</v>
      </c>
      <c r="S222" s="1309">
        <f t="shared" si="19"/>
        <v>6524676.1242689416</v>
      </c>
      <c r="T222" s="1309">
        <f t="shared" si="19"/>
        <v>6524676.1242689416</v>
      </c>
      <c r="U222" s="1309">
        <f t="shared" si="19"/>
        <v>6524676.1242689416</v>
      </c>
      <c r="V222" s="1309">
        <f t="shared" si="19"/>
        <v>6524676.1242689416</v>
      </c>
      <c r="W222" s="1309">
        <f t="shared" si="19"/>
        <v>6524676.1242689416</v>
      </c>
      <c r="X222" s="1309">
        <f t="shared" si="19"/>
        <v>6524676.1242689416</v>
      </c>
      <c r="Y222" s="1309">
        <f t="shared" si="19"/>
        <v>6524676.1242689416</v>
      </c>
      <c r="Z222" s="1309">
        <f t="shared" si="19"/>
        <v>6524676.1242689416</v>
      </c>
      <c r="AA222" s="1254"/>
      <c r="AB222" s="1254"/>
    </row>
    <row r="223" spans="3:28" x14ac:dyDescent="0.2">
      <c r="C223" s="1363"/>
      <c r="D223" s="1363"/>
      <c r="E223" s="1363"/>
      <c r="F223" s="1203"/>
      <c r="G223" s="1230"/>
      <c r="H223" s="1368" t="s">
        <v>453</v>
      </c>
      <c r="I223" s="1232"/>
      <c r="J223" s="1364"/>
      <c r="K223" s="1365"/>
      <c r="L223" s="1309">
        <f t="shared" ref="L223:Z223" si="20">L210*$J$208*L211*$M$35</f>
        <v>0</v>
      </c>
      <c r="M223" s="1309">
        <f t="shared" si="20"/>
        <v>0</v>
      </c>
      <c r="N223" s="1309">
        <f t="shared" si="20"/>
        <v>0</v>
      </c>
      <c r="O223" s="1309">
        <f t="shared" si="20"/>
        <v>0</v>
      </c>
      <c r="P223" s="1309">
        <f t="shared" si="20"/>
        <v>0</v>
      </c>
      <c r="Q223" s="1309">
        <f t="shared" si="20"/>
        <v>0</v>
      </c>
      <c r="R223" s="1309">
        <f t="shared" si="20"/>
        <v>0</v>
      </c>
      <c r="S223" s="1309">
        <f t="shared" si="20"/>
        <v>0</v>
      </c>
      <c r="T223" s="1309">
        <f t="shared" si="20"/>
        <v>0</v>
      </c>
      <c r="U223" s="1309">
        <f t="shared" si="20"/>
        <v>0</v>
      </c>
      <c r="V223" s="1309">
        <f t="shared" si="20"/>
        <v>0</v>
      </c>
      <c r="W223" s="1309">
        <f t="shared" si="20"/>
        <v>0</v>
      </c>
      <c r="X223" s="1309">
        <f t="shared" si="20"/>
        <v>0</v>
      </c>
      <c r="Y223" s="1309">
        <f t="shared" si="20"/>
        <v>0</v>
      </c>
      <c r="Z223" s="1309">
        <f t="shared" si="20"/>
        <v>0</v>
      </c>
      <c r="AA223" s="1254"/>
      <c r="AB223" s="1254"/>
    </row>
    <row r="224" spans="3:28" x14ac:dyDescent="0.2">
      <c r="C224" s="1363"/>
      <c r="D224" s="1363"/>
      <c r="E224" s="1363"/>
      <c r="F224" s="1203"/>
      <c r="G224" s="1230"/>
      <c r="H224" s="1204" t="s">
        <v>392</v>
      </c>
      <c r="I224" s="1232"/>
      <c r="J224" s="1364"/>
      <c r="K224" s="1365"/>
      <c r="L224" s="1309">
        <f t="shared" ref="L224:Z224" si="21">L210*$J$208*L211*$M$36</f>
        <v>0</v>
      </c>
      <c r="M224" s="1309">
        <f t="shared" si="21"/>
        <v>0</v>
      </c>
      <c r="N224" s="1309">
        <f t="shared" si="21"/>
        <v>0</v>
      </c>
      <c r="O224" s="1309">
        <f t="shared" si="21"/>
        <v>0</v>
      </c>
      <c r="P224" s="1309">
        <f t="shared" si="21"/>
        <v>0</v>
      </c>
      <c r="Q224" s="1309">
        <f t="shared" si="21"/>
        <v>0</v>
      </c>
      <c r="R224" s="1309">
        <f t="shared" si="21"/>
        <v>0</v>
      </c>
      <c r="S224" s="1309">
        <f t="shared" si="21"/>
        <v>0</v>
      </c>
      <c r="T224" s="1309">
        <f t="shared" si="21"/>
        <v>0</v>
      </c>
      <c r="U224" s="1309">
        <f t="shared" si="21"/>
        <v>0</v>
      </c>
      <c r="V224" s="1309">
        <f t="shared" si="21"/>
        <v>0</v>
      </c>
      <c r="W224" s="1309">
        <f t="shared" si="21"/>
        <v>0</v>
      </c>
      <c r="X224" s="1309">
        <f t="shared" si="21"/>
        <v>0</v>
      </c>
      <c r="Y224" s="1309">
        <f t="shared" si="21"/>
        <v>0</v>
      </c>
      <c r="Z224" s="1309">
        <f t="shared" si="21"/>
        <v>0</v>
      </c>
      <c r="AA224" s="1254"/>
      <c r="AB224" s="1254"/>
    </row>
    <row r="225" spans="3:27" x14ac:dyDescent="0.2">
      <c r="C225" s="1363"/>
      <c r="D225" s="1363"/>
      <c r="E225" s="1363"/>
      <c r="F225" s="1203"/>
      <c r="G225" s="1203"/>
      <c r="H225" s="1204" t="s">
        <v>280</v>
      </c>
      <c r="I225" s="1235"/>
      <c r="J225" s="1339"/>
      <c r="K225" s="1369"/>
      <c r="L225" s="1309">
        <f t="shared" ref="L225:Z225" si="22">L210*$J$208*L211*$M$15</f>
        <v>67500000</v>
      </c>
      <c r="M225" s="1309">
        <f t="shared" si="22"/>
        <v>90000000</v>
      </c>
      <c r="N225" s="1309">
        <f t="shared" si="22"/>
        <v>90000000</v>
      </c>
      <c r="O225" s="1309">
        <f t="shared" si="22"/>
        <v>90000000</v>
      </c>
      <c r="P225" s="1309">
        <f t="shared" si="22"/>
        <v>90000000</v>
      </c>
      <c r="Q225" s="1309">
        <f t="shared" si="22"/>
        <v>90000000</v>
      </c>
      <c r="R225" s="1309">
        <f t="shared" si="22"/>
        <v>90000000</v>
      </c>
      <c r="S225" s="1309">
        <f t="shared" si="22"/>
        <v>90000000</v>
      </c>
      <c r="T225" s="1309">
        <f t="shared" si="22"/>
        <v>90000000</v>
      </c>
      <c r="U225" s="1309">
        <f t="shared" si="22"/>
        <v>90000000</v>
      </c>
      <c r="V225" s="1309">
        <f t="shared" si="22"/>
        <v>90000000</v>
      </c>
      <c r="W225" s="1309">
        <f t="shared" si="22"/>
        <v>90000000</v>
      </c>
      <c r="X225" s="1309">
        <f t="shared" si="22"/>
        <v>90000000</v>
      </c>
      <c r="Y225" s="1309">
        <f t="shared" si="22"/>
        <v>90000000</v>
      </c>
      <c r="Z225" s="1309">
        <f t="shared" si="22"/>
        <v>90000000</v>
      </c>
      <c r="AA225" s="1208"/>
    </row>
    <row r="226" spans="3:27" x14ac:dyDescent="0.2">
      <c r="C226" s="1363">
        <v>8</v>
      </c>
      <c r="D226" s="1363" t="s">
        <v>631</v>
      </c>
      <c r="E226" s="1363"/>
      <c r="F226" s="1203"/>
      <c r="G226" s="1203"/>
      <c r="H226" s="1204" t="s">
        <v>454</v>
      </c>
      <c r="I226" s="1235"/>
      <c r="J226" s="1339"/>
      <c r="K226" s="1369"/>
      <c r="L226" s="1309">
        <f t="shared" ref="L226:Z226" si="23">L210*$J$208*L211*$M$66</f>
        <v>6595023.0366599821</v>
      </c>
      <c r="M226" s="1309">
        <f t="shared" si="23"/>
        <v>8793364.0488799755</v>
      </c>
      <c r="N226" s="1309">
        <f t="shared" si="23"/>
        <v>8793364.0488799755</v>
      </c>
      <c r="O226" s="1309">
        <f t="shared" si="23"/>
        <v>8793364.0488799755</v>
      </c>
      <c r="P226" s="1309">
        <f t="shared" si="23"/>
        <v>8793364.0488799755</v>
      </c>
      <c r="Q226" s="1309">
        <f t="shared" si="23"/>
        <v>8793364.0488799755</v>
      </c>
      <c r="R226" s="1309">
        <f t="shared" si="23"/>
        <v>8793364.0488799755</v>
      </c>
      <c r="S226" s="1309">
        <f t="shared" si="23"/>
        <v>8793364.0488799755</v>
      </c>
      <c r="T226" s="1309">
        <f t="shared" si="23"/>
        <v>8793364.0488799755</v>
      </c>
      <c r="U226" s="1309">
        <f t="shared" si="23"/>
        <v>8793364.0488799755</v>
      </c>
      <c r="V226" s="1309">
        <f t="shared" si="23"/>
        <v>8793364.0488799755</v>
      </c>
      <c r="W226" s="1309">
        <f t="shared" si="23"/>
        <v>8793364.0488799755</v>
      </c>
      <c r="X226" s="1309">
        <f t="shared" si="23"/>
        <v>8793364.0488799755</v>
      </c>
      <c r="Y226" s="1309">
        <f t="shared" si="23"/>
        <v>8793364.0488799755</v>
      </c>
      <c r="Z226" s="1309">
        <f t="shared" si="23"/>
        <v>8793364.0488799755</v>
      </c>
      <c r="AA226" s="1208"/>
    </row>
    <row r="227" spans="3:27" x14ac:dyDescent="0.2">
      <c r="C227" s="1363">
        <v>8</v>
      </c>
      <c r="D227" s="1363" t="s">
        <v>631</v>
      </c>
      <c r="E227" s="1363"/>
      <c r="F227" s="1203"/>
      <c r="G227" s="1203"/>
      <c r="H227" s="1204" t="s">
        <v>281</v>
      </c>
      <c r="I227" s="1235"/>
      <c r="J227" s="1339"/>
      <c r="K227" s="1369"/>
      <c r="L227" s="1309">
        <f t="shared" ref="L227:Z227" si="24">L210*$J$208*L211*$M$202</f>
        <v>1674614.9277486911</v>
      </c>
      <c r="M227" s="1309">
        <f t="shared" si="24"/>
        <v>2232819.9036649214</v>
      </c>
      <c r="N227" s="1309">
        <f t="shared" si="24"/>
        <v>2232819.9036649214</v>
      </c>
      <c r="O227" s="1309">
        <f t="shared" si="24"/>
        <v>2232819.9036649214</v>
      </c>
      <c r="P227" s="1309">
        <f t="shared" si="24"/>
        <v>2232819.9036649214</v>
      </c>
      <c r="Q227" s="1309">
        <f t="shared" si="24"/>
        <v>2232819.9036649214</v>
      </c>
      <c r="R227" s="1309">
        <f t="shared" si="24"/>
        <v>2232819.9036649214</v>
      </c>
      <c r="S227" s="1309">
        <f t="shared" si="24"/>
        <v>2232819.9036649214</v>
      </c>
      <c r="T227" s="1309">
        <f t="shared" si="24"/>
        <v>2232819.9036649214</v>
      </c>
      <c r="U227" s="1309">
        <f t="shared" si="24"/>
        <v>2232819.9036649214</v>
      </c>
      <c r="V227" s="1309">
        <f t="shared" si="24"/>
        <v>2232819.9036649214</v>
      </c>
      <c r="W227" s="1309">
        <f t="shared" si="24"/>
        <v>2232819.9036649214</v>
      </c>
      <c r="X227" s="1309">
        <f t="shared" si="24"/>
        <v>2232819.9036649214</v>
      </c>
      <c r="Y227" s="1309">
        <f t="shared" si="24"/>
        <v>2232819.9036649214</v>
      </c>
      <c r="Z227" s="1309">
        <f t="shared" si="24"/>
        <v>2232819.9036649214</v>
      </c>
      <c r="AA227" s="1208"/>
    </row>
    <row r="228" spans="3:27" x14ac:dyDescent="0.2">
      <c r="C228" s="1363"/>
      <c r="D228" s="1363"/>
      <c r="E228" s="1363"/>
      <c r="F228" s="1203"/>
      <c r="G228" s="1203"/>
      <c r="H228" s="1204"/>
      <c r="I228" s="1235"/>
      <c r="J228" s="1339"/>
      <c r="K228" s="1369"/>
      <c r="L228" s="1370">
        <f t="shared" ref="L228:Z228" si="25">SUM(L222:L227)</f>
        <v>80663145.057610393</v>
      </c>
      <c r="M228" s="1371">
        <f t="shared" si="25"/>
        <v>107550860.07681385</v>
      </c>
      <c r="N228" s="1371">
        <f t="shared" si="25"/>
        <v>107550860.07681385</v>
      </c>
      <c r="O228" s="1371">
        <f t="shared" si="25"/>
        <v>107550860.07681385</v>
      </c>
      <c r="P228" s="1371">
        <f t="shared" si="25"/>
        <v>107550860.07681385</v>
      </c>
      <c r="Q228" s="1371">
        <f t="shared" si="25"/>
        <v>107550860.07681385</v>
      </c>
      <c r="R228" s="1371">
        <f t="shared" si="25"/>
        <v>107550860.07681385</v>
      </c>
      <c r="S228" s="1371">
        <f t="shared" si="25"/>
        <v>107550860.07681385</v>
      </c>
      <c r="T228" s="1371">
        <f t="shared" si="25"/>
        <v>107550860.07681385</v>
      </c>
      <c r="U228" s="1371">
        <f t="shared" si="25"/>
        <v>107550860.07681385</v>
      </c>
      <c r="V228" s="1371">
        <f t="shared" si="25"/>
        <v>107550860.07681385</v>
      </c>
      <c r="W228" s="1371">
        <f t="shared" si="25"/>
        <v>107550860.07681385</v>
      </c>
      <c r="X228" s="1371">
        <f t="shared" si="25"/>
        <v>107550860.07681385</v>
      </c>
      <c r="Y228" s="1371">
        <f t="shared" si="25"/>
        <v>107550860.07681385</v>
      </c>
      <c r="Z228" s="1372">
        <f t="shared" si="25"/>
        <v>107550860.07681385</v>
      </c>
      <c r="AA228" s="1208"/>
    </row>
    <row r="229" spans="3:27" x14ac:dyDescent="0.2">
      <c r="C229" s="1363"/>
      <c r="D229" s="1363"/>
      <c r="E229" s="1363"/>
      <c r="F229" s="1203"/>
      <c r="G229" s="1203"/>
      <c r="H229" s="1220" t="s">
        <v>282</v>
      </c>
      <c r="I229" s="1243"/>
      <c r="J229" s="1203"/>
      <c r="K229" s="1369"/>
      <c r="AA229" s="1208"/>
    </row>
    <row r="230" spans="3:27" x14ac:dyDescent="0.2">
      <c r="C230" s="1363">
        <v>7</v>
      </c>
      <c r="D230" s="1363" t="s">
        <v>184</v>
      </c>
      <c r="E230" s="1363"/>
      <c r="F230" s="1203"/>
      <c r="G230" s="1203"/>
      <c r="H230" s="1368" t="s">
        <v>388</v>
      </c>
      <c r="I230" s="1243"/>
      <c r="J230" s="1203"/>
      <c r="K230" s="1369"/>
      <c r="L230" s="1309">
        <f t="shared" ref="L230:Z230" si="26">-$M$149*$J$209*L210*L212</f>
        <v>-39570.138219959888</v>
      </c>
      <c r="M230" s="1309">
        <f t="shared" si="26"/>
        <v>-52760.184293279854</v>
      </c>
      <c r="N230" s="1309">
        <f t="shared" si="26"/>
        <v>-52760.184293279854</v>
      </c>
      <c r="O230" s="1309">
        <f t="shared" si="26"/>
        <v>-52760.184293279854</v>
      </c>
      <c r="P230" s="1309">
        <f t="shared" si="26"/>
        <v>-52760.184293279854</v>
      </c>
      <c r="Q230" s="1309">
        <f t="shared" si="26"/>
        <v>-52760.184293279854</v>
      </c>
      <c r="R230" s="1309">
        <f t="shared" si="26"/>
        <v>-52760.184293279854</v>
      </c>
      <c r="S230" s="1309">
        <f t="shared" si="26"/>
        <v>-52760.184293279854</v>
      </c>
      <c r="T230" s="1309">
        <f t="shared" si="26"/>
        <v>-52760.184293279854</v>
      </c>
      <c r="U230" s="1309">
        <f t="shared" si="26"/>
        <v>-52760.184293279854</v>
      </c>
      <c r="V230" s="1309">
        <f t="shared" si="26"/>
        <v>-52760.184293279854</v>
      </c>
      <c r="W230" s="1309">
        <f t="shared" si="26"/>
        <v>-52760.184293279854</v>
      </c>
      <c r="X230" s="1309">
        <f t="shared" si="26"/>
        <v>-52760.184293279854</v>
      </c>
      <c r="Y230" s="1309">
        <f t="shared" si="26"/>
        <v>-52760.184293279854</v>
      </c>
      <c r="Z230" s="1309">
        <f t="shared" si="26"/>
        <v>-52760.184293279854</v>
      </c>
      <c r="AA230" s="1208"/>
    </row>
    <row r="231" spans="3:27" x14ac:dyDescent="0.2">
      <c r="C231" s="1363">
        <v>7</v>
      </c>
      <c r="D231" s="1363" t="s">
        <v>184</v>
      </c>
      <c r="E231" s="1363"/>
      <c r="F231" s="1203"/>
      <c r="G231" s="1203"/>
      <c r="H231" s="1368" t="s">
        <v>390</v>
      </c>
      <c r="I231" s="1243"/>
      <c r="J231" s="1203"/>
      <c r="K231" s="1369"/>
      <c r="L231" s="1309">
        <f t="shared" ref="L231:Z231" si="27">-$M$150*$J$209*L210*L212</f>
        <v>-469565.64021019073</v>
      </c>
      <c r="M231" s="1309">
        <f t="shared" si="27"/>
        <v>-626087.52028025431</v>
      </c>
      <c r="N231" s="1309">
        <f t="shared" si="27"/>
        <v>-626087.52028025431</v>
      </c>
      <c r="O231" s="1309">
        <f t="shared" si="27"/>
        <v>-626087.52028025431</v>
      </c>
      <c r="P231" s="1309">
        <f t="shared" si="27"/>
        <v>-626087.52028025431</v>
      </c>
      <c r="Q231" s="1309">
        <f t="shared" si="27"/>
        <v>-626087.52028025431</v>
      </c>
      <c r="R231" s="1309">
        <f t="shared" si="27"/>
        <v>-626087.52028025431</v>
      </c>
      <c r="S231" s="1309">
        <f t="shared" si="27"/>
        <v>-626087.52028025431</v>
      </c>
      <c r="T231" s="1309">
        <f t="shared" si="27"/>
        <v>-626087.52028025431</v>
      </c>
      <c r="U231" s="1309">
        <f t="shared" si="27"/>
        <v>-626087.52028025431</v>
      </c>
      <c r="V231" s="1309">
        <f t="shared" si="27"/>
        <v>-626087.52028025431</v>
      </c>
      <c r="W231" s="1309">
        <f t="shared" si="27"/>
        <v>-626087.52028025431</v>
      </c>
      <c r="X231" s="1309">
        <f t="shared" si="27"/>
        <v>-626087.52028025431</v>
      </c>
      <c r="Y231" s="1309">
        <f t="shared" si="27"/>
        <v>-626087.52028025431</v>
      </c>
      <c r="Z231" s="1309">
        <f t="shared" si="27"/>
        <v>-626087.52028025431</v>
      </c>
      <c r="AA231" s="1208"/>
    </row>
    <row r="232" spans="3:27" x14ac:dyDescent="0.2">
      <c r="C232" s="1363"/>
      <c r="D232" s="1363"/>
      <c r="E232" s="1363"/>
      <c r="F232" s="1203"/>
      <c r="G232" s="1203"/>
      <c r="H232" s="1204" t="s">
        <v>392</v>
      </c>
      <c r="I232" s="1243"/>
      <c r="J232" s="1203"/>
      <c r="K232" s="1369"/>
      <c r="L232" s="1309">
        <f>-$M$152*$J$209*L210*L212</f>
        <v>0</v>
      </c>
      <c r="M232" s="1309">
        <f>-$M$152*$J$209*M210*M212</f>
        <v>0</v>
      </c>
      <c r="N232" s="1309">
        <f t="shared" ref="N232:Z232" si="28">-$M$151*$J$209*N210*N212</f>
        <v>0</v>
      </c>
      <c r="O232" s="1309">
        <f t="shared" si="28"/>
        <v>0</v>
      </c>
      <c r="P232" s="1309">
        <f t="shared" si="28"/>
        <v>0</v>
      </c>
      <c r="Q232" s="1309">
        <f t="shared" si="28"/>
        <v>0</v>
      </c>
      <c r="R232" s="1309">
        <f t="shared" si="28"/>
        <v>0</v>
      </c>
      <c r="S232" s="1309">
        <f t="shared" si="28"/>
        <v>0</v>
      </c>
      <c r="T232" s="1309">
        <f t="shared" si="28"/>
        <v>0</v>
      </c>
      <c r="U232" s="1309">
        <f t="shared" si="28"/>
        <v>0</v>
      </c>
      <c r="V232" s="1309">
        <f t="shared" si="28"/>
        <v>0</v>
      </c>
      <c r="W232" s="1309">
        <f t="shared" si="28"/>
        <v>0</v>
      </c>
      <c r="X232" s="1309">
        <f t="shared" si="28"/>
        <v>0</v>
      </c>
      <c r="Y232" s="1309">
        <f t="shared" si="28"/>
        <v>0</v>
      </c>
      <c r="Z232" s="1309">
        <f t="shared" si="28"/>
        <v>0</v>
      </c>
      <c r="AA232" s="1208"/>
    </row>
    <row r="233" spans="3:27" x14ac:dyDescent="0.2">
      <c r="C233" s="1363">
        <v>7</v>
      </c>
      <c r="D233" s="1363" t="s">
        <v>184</v>
      </c>
      <c r="E233" s="1363"/>
      <c r="F233" s="1203"/>
      <c r="G233" s="1203"/>
      <c r="H233" s="1204" t="s">
        <v>454</v>
      </c>
      <c r="I233" s="1243"/>
      <c r="J233" s="1203"/>
      <c r="K233" s="1369"/>
      <c r="L233" s="1309">
        <f>-$M$153*$J$209*L210*L212</f>
        <v>-1319004.6073319966</v>
      </c>
      <c r="M233" s="1309">
        <f t="shared" ref="M233:Z233" si="29">-$M$153*$J$209*M210*M212</f>
        <v>-1758672.8097759953</v>
      </c>
      <c r="N233" s="1309">
        <f t="shared" si="29"/>
        <v>-1758672.8097759953</v>
      </c>
      <c r="O233" s="1309">
        <f t="shared" si="29"/>
        <v>-1758672.8097759953</v>
      </c>
      <c r="P233" s="1309">
        <f t="shared" si="29"/>
        <v>-1758672.8097759953</v>
      </c>
      <c r="Q233" s="1309">
        <f t="shared" si="29"/>
        <v>-1758672.8097759953</v>
      </c>
      <c r="R233" s="1309">
        <f t="shared" si="29"/>
        <v>-1758672.8097759953</v>
      </c>
      <c r="S233" s="1309">
        <f t="shared" si="29"/>
        <v>-1758672.8097759953</v>
      </c>
      <c r="T233" s="1309">
        <f t="shared" si="29"/>
        <v>-1758672.8097759953</v>
      </c>
      <c r="U233" s="1309">
        <f t="shared" si="29"/>
        <v>-1758672.8097759953</v>
      </c>
      <c r="V233" s="1309">
        <f t="shared" si="29"/>
        <v>-1758672.8097759953</v>
      </c>
      <c r="W233" s="1309">
        <f t="shared" si="29"/>
        <v>-1758672.8097759953</v>
      </c>
      <c r="X233" s="1309">
        <f t="shared" si="29"/>
        <v>-1758672.8097759953</v>
      </c>
      <c r="Y233" s="1309">
        <f t="shared" si="29"/>
        <v>-1758672.8097759953</v>
      </c>
      <c r="Z233" s="1309">
        <f t="shared" si="29"/>
        <v>-1758672.8097759953</v>
      </c>
      <c r="AA233" s="1208"/>
    </row>
    <row r="234" spans="3:27" x14ac:dyDescent="0.2">
      <c r="C234" s="1363">
        <v>7</v>
      </c>
      <c r="D234" s="1363" t="s">
        <v>184</v>
      </c>
      <c r="E234" s="1363"/>
      <c r="F234" s="1203"/>
      <c r="G234" s="1203"/>
      <c r="H234" s="1313" t="s">
        <v>280</v>
      </c>
      <c r="I234" s="1243"/>
      <c r="J234" s="1203"/>
      <c r="K234" s="1369"/>
      <c r="L234" s="1309">
        <f>-$M$159*$J$209*L210*L212</f>
        <v>-3999120.46875</v>
      </c>
      <c r="M234" s="1309">
        <f>-$M$159*$J$209*M210*M212</f>
        <v>-5332160.625</v>
      </c>
      <c r="N234" s="1309">
        <f t="shared" ref="N234:Z234" si="30">-$M$159*$J$209*N210*N212</f>
        <v>-5332160.625</v>
      </c>
      <c r="O234" s="1309">
        <f t="shared" si="30"/>
        <v>-5332160.625</v>
      </c>
      <c r="P234" s="1309">
        <f t="shared" si="30"/>
        <v>-5332160.625</v>
      </c>
      <c r="Q234" s="1309">
        <f t="shared" si="30"/>
        <v>-5332160.625</v>
      </c>
      <c r="R234" s="1309">
        <f t="shared" si="30"/>
        <v>-5332160.625</v>
      </c>
      <c r="S234" s="1309">
        <f t="shared" si="30"/>
        <v>-5332160.625</v>
      </c>
      <c r="T234" s="1309">
        <f t="shared" si="30"/>
        <v>-5332160.625</v>
      </c>
      <c r="U234" s="1309">
        <f t="shared" si="30"/>
        <v>-5332160.625</v>
      </c>
      <c r="V234" s="1309">
        <f t="shared" si="30"/>
        <v>-5332160.625</v>
      </c>
      <c r="W234" s="1309">
        <f t="shared" si="30"/>
        <v>-5332160.625</v>
      </c>
      <c r="X234" s="1309">
        <f t="shared" si="30"/>
        <v>-5332160.625</v>
      </c>
      <c r="Y234" s="1309">
        <f t="shared" si="30"/>
        <v>-5332160.625</v>
      </c>
      <c r="Z234" s="1309">
        <f t="shared" si="30"/>
        <v>-5332160.625</v>
      </c>
      <c r="AA234" s="1208"/>
    </row>
    <row r="235" spans="3:27" x14ac:dyDescent="0.2">
      <c r="C235" s="1363"/>
      <c r="D235" s="1363"/>
      <c r="E235" s="1363"/>
      <c r="F235" s="1203"/>
      <c r="G235" s="1203"/>
      <c r="H235" s="1220" t="s">
        <v>283</v>
      </c>
      <c r="I235" s="1243"/>
      <c r="J235" s="1298"/>
      <c r="K235" s="1373"/>
      <c r="L235" s="1370">
        <f t="shared" ref="L235:Z235" si="31">SUM(L228:L234)</f>
        <v>74835884.203098252</v>
      </c>
      <c r="M235" s="1371">
        <f t="shared" si="31"/>
        <v>99781178.937464312</v>
      </c>
      <c r="N235" s="1371">
        <f t="shared" si="31"/>
        <v>99781178.937464312</v>
      </c>
      <c r="O235" s="1371">
        <f t="shared" si="31"/>
        <v>99781178.937464312</v>
      </c>
      <c r="P235" s="1371">
        <f t="shared" si="31"/>
        <v>99781178.937464312</v>
      </c>
      <c r="Q235" s="1371">
        <f t="shared" si="31"/>
        <v>99781178.937464312</v>
      </c>
      <c r="R235" s="1371">
        <f t="shared" si="31"/>
        <v>99781178.937464312</v>
      </c>
      <c r="S235" s="1371">
        <f t="shared" si="31"/>
        <v>99781178.937464312</v>
      </c>
      <c r="T235" s="1371">
        <f t="shared" si="31"/>
        <v>99781178.937464312</v>
      </c>
      <c r="U235" s="1371">
        <f t="shared" si="31"/>
        <v>99781178.937464312</v>
      </c>
      <c r="V235" s="1371">
        <f t="shared" si="31"/>
        <v>99781178.937464312</v>
      </c>
      <c r="W235" s="1371">
        <f t="shared" si="31"/>
        <v>99781178.937464312</v>
      </c>
      <c r="X235" s="1371">
        <f t="shared" si="31"/>
        <v>99781178.937464312</v>
      </c>
      <c r="Y235" s="1371">
        <f t="shared" si="31"/>
        <v>99781178.937464312</v>
      </c>
      <c r="Z235" s="1372">
        <f t="shared" si="31"/>
        <v>99781178.937464312</v>
      </c>
      <c r="AA235" s="1374"/>
    </row>
    <row r="236" spans="3:27" x14ac:dyDescent="0.2">
      <c r="C236" s="1363"/>
      <c r="D236" s="1363"/>
      <c r="E236" s="1363"/>
      <c r="F236" s="1203"/>
      <c r="G236" s="1203"/>
      <c r="H236" s="1220" t="s">
        <v>284</v>
      </c>
      <c r="I236" s="1243"/>
      <c r="J236" s="1298"/>
      <c r="K236" s="1373"/>
      <c r="L236" s="1309"/>
      <c r="M236" s="1309"/>
      <c r="N236" s="1309"/>
      <c r="O236" s="1309"/>
      <c r="P236" s="1309"/>
      <c r="Q236" s="1309"/>
      <c r="R236" s="1309"/>
      <c r="S236" s="1309"/>
      <c r="T236" s="1309"/>
      <c r="U236" s="1309"/>
      <c r="V236" s="1309"/>
      <c r="W236" s="1309"/>
      <c r="X236" s="1309"/>
      <c r="Y236" s="1309"/>
      <c r="Z236" s="1375"/>
      <c r="AA236" s="1212"/>
    </row>
    <row r="237" spans="3:27" x14ac:dyDescent="0.2">
      <c r="C237" s="1363">
        <v>1</v>
      </c>
      <c r="D237" s="1363" t="str">
        <f>H237</f>
        <v>Feedstock</v>
      </c>
      <c r="E237" s="1363"/>
      <c r="F237" s="1203"/>
      <c r="G237" s="1203"/>
      <c r="H237" s="1204" t="s">
        <v>285</v>
      </c>
      <c r="I237" s="1243"/>
      <c r="J237" s="1298"/>
      <c r="K237" s="1373"/>
      <c r="L237" s="1309">
        <f t="shared" ref="L237:Z237" si="32">-L210*$M$75*$L$212*$J$209</f>
        <v>-35613124.397963896</v>
      </c>
      <c r="M237" s="1309">
        <f t="shared" si="32"/>
        <v>-47484165.863951862</v>
      </c>
      <c r="N237" s="1309">
        <f t="shared" si="32"/>
        <v>-47484165.863951862</v>
      </c>
      <c r="O237" s="1309">
        <f t="shared" si="32"/>
        <v>-47484165.863951862</v>
      </c>
      <c r="P237" s="1309">
        <f t="shared" si="32"/>
        <v>-47484165.863951862</v>
      </c>
      <c r="Q237" s="1309">
        <f t="shared" si="32"/>
        <v>-47484165.863951862</v>
      </c>
      <c r="R237" s="1309">
        <f t="shared" si="32"/>
        <v>-47484165.863951862</v>
      </c>
      <c r="S237" s="1309">
        <f t="shared" si="32"/>
        <v>-47484165.863951862</v>
      </c>
      <c r="T237" s="1309">
        <f t="shared" si="32"/>
        <v>-47484165.863951862</v>
      </c>
      <c r="U237" s="1309">
        <f t="shared" si="32"/>
        <v>-47484165.863951862</v>
      </c>
      <c r="V237" s="1309">
        <f t="shared" si="32"/>
        <v>-47484165.863951862</v>
      </c>
      <c r="W237" s="1309">
        <f t="shared" si="32"/>
        <v>-47484165.863951862</v>
      </c>
      <c r="X237" s="1309">
        <f t="shared" si="32"/>
        <v>-47484165.863951862</v>
      </c>
      <c r="Y237" s="1309">
        <f t="shared" si="32"/>
        <v>-47484165.863951862</v>
      </c>
      <c r="Z237" s="1309">
        <f t="shared" si="32"/>
        <v>-47484165.863951862</v>
      </c>
      <c r="AA237" s="1309"/>
    </row>
    <row r="238" spans="3:27" x14ac:dyDescent="0.2">
      <c r="C238" s="1363">
        <v>2</v>
      </c>
      <c r="D238" s="1363" t="str">
        <f>H238</f>
        <v>Chemicals</v>
      </c>
      <c r="E238" s="1363"/>
      <c r="F238" s="1203"/>
      <c r="G238" s="1203"/>
      <c r="H238" s="1204" t="s">
        <v>86</v>
      </c>
      <c r="I238" s="1243"/>
      <c r="J238" s="1298"/>
      <c r="K238" s="1373"/>
      <c r="L238" s="1309">
        <f t="shared" ref="L238:Z238" si="33">-L$210*$M$109*L$212*$J$209</f>
        <v>-2227837.6943737464</v>
      </c>
      <c r="M238" s="1309">
        <f t="shared" si="33"/>
        <v>-2970450.2591649955</v>
      </c>
      <c r="N238" s="1309">
        <f t="shared" si="33"/>
        <v>-2970450.2591649955</v>
      </c>
      <c r="O238" s="1309">
        <f t="shared" si="33"/>
        <v>-2970450.2591649955</v>
      </c>
      <c r="P238" s="1309">
        <f t="shared" si="33"/>
        <v>-2970450.2591649955</v>
      </c>
      <c r="Q238" s="1309">
        <f t="shared" si="33"/>
        <v>-2970450.2591649955</v>
      </c>
      <c r="R238" s="1309">
        <f t="shared" si="33"/>
        <v>-2970450.2591649955</v>
      </c>
      <c r="S238" s="1309">
        <f t="shared" si="33"/>
        <v>-2970450.2591649955</v>
      </c>
      <c r="T238" s="1309">
        <f t="shared" si="33"/>
        <v>-2970450.2591649955</v>
      </c>
      <c r="U238" s="1309">
        <f t="shared" si="33"/>
        <v>-2970450.2591649955</v>
      </c>
      <c r="V238" s="1309">
        <f t="shared" si="33"/>
        <v>-2970450.2591649955</v>
      </c>
      <c r="W238" s="1309">
        <f t="shared" si="33"/>
        <v>-2970450.2591649955</v>
      </c>
      <c r="X238" s="1309">
        <f t="shared" si="33"/>
        <v>-2970450.2591649955</v>
      </c>
      <c r="Y238" s="1309">
        <f t="shared" si="33"/>
        <v>-2970450.2591649955</v>
      </c>
      <c r="Z238" s="1309">
        <f t="shared" si="33"/>
        <v>-2970450.2591649955</v>
      </c>
      <c r="AA238" s="1220"/>
    </row>
    <row r="239" spans="3:27" x14ac:dyDescent="0.2">
      <c r="C239" s="1363">
        <v>3</v>
      </c>
      <c r="D239" s="1363" t="s">
        <v>129</v>
      </c>
      <c r="E239" s="1363"/>
      <c r="F239" s="1203"/>
      <c r="G239" s="1203"/>
      <c r="H239" s="1204" t="s">
        <v>139</v>
      </c>
      <c r="I239" s="1243"/>
      <c r="J239" s="1298"/>
      <c r="K239" s="1373"/>
      <c r="L239" s="1309">
        <f t="shared" ref="L239:Z239" si="34">-L$210*$M$132*L$212*$J$209</f>
        <v>-2347500</v>
      </c>
      <c r="M239" s="1309">
        <f t="shared" si="34"/>
        <v>-3130000</v>
      </c>
      <c r="N239" s="1309">
        <f t="shared" si="34"/>
        <v>-3130000</v>
      </c>
      <c r="O239" s="1309">
        <f t="shared" si="34"/>
        <v>-3130000</v>
      </c>
      <c r="P239" s="1309">
        <f t="shared" si="34"/>
        <v>-3130000</v>
      </c>
      <c r="Q239" s="1309">
        <f t="shared" si="34"/>
        <v>-3130000</v>
      </c>
      <c r="R239" s="1309">
        <f t="shared" si="34"/>
        <v>-3130000</v>
      </c>
      <c r="S239" s="1309">
        <f t="shared" si="34"/>
        <v>-3130000</v>
      </c>
      <c r="T239" s="1309">
        <f t="shared" si="34"/>
        <v>-3130000</v>
      </c>
      <c r="U239" s="1309">
        <f t="shared" si="34"/>
        <v>-3130000</v>
      </c>
      <c r="V239" s="1309">
        <f t="shared" si="34"/>
        <v>-3130000</v>
      </c>
      <c r="W239" s="1309">
        <f t="shared" si="34"/>
        <v>-3130000</v>
      </c>
      <c r="X239" s="1309">
        <f t="shared" si="34"/>
        <v>-3130000</v>
      </c>
      <c r="Y239" s="1309">
        <f t="shared" si="34"/>
        <v>-3130000</v>
      </c>
      <c r="Z239" s="1309">
        <f t="shared" si="34"/>
        <v>-3130000</v>
      </c>
      <c r="AA239" s="1220"/>
    </row>
    <row r="240" spans="3:27" x14ac:dyDescent="0.2">
      <c r="C240" s="1363">
        <v>3</v>
      </c>
      <c r="D240" s="1363" t="s">
        <v>129</v>
      </c>
      <c r="E240" s="1363"/>
      <c r="F240" s="1203"/>
      <c r="G240" s="1203"/>
      <c r="H240" s="1204" t="s">
        <v>286</v>
      </c>
      <c r="I240" s="1243"/>
      <c r="J240" s="1298"/>
      <c r="K240" s="1373"/>
      <c r="L240" s="1309">
        <f t="shared" ref="L240:Z240" si="35">-L$210*SUM($M$145,$M$118)*L$212*$J$209</f>
        <v>-2380891.5650963448</v>
      </c>
      <c r="M240" s="1309">
        <f t="shared" si="35"/>
        <v>-3174522.0867951266</v>
      </c>
      <c r="N240" s="1309">
        <f t="shared" si="35"/>
        <v>-3174522.0867951266</v>
      </c>
      <c r="O240" s="1309">
        <f t="shared" si="35"/>
        <v>-3174522.0867951266</v>
      </c>
      <c r="P240" s="1309">
        <f t="shared" si="35"/>
        <v>-3174522.0867951266</v>
      </c>
      <c r="Q240" s="1309">
        <f t="shared" si="35"/>
        <v>-3174522.0867951266</v>
      </c>
      <c r="R240" s="1309">
        <f t="shared" si="35"/>
        <v>-3174522.0867951266</v>
      </c>
      <c r="S240" s="1309">
        <f t="shared" si="35"/>
        <v>-3174522.0867951266</v>
      </c>
      <c r="T240" s="1309">
        <f t="shared" si="35"/>
        <v>-3174522.0867951266</v>
      </c>
      <c r="U240" s="1309">
        <f t="shared" si="35"/>
        <v>-3174522.0867951266</v>
      </c>
      <c r="V240" s="1309">
        <f t="shared" si="35"/>
        <v>-3174522.0867951266</v>
      </c>
      <c r="W240" s="1309">
        <f t="shared" si="35"/>
        <v>-3174522.0867951266</v>
      </c>
      <c r="X240" s="1309">
        <f t="shared" si="35"/>
        <v>-3174522.0867951266</v>
      </c>
      <c r="Y240" s="1309">
        <f t="shared" si="35"/>
        <v>-3174522.0867951266</v>
      </c>
      <c r="Z240" s="1309">
        <f t="shared" si="35"/>
        <v>-3174522.0867951266</v>
      </c>
      <c r="AA240" s="1220"/>
    </row>
    <row r="241" spans="1:27" x14ac:dyDescent="0.2">
      <c r="C241" s="1363">
        <v>4</v>
      </c>
      <c r="D241" s="1363" t="s">
        <v>218</v>
      </c>
      <c r="E241" s="1363"/>
      <c r="F241" s="1203"/>
      <c r="G241" s="1203"/>
      <c r="H241" s="1204" t="s">
        <v>218</v>
      </c>
      <c r="I241" s="1243"/>
      <c r="J241" s="1298"/>
      <c r="K241" s="1373"/>
      <c r="L241" s="1309">
        <f t="shared" ref="L241:Z241" si="36">-L$210*$M$168*L$212*$J$209</f>
        <v>-3000375</v>
      </c>
      <c r="M241" s="1309">
        <f t="shared" si="36"/>
        <v>-4000500</v>
      </c>
      <c r="N241" s="1309">
        <f t="shared" si="36"/>
        <v>-4000500</v>
      </c>
      <c r="O241" s="1309">
        <f t="shared" si="36"/>
        <v>-4000500</v>
      </c>
      <c r="P241" s="1309">
        <f t="shared" si="36"/>
        <v>-4000500</v>
      </c>
      <c r="Q241" s="1309">
        <f t="shared" si="36"/>
        <v>-4000500</v>
      </c>
      <c r="R241" s="1309">
        <f t="shared" si="36"/>
        <v>-4000500</v>
      </c>
      <c r="S241" s="1309">
        <f t="shared" si="36"/>
        <v>-4000500</v>
      </c>
      <c r="T241" s="1309">
        <f t="shared" si="36"/>
        <v>-4000500</v>
      </c>
      <c r="U241" s="1309">
        <f t="shared" si="36"/>
        <v>-4000500</v>
      </c>
      <c r="V241" s="1309">
        <f t="shared" si="36"/>
        <v>-4000500</v>
      </c>
      <c r="W241" s="1309">
        <f t="shared" si="36"/>
        <v>-4000500</v>
      </c>
      <c r="X241" s="1309">
        <f t="shared" si="36"/>
        <v>-4000500</v>
      </c>
      <c r="Y241" s="1309">
        <f t="shared" si="36"/>
        <v>-4000500</v>
      </c>
      <c r="Z241" s="1309">
        <f t="shared" si="36"/>
        <v>-4000500</v>
      </c>
      <c r="AA241" s="1220"/>
    </row>
    <row r="242" spans="1:27" x14ac:dyDescent="0.2">
      <c r="C242" s="1363">
        <v>5</v>
      </c>
      <c r="D242" s="1363" t="s">
        <v>287</v>
      </c>
      <c r="E242" s="1363"/>
      <c r="F242" s="1203"/>
      <c r="G242" s="1203"/>
      <c r="H242" s="1204" t="s">
        <v>190</v>
      </c>
      <c r="I242" s="1243"/>
      <c r="J242" s="1298"/>
      <c r="K242" s="1373"/>
      <c r="L242" s="1309">
        <f>-$M$184*$L$212*$J$209*L210</f>
        <v>-3015000</v>
      </c>
      <c r="M242" s="1309">
        <f t="shared" ref="M242:Z242" si="37">-$M$184*$L$212*$J$209*M210</f>
        <v>-4020000</v>
      </c>
      <c r="N242" s="1309">
        <f t="shared" si="37"/>
        <v>-4020000</v>
      </c>
      <c r="O242" s="1309">
        <f t="shared" si="37"/>
        <v>-4020000</v>
      </c>
      <c r="P242" s="1309">
        <f t="shared" si="37"/>
        <v>-4020000</v>
      </c>
      <c r="Q242" s="1309">
        <f t="shared" si="37"/>
        <v>-4020000</v>
      </c>
      <c r="R242" s="1309">
        <f t="shared" si="37"/>
        <v>-4020000</v>
      </c>
      <c r="S242" s="1309">
        <f t="shared" si="37"/>
        <v>-4020000</v>
      </c>
      <c r="T242" s="1309">
        <f t="shared" si="37"/>
        <v>-4020000</v>
      </c>
      <c r="U242" s="1309">
        <f t="shared" si="37"/>
        <v>-4020000</v>
      </c>
      <c r="V242" s="1309">
        <f t="shared" si="37"/>
        <v>-4020000</v>
      </c>
      <c r="W242" s="1309">
        <f t="shared" si="37"/>
        <v>-4020000</v>
      </c>
      <c r="X242" s="1309">
        <f t="shared" si="37"/>
        <v>-4020000</v>
      </c>
      <c r="Y242" s="1309">
        <f t="shared" si="37"/>
        <v>-4020000</v>
      </c>
      <c r="Z242" s="1309">
        <f t="shared" si="37"/>
        <v>-4020000</v>
      </c>
      <c r="AA242" s="1220"/>
    </row>
    <row r="243" spans="1:27" x14ac:dyDescent="0.2">
      <c r="C243" s="1363">
        <v>6</v>
      </c>
      <c r="D243" s="1363" t="s">
        <v>448</v>
      </c>
      <c r="E243" s="1363"/>
      <c r="F243" s="1203"/>
      <c r="G243" s="1203"/>
      <c r="H243" s="1204" t="s">
        <v>288</v>
      </c>
      <c r="I243" s="1243"/>
      <c r="J243" s="1298"/>
      <c r="K243" s="1373"/>
      <c r="L243" s="1309">
        <f>-L$210*$M194*L$212*$J$209</f>
        <v>-1403782.5</v>
      </c>
      <c r="M243" s="1309">
        <f t="shared" ref="M243:Z243" si="38">-M$210*$M194*M$212*$J$209</f>
        <v>-1871710</v>
      </c>
      <c r="N243" s="1309">
        <f t="shared" si="38"/>
        <v>-1871710</v>
      </c>
      <c r="O243" s="1309">
        <f t="shared" si="38"/>
        <v>-1871710</v>
      </c>
      <c r="P243" s="1309">
        <f t="shared" si="38"/>
        <v>-1871710</v>
      </c>
      <c r="Q243" s="1309">
        <f t="shared" si="38"/>
        <v>-1871710</v>
      </c>
      <c r="R243" s="1309">
        <f t="shared" si="38"/>
        <v>-1871710</v>
      </c>
      <c r="S243" s="1309">
        <f t="shared" si="38"/>
        <v>-1871710</v>
      </c>
      <c r="T243" s="1309">
        <f t="shared" si="38"/>
        <v>-1871710</v>
      </c>
      <c r="U243" s="1309">
        <f t="shared" si="38"/>
        <v>-1871710</v>
      </c>
      <c r="V243" s="1309">
        <f t="shared" si="38"/>
        <v>-1871710</v>
      </c>
      <c r="W243" s="1309">
        <f t="shared" si="38"/>
        <v>-1871710</v>
      </c>
      <c r="X243" s="1309">
        <f t="shared" si="38"/>
        <v>-1871710</v>
      </c>
      <c r="Y243" s="1309">
        <f t="shared" si="38"/>
        <v>-1871710</v>
      </c>
      <c r="Z243" s="1309">
        <f t="shared" si="38"/>
        <v>-1871710</v>
      </c>
      <c r="AA243" s="1220"/>
    </row>
    <row r="244" spans="1:27" x14ac:dyDescent="0.2">
      <c r="C244" s="1363"/>
      <c r="D244" s="1363"/>
      <c r="E244" s="1363"/>
      <c r="F244" s="1203"/>
      <c r="G244" s="1203"/>
      <c r="H244" s="1204" t="s">
        <v>289</v>
      </c>
      <c r="I244" s="1243"/>
      <c r="J244" s="1298"/>
      <c r="K244" s="1373"/>
      <c r="L244" s="1309"/>
      <c r="M244" s="1309"/>
      <c r="N244" s="1309"/>
      <c r="O244" s="1309"/>
      <c r="P244" s="1309"/>
      <c r="Q244" s="1309"/>
      <c r="R244" s="1309"/>
      <c r="S244" s="1309"/>
      <c r="T244" s="1309"/>
      <c r="U244" s="1309"/>
      <c r="V244" s="1309"/>
      <c r="W244" s="1309"/>
      <c r="X244" s="1309"/>
      <c r="Y244" s="1309"/>
      <c r="Z244" s="1375"/>
      <c r="AA244" s="1220"/>
    </row>
    <row r="245" spans="1:27" x14ac:dyDescent="0.2">
      <c r="C245" s="1363"/>
      <c r="D245" s="1363"/>
      <c r="E245" s="1363"/>
      <c r="F245" s="1203"/>
      <c r="G245" s="1203"/>
      <c r="H245" s="1313" t="s">
        <v>247</v>
      </c>
      <c r="I245" s="1243"/>
      <c r="J245" s="1298"/>
      <c r="K245" s="1373"/>
      <c r="L245" s="1212"/>
      <c r="M245" s="1220"/>
      <c r="N245" s="1265"/>
      <c r="O245" s="1265"/>
      <c r="P245" s="1265"/>
      <c r="Q245" s="1265"/>
      <c r="R245" s="1265"/>
      <c r="S245" s="1265"/>
      <c r="T245" s="1265"/>
      <c r="U245" s="1265"/>
      <c r="V245" s="1265"/>
      <c r="W245" s="1265"/>
      <c r="X245" s="1265"/>
      <c r="Y245" s="1265"/>
      <c r="Z245" s="1223"/>
      <c r="AA245" s="1220"/>
    </row>
    <row r="246" spans="1:27" x14ac:dyDescent="0.2">
      <c r="A246" s="1107" t="s">
        <v>715</v>
      </c>
      <c r="B246" s="1107" t="s">
        <v>692</v>
      </c>
      <c r="C246" s="1363">
        <v>4</v>
      </c>
      <c r="D246" s="1363" t="s">
        <v>218</v>
      </c>
      <c r="E246" s="1363"/>
      <c r="F246" s="1203"/>
      <c r="G246" s="1203"/>
      <c r="H246" s="1204" t="s">
        <v>275</v>
      </c>
      <c r="I246" s="1243"/>
      <c r="J246" s="1298"/>
      <c r="K246" s="1373"/>
      <c r="L246" s="1309">
        <f>-L267*10^6</f>
        <v>-1798500.0000000002</v>
      </c>
      <c r="M246" s="1309">
        <f t="shared" ref="M246:Z246" si="39">-M267*10^6</f>
        <v>-1798500.0000000002</v>
      </c>
      <c r="N246" s="1309">
        <f t="shared" si="39"/>
        <v>-1798500.0000000002</v>
      </c>
      <c r="O246" s="1309">
        <f t="shared" si="39"/>
        <v>-1798500.0000000002</v>
      </c>
      <c r="P246" s="1309">
        <f t="shared" si="39"/>
        <v>-1798500.0000000002</v>
      </c>
      <c r="Q246" s="1309">
        <f t="shared" si="39"/>
        <v>-1798500.0000000002</v>
      </c>
      <c r="R246" s="1309">
        <f t="shared" si="39"/>
        <v>-1798500.0000000002</v>
      </c>
      <c r="S246" s="1309">
        <f t="shared" si="39"/>
        <v>-1798500.0000000002</v>
      </c>
      <c r="T246" s="1309">
        <f t="shared" si="39"/>
        <v>-1798500.0000000002</v>
      </c>
      <c r="U246" s="1309">
        <f t="shared" si="39"/>
        <v>-1798500.0000000002</v>
      </c>
      <c r="V246" s="1309">
        <f t="shared" si="39"/>
        <v>-1798500.0000000002</v>
      </c>
      <c r="W246" s="1309">
        <f t="shared" si="39"/>
        <v>-1798500.0000000002</v>
      </c>
      <c r="X246" s="1309">
        <f t="shared" si="39"/>
        <v>-1798500.0000000002</v>
      </c>
      <c r="Y246" s="1309">
        <f t="shared" si="39"/>
        <v>-1798500.0000000002</v>
      </c>
      <c r="Z246" s="1309">
        <f t="shared" si="39"/>
        <v>-1798500.0000000002</v>
      </c>
      <c r="AA246" s="1220"/>
    </row>
    <row r="247" spans="1:27" x14ac:dyDescent="0.2">
      <c r="C247" s="1363"/>
      <c r="D247" s="1363"/>
      <c r="E247" s="1363"/>
      <c r="F247" s="1203"/>
      <c r="G247" s="1203"/>
      <c r="H247" s="1220" t="s">
        <v>290</v>
      </c>
      <c r="I247" s="1243"/>
      <c r="J247" s="1298"/>
      <c r="K247" s="1373"/>
      <c r="L247" s="1376">
        <f t="shared" ref="L247:Z247" si="40">SUM(L235:L245)</f>
        <v>24847373.045664262</v>
      </c>
      <c r="M247" s="1376">
        <f t="shared" si="40"/>
        <v>33129830.727552325</v>
      </c>
      <c r="N247" s="1376">
        <f t="shared" si="40"/>
        <v>33129830.727552325</v>
      </c>
      <c r="O247" s="1376">
        <f t="shared" si="40"/>
        <v>33129830.727552325</v>
      </c>
      <c r="P247" s="1376">
        <f t="shared" si="40"/>
        <v>33129830.727552325</v>
      </c>
      <c r="Q247" s="1376">
        <f t="shared" si="40"/>
        <v>33129830.727552325</v>
      </c>
      <c r="R247" s="1376">
        <f t="shared" si="40"/>
        <v>33129830.727552325</v>
      </c>
      <c r="S247" s="1376">
        <f t="shared" si="40"/>
        <v>33129830.727552325</v>
      </c>
      <c r="T247" s="1376">
        <f t="shared" si="40"/>
        <v>33129830.727552325</v>
      </c>
      <c r="U247" s="1376">
        <f t="shared" si="40"/>
        <v>33129830.727552325</v>
      </c>
      <c r="V247" s="1376">
        <f t="shared" si="40"/>
        <v>33129830.727552325</v>
      </c>
      <c r="W247" s="1376">
        <f t="shared" si="40"/>
        <v>33129830.727552325</v>
      </c>
      <c r="X247" s="1376">
        <f t="shared" si="40"/>
        <v>33129830.727552325</v>
      </c>
      <c r="Y247" s="1376">
        <f t="shared" si="40"/>
        <v>33129830.727552325</v>
      </c>
      <c r="Z247" s="1376">
        <f t="shared" si="40"/>
        <v>33129830.727552325</v>
      </c>
      <c r="AA247" s="1220"/>
    </row>
    <row r="248" spans="1:27" x14ac:dyDescent="0.2">
      <c r="C248" s="1363"/>
      <c r="D248" s="1363"/>
      <c r="E248" s="1363"/>
      <c r="F248" s="1203"/>
      <c r="G248" s="1203"/>
      <c r="H248" s="1192"/>
      <c r="I248" s="1243"/>
      <c r="J248" s="1203"/>
      <c r="K248" s="1369"/>
      <c r="L248" s="1216"/>
      <c r="M248" s="1192"/>
      <c r="N248" s="1211"/>
      <c r="O248" s="1211"/>
      <c r="P248" s="1211"/>
      <c r="Q248" s="1211"/>
      <c r="R248" s="1211"/>
      <c r="S248" s="1211"/>
      <c r="T248" s="1211"/>
      <c r="U248" s="1211"/>
      <c r="V248" s="1211"/>
      <c r="W248" s="1211"/>
      <c r="X248" s="1211"/>
      <c r="Y248" s="1211"/>
      <c r="Z248" s="1209"/>
    </row>
    <row r="249" spans="1:27" x14ac:dyDescent="0.2">
      <c r="F249" s="1203"/>
      <c r="G249" s="1196">
        <v>14</v>
      </c>
      <c r="H249" s="1275" t="s">
        <v>291</v>
      </c>
      <c r="I249" s="1276" t="s">
        <v>21</v>
      </c>
      <c r="J249" s="1360" t="s">
        <v>249</v>
      </c>
      <c r="K249" s="1361" t="s">
        <v>250</v>
      </c>
      <c r="L249" s="1198" t="s">
        <v>251</v>
      </c>
      <c r="M249" s="1198" t="s">
        <v>252</v>
      </c>
      <c r="N249" s="1362" t="s">
        <v>253</v>
      </c>
      <c r="O249" s="1362" t="s">
        <v>254</v>
      </c>
      <c r="P249" s="1362" t="s">
        <v>255</v>
      </c>
      <c r="Q249" s="1362" t="s">
        <v>256</v>
      </c>
      <c r="R249" s="1362" t="s">
        <v>257</v>
      </c>
      <c r="S249" s="1362" t="s">
        <v>258</v>
      </c>
      <c r="T249" s="1362" t="s">
        <v>259</v>
      </c>
      <c r="U249" s="1362" t="s">
        <v>260</v>
      </c>
      <c r="V249" s="1362" t="s">
        <v>261</v>
      </c>
      <c r="W249" s="1362" t="s">
        <v>262</v>
      </c>
      <c r="X249" s="1362" t="s">
        <v>263</v>
      </c>
      <c r="Y249" s="1362" t="s">
        <v>264</v>
      </c>
      <c r="Z249" s="1200" t="s">
        <v>265</v>
      </c>
    </row>
    <row r="250" spans="1:27" x14ac:dyDescent="0.2">
      <c r="E250" s="1107" t="s">
        <v>484</v>
      </c>
      <c r="F250" s="1192"/>
      <c r="G250" s="1203"/>
      <c r="H250" s="1204" t="s">
        <v>455</v>
      </c>
      <c r="I250" s="1326">
        <v>10</v>
      </c>
      <c r="J250" s="1377">
        <f>J$216*$I250*$J$212*$J$215*($J$15/$J$213)^$J$214</f>
        <v>4</v>
      </c>
      <c r="K250" s="1378">
        <f>K$216*$I250*$J$212*$J$215*($J$15/$J$213)^$J$214</f>
        <v>6</v>
      </c>
      <c r="L250" s="1216"/>
      <c r="M250" s="1192"/>
      <c r="N250" s="1211"/>
      <c r="O250" s="1211"/>
      <c r="P250" s="1211"/>
      <c r="Q250" s="1211"/>
      <c r="R250" s="1211"/>
      <c r="S250" s="1211"/>
      <c r="T250" s="1211"/>
      <c r="U250" s="1211"/>
      <c r="V250" s="1211"/>
      <c r="W250" s="1211"/>
      <c r="X250" s="1211"/>
      <c r="Y250" s="1211"/>
      <c r="Z250" s="1209"/>
    </row>
    <row r="251" spans="1:27" x14ac:dyDescent="0.2">
      <c r="E251" s="1107">
        <v>0</v>
      </c>
      <c r="F251" s="1192"/>
      <c r="G251" s="1203"/>
      <c r="H251" s="1204" t="s">
        <v>456</v>
      </c>
      <c r="I251" s="1326">
        <v>10</v>
      </c>
      <c r="J251" s="1377">
        <f t="shared" ref="J251:K261" si="41">J$216*$I251*$J$212*$J$215*($J$15/$J$213)^$J$214</f>
        <v>4</v>
      </c>
      <c r="K251" s="1378">
        <f t="shared" si="41"/>
        <v>6</v>
      </c>
      <c r="L251" s="1216"/>
      <c r="M251" s="1192"/>
      <c r="N251" s="1211"/>
      <c r="O251" s="1211"/>
      <c r="P251" s="1211"/>
      <c r="Q251" s="1211"/>
      <c r="R251" s="1211"/>
      <c r="S251" s="1211"/>
      <c r="T251" s="1211"/>
      <c r="U251" s="1211"/>
      <c r="V251" s="1211"/>
      <c r="W251" s="1211"/>
      <c r="X251" s="1211"/>
      <c r="Y251" s="1211"/>
      <c r="Z251" s="1209"/>
    </row>
    <row r="252" spans="1:27" x14ac:dyDescent="0.2">
      <c r="E252" s="1107">
        <v>0</v>
      </c>
      <c r="F252" s="1192"/>
      <c r="G252" s="1203"/>
      <c r="H252" s="1204" t="s">
        <v>457</v>
      </c>
      <c r="I252" s="1326"/>
      <c r="J252" s="1377">
        <f t="shared" si="41"/>
        <v>0</v>
      </c>
      <c r="K252" s="1378">
        <f t="shared" si="41"/>
        <v>0</v>
      </c>
      <c r="L252" s="1216"/>
      <c r="M252" s="1192"/>
      <c r="N252" s="1211"/>
      <c r="O252" s="1211"/>
      <c r="P252" s="1211"/>
      <c r="Q252" s="1211"/>
      <c r="R252" s="1211"/>
      <c r="S252" s="1211"/>
      <c r="T252" s="1211"/>
      <c r="U252" s="1211"/>
      <c r="V252" s="1211"/>
      <c r="W252" s="1211"/>
      <c r="X252" s="1211"/>
      <c r="Y252" s="1211"/>
      <c r="Z252" s="1209"/>
    </row>
    <row r="253" spans="1:27" x14ac:dyDescent="0.2">
      <c r="E253" s="1107">
        <v>1</v>
      </c>
      <c r="F253" s="1192"/>
      <c r="G253" s="1203"/>
      <c r="H253" s="1204" t="s">
        <v>458</v>
      </c>
      <c r="I253" s="1326">
        <v>8</v>
      </c>
      <c r="J253" s="1377">
        <f t="shared" si="41"/>
        <v>3.2</v>
      </c>
      <c r="K253" s="1378">
        <f t="shared" si="41"/>
        <v>4.8</v>
      </c>
      <c r="L253" s="1216"/>
      <c r="M253" s="1192"/>
      <c r="N253" s="1211"/>
      <c r="O253" s="1211"/>
      <c r="P253" s="1211"/>
      <c r="Q253" s="1211"/>
      <c r="R253" s="1211"/>
      <c r="S253" s="1211"/>
      <c r="T253" s="1211"/>
      <c r="U253" s="1211"/>
      <c r="V253" s="1211"/>
      <c r="W253" s="1211"/>
      <c r="X253" s="1211"/>
      <c r="Y253" s="1211"/>
      <c r="Z253" s="1209"/>
    </row>
    <row r="254" spans="1:27" x14ac:dyDescent="0.2">
      <c r="E254" s="1107">
        <v>1</v>
      </c>
      <c r="F254" s="1192"/>
      <c r="G254" s="1203"/>
      <c r="H254" s="1204" t="s">
        <v>293</v>
      </c>
      <c r="I254" s="1326">
        <v>18</v>
      </c>
      <c r="J254" s="1377">
        <f t="shared" si="41"/>
        <v>7.2</v>
      </c>
      <c r="K254" s="1378">
        <f t="shared" si="41"/>
        <v>10.799999999999999</v>
      </c>
      <c r="L254" s="1216"/>
      <c r="M254" s="1192"/>
      <c r="N254" s="1211"/>
      <c r="O254" s="1211"/>
      <c r="P254" s="1211"/>
      <c r="Q254" s="1211"/>
      <c r="R254" s="1211"/>
      <c r="S254" s="1211"/>
      <c r="T254" s="1211"/>
      <c r="U254" s="1211"/>
      <c r="V254" s="1211"/>
      <c r="W254" s="1211"/>
      <c r="X254" s="1211"/>
      <c r="Y254" s="1211"/>
      <c r="Z254" s="1209"/>
    </row>
    <row r="255" spans="1:27" x14ac:dyDescent="0.2">
      <c r="E255" s="1107">
        <v>1</v>
      </c>
      <c r="F255" s="1192"/>
      <c r="G255" s="1203"/>
      <c r="H255" s="1204" t="s">
        <v>294</v>
      </c>
      <c r="I255" s="1326">
        <v>23</v>
      </c>
      <c r="J255" s="1377">
        <f t="shared" si="41"/>
        <v>9.2000000000000011</v>
      </c>
      <c r="K255" s="1378">
        <f t="shared" si="41"/>
        <v>13.799999999999999</v>
      </c>
      <c r="L255" s="1216"/>
      <c r="M255" s="1192"/>
      <c r="N255" s="1211"/>
      <c r="O255" s="1211"/>
      <c r="P255" s="1211"/>
      <c r="Q255" s="1211"/>
      <c r="R255" s="1211"/>
      <c r="S255" s="1211"/>
      <c r="T255" s="1211"/>
      <c r="U255" s="1211"/>
      <c r="V255" s="1211"/>
      <c r="W255" s="1211"/>
      <c r="X255" s="1211"/>
      <c r="Y255" s="1211"/>
      <c r="Z255" s="1209"/>
    </row>
    <row r="256" spans="1:27" x14ac:dyDescent="0.2">
      <c r="E256" s="1107">
        <v>1</v>
      </c>
      <c r="F256" s="1192"/>
      <c r="G256" s="1203"/>
      <c r="H256" s="1204" t="s">
        <v>295</v>
      </c>
      <c r="I256" s="1326">
        <v>5</v>
      </c>
      <c r="J256" s="1377">
        <f t="shared" si="41"/>
        <v>2</v>
      </c>
      <c r="K256" s="1378">
        <f t="shared" si="41"/>
        <v>3</v>
      </c>
      <c r="L256" s="1216"/>
      <c r="M256" s="1192"/>
      <c r="N256" s="1211"/>
      <c r="O256" s="1211"/>
      <c r="P256" s="1211"/>
      <c r="Q256" s="1211"/>
      <c r="R256" s="1211"/>
      <c r="S256" s="1211"/>
      <c r="T256" s="1211"/>
      <c r="U256" s="1211"/>
      <c r="V256" s="1211"/>
      <c r="W256" s="1211"/>
      <c r="X256" s="1211"/>
      <c r="Y256" s="1211"/>
      <c r="Z256" s="1209"/>
    </row>
    <row r="257" spans="3:27" x14ac:dyDescent="0.2">
      <c r="E257" s="1107">
        <v>1</v>
      </c>
      <c r="F257" s="1192"/>
      <c r="G257" s="1203"/>
      <c r="H257" s="1204" t="s">
        <v>459</v>
      </c>
      <c r="I257" s="1326">
        <v>14</v>
      </c>
      <c r="J257" s="1377">
        <f t="shared" si="41"/>
        <v>5.6000000000000005</v>
      </c>
      <c r="K257" s="1378">
        <f t="shared" si="41"/>
        <v>8.4</v>
      </c>
      <c r="L257" s="1216"/>
      <c r="M257" s="1192"/>
      <c r="N257" s="1211"/>
      <c r="O257" s="1211"/>
      <c r="P257" s="1211"/>
      <c r="Q257" s="1211"/>
      <c r="R257" s="1211"/>
      <c r="S257" s="1211"/>
      <c r="T257" s="1211"/>
      <c r="U257" s="1211"/>
      <c r="V257" s="1211"/>
      <c r="W257" s="1211"/>
      <c r="X257" s="1211"/>
      <c r="Y257" s="1211"/>
      <c r="Z257" s="1209"/>
    </row>
    <row r="258" spans="3:27" x14ac:dyDescent="0.2">
      <c r="E258" s="1107">
        <v>1</v>
      </c>
      <c r="F258" s="1192"/>
      <c r="G258" s="1203"/>
      <c r="H258" s="1204" t="s">
        <v>460</v>
      </c>
      <c r="I258" s="1326">
        <v>4</v>
      </c>
      <c r="J258" s="1377">
        <f t="shared" si="41"/>
        <v>1.6</v>
      </c>
      <c r="K258" s="1378">
        <f t="shared" si="41"/>
        <v>2.4</v>
      </c>
      <c r="L258" s="1216"/>
      <c r="M258" s="1192"/>
      <c r="N258" s="1211"/>
      <c r="O258" s="1211"/>
      <c r="P258" s="1211"/>
      <c r="Q258" s="1211"/>
      <c r="R258" s="1211"/>
      <c r="S258" s="1211"/>
      <c r="T258" s="1211"/>
      <c r="U258" s="1211"/>
      <c r="V258" s="1211"/>
      <c r="W258" s="1211"/>
      <c r="X258" s="1211"/>
      <c r="Y258" s="1211"/>
      <c r="Z258" s="1209"/>
    </row>
    <row r="259" spans="3:27" x14ac:dyDescent="0.2">
      <c r="E259" s="1107">
        <v>1</v>
      </c>
      <c r="F259" s="1192"/>
      <c r="G259" s="1203"/>
      <c r="H259" s="1204" t="s">
        <v>167</v>
      </c>
      <c r="I259" s="1326">
        <v>13</v>
      </c>
      <c r="J259" s="1377">
        <f t="shared" si="41"/>
        <v>5.2</v>
      </c>
      <c r="K259" s="1378">
        <f t="shared" si="41"/>
        <v>7.8</v>
      </c>
      <c r="L259" s="1216"/>
      <c r="M259" s="1192"/>
      <c r="N259" s="1211"/>
      <c r="O259" s="1211"/>
      <c r="P259" s="1211"/>
      <c r="Q259" s="1211"/>
      <c r="R259" s="1211"/>
      <c r="S259" s="1211"/>
      <c r="T259" s="1211"/>
      <c r="U259" s="1211"/>
      <c r="V259" s="1211"/>
      <c r="W259" s="1211"/>
      <c r="X259" s="1211"/>
      <c r="Y259" s="1211"/>
      <c r="Z259" s="1209"/>
    </row>
    <row r="260" spans="3:27" x14ac:dyDescent="0.2">
      <c r="E260" s="1107">
        <v>1</v>
      </c>
      <c r="F260" s="1192"/>
      <c r="G260" s="1203"/>
      <c r="H260" s="1204" t="s">
        <v>461</v>
      </c>
      <c r="I260" s="1326">
        <v>10</v>
      </c>
      <c r="J260" s="1377">
        <f t="shared" si="41"/>
        <v>4</v>
      </c>
      <c r="K260" s="1378">
        <f t="shared" si="41"/>
        <v>6</v>
      </c>
      <c r="L260" s="1216"/>
      <c r="M260" s="1192"/>
      <c r="N260" s="1211"/>
      <c r="O260" s="1211"/>
      <c r="P260" s="1211"/>
      <c r="Q260" s="1211"/>
      <c r="R260" s="1211"/>
      <c r="S260" s="1211"/>
      <c r="T260" s="1211"/>
      <c r="U260" s="1211"/>
      <c r="V260" s="1211"/>
      <c r="W260" s="1211"/>
      <c r="X260" s="1211"/>
      <c r="Y260" s="1211"/>
      <c r="Z260" s="1209"/>
    </row>
    <row r="261" spans="3:27" x14ac:dyDescent="0.2">
      <c r="E261" s="1107">
        <v>1</v>
      </c>
      <c r="F261" s="1192"/>
      <c r="G261" s="1203"/>
      <c r="H261" s="1204" t="s">
        <v>462</v>
      </c>
      <c r="I261" s="1326">
        <v>5</v>
      </c>
      <c r="J261" s="1377">
        <f t="shared" si="41"/>
        <v>2</v>
      </c>
      <c r="K261" s="1378">
        <f t="shared" si="41"/>
        <v>3</v>
      </c>
      <c r="L261" s="1216"/>
      <c r="M261" s="1192"/>
      <c r="N261" s="1211"/>
      <c r="O261" s="1211"/>
      <c r="P261" s="1211"/>
      <c r="Q261" s="1211"/>
      <c r="R261" s="1211"/>
      <c r="S261" s="1211"/>
      <c r="T261" s="1211"/>
      <c r="U261" s="1211"/>
      <c r="V261" s="1211"/>
      <c r="W261" s="1211"/>
      <c r="X261" s="1211"/>
      <c r="Y261" s="1211"/>
      <c r="Z261" s="1209"/>
    </row>
    <row r="262" spans="3:27" x14ac:dyDescent="0.2">
      <c r="E262" s="1107">
        <v>1</v>
      </c>
      <c r="F262" s="1192"/>
      <c r="G262" s="1203"/>
      <c r="H262" s="1204" t="s">
        <v>298</v>
      </c>
      <c r="I262" s="1205">
        <v>0.125</v>
      </c>
      <c r="J262" s="1377">
        <f>SUM(J250:J261)*$I262</f>
        <v>6.0000000000000009</v>
      </c>
      <c r="K262" s="1378">
        <f>SUM(K250:K261)*$I262</f>
        <v>9</v>
      </c>
      <c r="L262" s="1204" t="s">
        <v>367</v>
      </c>
      <c r="N262" s="1211"/>
      <c r="O262" s="1211"/>
      <c r="P262" s="1211"/>
      <c r="Q262" s="1211"/>
      <c r="R262" s="1211"/>
      <c r="S262" s="1211"/>
      <c r="T262" s="1211"/>
      <c r="U262" s="1211"/>
      <c r="V262" s="1211"/>
      <c r="W262" s="1211"/>
      <c r="X262" s="1211"/>
      <c r="Y262" s="1211"/>
      <c r="Z262" s="1209"/>
    </row>
    <row r="263" spans="3:27" x14ac:dyDescent="0.2">
      <c r="F263" s="1192"/>
      <c r="G263" s="1203"/>
      <c r="H263" s="1204" t="s">
        <v>368</v>
      </c>
      <c r="I263" s="1205">
        <v>0.1</v>
      </c>
      <c r="J263" s="1377">
        <f>SUM(J250:J262)*$I263</f>
        <v>5.4000000000000012</v>
      </c>
      <c r="K263" s="1378">
        <f>SUM(K250:K262)*$I263</f>
        <v>8.1</v>
      </c>
      <c r="L263" s="1221" t="s">
        <v>369</v>
      </c>
      <c r="M263" s="1204"/>
      <c r="N263" s="1211"/>
      <c r="O263" s="1211"/>
      <c r="P263" s="1211"/>
      <c r="Q263" s="1211"/>
      <c r="R263" s="1211"/>
      <c r="S263" s="1211"/>
      <c r="T263" s="1211"/>
      <c r="U263" s="1211"/>
      <c r="V263" s="1211"/>
      <c r="W263" s="1211"/>
      <c r="X263" s="1211"/>
      <c r="Y263" s="1211"/>
      <c r="Z263" s="1209"/>
    </row>
    <row r="264" spans="3:27" x14ac:dyDescent="0.2">
      <c r="F264" s="1192"/>
      <c r="G264" s="1203"/>
      <c r="H264" s="1204" t="s">
        <v>370</v>
      </c>
      <c r="I264" s="1326">
        <v>5</v>
      </c>
      <c r="J264" s="1377">
        <f>I264</f>
        <v>5</v>
      </c>
      <c r="K264" s="1378"/>
      <c r="L264" s="1267" t="s">
        <v>371</v>
      </c>
      <c r="M264" s="1192"/>
      <c r="N264" s="1211"/>
      <c r="O264" s="1211"/>
      <c r="P264" s="1211"/>
      <c r="Q264" s="1211"/>
      <c r="R264" s="1211"/>
      <c r="S264" s="1211"/>
      <c r="T264" s="1211"/>
      <c r="U264" s="1211"/>
      <c r="V264" s="1211"/>
      <c r="W264" s="1211"/>
      <c r="X264" s="1211"/>
      <c r="Y264" s="1211"/>
      <c r="Z264" s="1209"/>
    </row>
    <row r="265" spans="3:27" x14ac:dyDescent="0.2">
      <c r="F265" s="1192"/>
      <c r="G265" s="1203"/>
      <c r="H265" s="1204" t="s">
        <v>372</v>
      </c>
      <c r="I265" s="1326">
        <v>10</v>
      </c>
      <c r="J265" s="1377">
        <f>J$216*$I265*$J$212*$J$215</f>
        <v>4</v>
      </c>
      <c r="K265" s="1378">
        <f>K$216*$I265*$J$212*$J$215</f>
        <v>6</v>
      </c>
      <c r="L265" s="1216"/>
      <c r="M265" s="1192"/>
      <c r="N265" s="1211"/>
      <c r="O265" s="1211"/>
      <c r="P265" s="1211"/>
      <c r="Q265" s="1211"/>
      <c r="R265" s="1211"/>
      <c r="S265" s="1211"/>
      <c r="T265" s="1211"/>
      <c r="U265" s="1211"/>
      <c r="V265" s="1211"/>
      <c r="W265" s="1211"/>
      <c r="X265" s="1211"/>
      <c r="Y265" s="1211"/>
      <c r="Z265" s="1209"/>
    </row>
    <row r="266" spans="3:27" x14ac:dyDescent="0.2">
      <c r="F266" s="1192"/>
      <c r="G266" s="1203"/>
      <c r="H266" s="1204" t="s">
        <v>299</v>
      </c>
      <c r="I266" s="1379">
        <v>0.1</v>
      </c>
      <c r="J266" s="1377">
        <f>SUM(J250:J265)*$I266</f>
        <v>6.8400000000000007</v>
      </c>
      <c r="K266" s="1378">
        <f>SUM(K250:K265)*$I266</f>
        <v>9.51</v>
      </c>
      <c r="L266" s="1216"/>
      <c r="M266" s="1192"/>
      <c r="N266" s="1211"/>
      <c r="O266" s="1211"/>
      <c r="P266" s="1211"/>
      <c r="Q266" s="1211"/>
      <c r="R266" s="1211"/>
      <c r="S266" s="1211"/>
      <c r="T266" s="1211"/>
      <c r="U266" s="1211"/>
      <c r="V266" s="1211"/>
      <c r="W266" s="1211"/>
      <c r="X266" s="1211"/>
      <c r="Y266" s="1211"/>
      <c r="Z266" s="1209"/>
    </row>
    <row r="267" spans="3:27" x14ac:dyDescent="0.2">
      <c r="C267" s="1363">
        <v>4</v>
      </c>
      <c r="D267" s="1363" t="s">
        <v>218</v>
      </c>
      <c r="F267" s="1192"/>
      <c r="G267" s="1203"/>
      <c r="H267" s="1313" t="s">
        <v>275</v>
      </c>
      <c r="I267" s="1235" t="s">
        <v>300</v>
      </c>
      <c r="J267" s="1380"/>
      <c r="K267" s="1381"/>
      <c r="L267" s="1382">
        <f>L212*L217*SUM($J$268:$K$268)</f>
        <v>1.7985000000000002</v>
      </c>
      <c r="M267" s="1382">
        <f t="shared" ref="M267:Z267" si="42">M212*M217*SUM($J$268:$K$268)</f>
        <v>1.7985000000000002</v>
      </c>
      <c r="N267" s="1208">
        <f t="shared" si="42"/>
        <v>1.7985000000000002</v>
      </c>
      <c r="O267" s="1208">
        <f t="shared" si="42"/>
        <v>1.7985000000000002</v>
      </c>
      <c r="P267" s="1208">
        <f t="shared" si="42"/>
        <v>1.7985000000000002</v>
      </c>
      <c r="Q267" s="1208">
        <f t="shared" si="42"/>
        <v>1.7985000000000002</v>
      </c>
      <c r="R267" s="1208">
        <f t="shared" si="42"/>
        <v>1.7985000000000002</v>
      </c>
      <c r="S267" s="1208">
        <f t="shared" si="42"/>
        <v>1.7985000000000002</v>
      </c>
      <c r="T267" s="1208">
        <f t="shared" si="42"/>
        <v>1.7985000000000002</v>
      </c>
      <c r="U267" s="1208">
        <f t="shared" si="42"/>
        <v>1.7985000000000002</v>
      </c>
      <c r="V267" s="1208">
        <f t="shared" si="42"/>
        <v>1.7985000000000002</v>
      </c>
      <c r="W267" s="1208">
        <f t="shared" si="42"/>
        <v>1.7985000000000002</v>
      </c>
      <c r="X267" s="1208">
        <f t="shared" si="42"/>
        <v>1.7985000000000002</v>
      </c>
      <c r="Y267" s="1208">
        <f t="shared" si="42"/>
        <v>1.7985000000000002</v>
      </c>
      <c r="Z267" s="1383">
        <f t="shared" si="42"/>
        <v>1.7985000000000002</v>
      </c>
      <c r="AA267" s="1382">
        <f>AA212*AA217*SUM($J$229:Z268)</f>
        <v>0</v>
      </c>
    </row>
    <row r="268" spans="3:27" x14ac:dyDescent="0.2">
      <c r="F268" s="1192"/>
      <c r="G268" s="1203"/>
      <c r="H268" s="1220" t="s">
        <v>301</v>
      </c>
      <c r="I268" s="1243"/>
      <c r="J268" s="1384">
        <f t="shared" ref="J268:Z268" si="43">SUM(J250:J267)</f>
        <v>75.240000000000009</v>
      </c>
      <c r="K268" s="1385">
        <f t="shared" si="43"/>
        <v>104.61</v>
      </c>
      <c r="L268" s="1384">
        <f t="shared" si="43"/>
        <v>1.7985000000000002</v>
      </c>
      <c r="M268" s="1384">
        <f t="shared" si="43"/>
        <v>1.7985000000000002</v>
      </c>
      <c r="N268" s="1273">
        <f t="shared" si="43"/>
        <v>1.7985000000000002</v>
      </c>
      <c r="O268" s="1273">
        <f t="shared" si="43"/>
        <v>1.7985000000000002</v>
      </c>
      <c r="P268" s="1273">
        <f t="shared" si="43"/>
        <v>1.7985000000000002</v>
      </c>
      <c r="Q268" s="1273">
        <f t="shared" si="43"/>
        <v>1.7985000000000002</v>
      </c>
      <c r="R268" s="1273">
        <f t="shared" si="43"/>
        <v>1.7985000000000002</v>
      </c>
      <c r="S268" s="1273">
        <f t="shared" si="43"/>
        <v>1.7985000000000002</v>
      </c>
      <c r="T268" s="1273">
        <f t="shared" si="43"/>
        <v>1.7985000000000002</v>
      </c>
      <c r="U268" s="1273">
        <f t="shared" si="43"/>
        <v>1.7985000000000002</v>
      </c>
      <c r="V268" s="1273">
        <f t="shared" si="43"/>
        <v>1.7985000000000002</v>
      </c>
      <c r="W268" s="1273">
        <f t="shared" si="43"/>
        <v>1.7985000000000002</v>
      </c>
      <c r="X268" s="1273">
        <f t="shared" si="43"/>
        <v>1.7985000000000002</v>
      </c>
      <c r="Y268" s="1273">
        <f t="shared" si="43"/>
        <v>1.7985000000000002</v>
      </c>
      <c r="Z268" s="1218">
        <f t="shared" si="43"/>
        <v>1.7985000000000002</v>
      </c>
    </row>
    <row r="269" spans="3:27" x14ac:dyDescent="0.2">
      <c r="F269" s="1192"/>
      <c r="G269" s="1203"/>
      <c r="H269" s="1192"/>
      <c r="I269" s="1243"/>
      <c r="J269" s="1203"/>
      <c r="K269" s="1369"/>
      <c r="L269" s="1216"/>
      <c r="M269" s="1192"/>
      <c r="N269" s="1211"/>
      <c r="O269" s="1211"/>
      <c r="P269" s="1211"/>
      <c r="Q269" s="1211"/>
      <c r="R269" s="1211"/>
      <c r="S269" s="1211"/>
      <c r="T269" s="1211"/>
      <c r="U269" s="1211"/>
      <c r="V269" s="1211"/>
      <c r="W269" s="1211"/>
      <c r="X269" s="1211"/>
      <c r="Y269" s="1211"/>
      <c r="Z269" s="1209"/>
    </row>
    <row r="270" spans="3:27" x14ac:dyDescent="0.2">
      <c r="F270" s="1192"/>
      <c r="G270" s="1224"/>
      <c r="H270" s="1225"/>
      <c r="I270" s="1226"/>
      <c r="J270" s="1224"/>
      <c r="K270" s="1386"/>
      <c r="L270" s="1227"/>
      <c r="M270" s="1225"/>
      <c r="N270" s="1229"/>
      <c r="O270" s="1229"/>
      <c r="P270" s="1229"/>
      <c r="Q270" s="1229"/>
      <c r="R270" s="1229"/>
      <c r="S270" s="1229"/>
      <c r="T270" s="1229"/>
      <c r="U270" s="1229"/>
      <c r="V270" s="1229"/>
      <c r="W270" s="1229"/>
      <c r="X270" s="1229"/>
      <c r="Y270" s="1229"/>
      <c r="Z270" s="1228"/>
    </row>
    <row r="271" spans="3:27" x14ac:dyDescent="0.2">
      <c r="F271" s="1192"/>
      <c r="G271" s="1192"/>
      <c r="K271" s="1192"/>
      <c r="L271" s="1216"/>
      <c r="M271" s="1192"/>
      <c r="N271" s="1211"/>
      <c r="O271" s="1211"/>
      <c r="P271" s="1211"/>
      <c r="Q271" s="1211"/>
      <c r="R271" s="1211"/>
      <c r="S271" s="1211"/>
      <c r="T271" s="1211"/>
    </row>
    <row r="272" spans="3:27" x14ac:dyDescent="0.2">
      <c r="F272" s="1203"/>
      <c r="G272" s="1203"/>
      <c r="H272" s="1192"/>
      <c r="I272" s="1243"/>
      <c r="J272" s="1192"/>
      <c r="K272" s="1192"/>
      <c r="L272" s="1216"/>
      <c r="M272" s="1192"/>
      <c r="N272" s="1209"/>
      <c r="O272" s="1211"/>
      <c r="P272" s="1211"/>
      <c r="Q272" s="1211"/>
      <c r="R272" s="1211"/>
      <c r="S272" s="1211"/>
      <c r="T272" s="1209"/>
    </row>
    <row r="273" spans="6:20" x14ac:dyDescent="0.2">
      <c r="F273" s="1203"/>
      <c r="G273" s="1203"/>
      <c r="H273" s="1192"/>
      <c r="I273" s="1243"/>
      <c r="J273" s="1192"/>
      <c r="K273" s="1192"/>
      <c r="L273" s="1216"/>
      <c r="M273" s="1192"/>
      <c r="N273" s="1209"/>
      <c r="O273" s="1211"/>
      <c r="P273" s="1211"/>
      <c r="Q273" s="1211"/>
      <c r="R273" s="1211"/>
      <c r="S273" s="1211"/>
      <c r="T273" s="1209"/>
    </row>
    <row r="274" spans="6:20" x14ac:dyDescent="0.2">
      <c r="F274" s="1203"/>
      <c r="G274" s="1203"/>
      <c r="H274" s="1192"/>
      <c r="I274" s="1243"/>
      <c r="J274" s="1192"/>
      <c r="K274" s="1192"/>
      <c r="L274" s="1216"/>
      <c r="M274" s="1192"/>
      <c r="N274" s="1209"/>
      <c r="O274" s="1211"/>
      <c r="P274" s="1211"/>
      <c r="Q274" s="1211"/>
      <c r="R274" s="1211"/>
      <c r="S274" s="1211"/>
      <c r="T274" s="1209"/>
    </row>
    <row r="275" spans="6:20" x14ac:dyDescent="0.2">
      <c r="F275" s="1203"/>
      <c r="G275" s="1203"/>
      <c r="H275" s="1192"/>
      <c r="I275" s="1243"/>
      <c r="J275" s="1192"/>
      <c r="K275" s="1192"/>
      <c r="L275" s="1216"/>
      <c r="M275" s="1192"/>
      <c r="N275" s="1209"/>
      <c r="O275" s="1211"/>
      <c r="P275" s="1211"/>
      <c r="Q275" s="1211"/>
      <c r="R275" s="1211"/>
      <c r="S275" s="1211"/>
      <c r="T275" s="1209"/>
    </row>
    <row r="276" spans="6:20" x14ac:dyDescent="0.2">
      <c r="F276" s="1203"/>
      <c r="G276" s="1203"/>
      <c r="H276" s="1192"/>
      <c r="I276" s="1243"/>
      <c r="J276" s="1192"/>
      <c r="K276" s="1192"/>
      <c r="L276" s="1216"/>
      <c r="M276" s="1192"/>
      <c r="N276" s="1209"/>
      <c r="O276" s="1211"/>
      <c r="P276" s="1211"/>
      <c r="Q276" s="1211"/>
      <c r="R276" s="1211"/>
      <c r="S276" s="1211"/>
      <c r="T276" s="1209"/>
    </row>
    <row r="277" spans="6:20" s="1191" customFormat="1" x14ac:dyDescent="0.2">
      <c r="F277" s="1203"/>
      <c r="G277" s="1203"/>
      <c r="H277" s="1192"/>
      <c r="I277" s="1243"/>
      <c r="J277" s="1192"/>
      <c r="K277" s="1192"/>
      <c r="L277" s="1216"/>
      <c r="M277" s="1192"/>
      <c r="N277" s="1209"/>
      <c r="O277" s="1211"/>
      <c r="P277" s="1211"/>
      <c r="Q277" s="1211"/>
      <c r="R277" s="1211"/>
      <c r="S277" s="1211"/>
      <c r="T277" s="1209"/>
    </row>
    <row r="278" spans="6:20" s="1191" customFormat="1" x14ac:dyDescent="0.2">
      <c r="F278" s="1203"/>
      <c r="G278" s="1203"/>
      <c r="H278" s="1192"/>
      <c r="I278" s="1243"/>
      <c r="J278" s="1192"/>
      <c r="K278" s="1192"/>
      <c r="L278" s="1216"/>
      <c r="M278" s="1192"/>
      <c r="N278" s="1209"/>
      <c r="O278" s="1211"/>
      <c r="P278" s="1211"/>
      <c r="Q278" s="1211"/>
      <c r="R278" s="1211"/>
      <c r="S278" s="1211"/>
      <c r="T278" s="1209"/>
    </row>
    <row r="279" spans="6:20" s="1191" customFormat="1" x14ac:dyDescent="0.2">
      <c r="F279" s="1203"/>
      <c r="G279" s="1203"/>
      <c r="H279" s="1192"/>
      <c r="I279" s="1243"/>
      <c r="J279" s="1192"/>
      <c r="K279" s="1192"/>
      <c r="L279" s="1216"/>
      <c r="M279" s="1192"/>
      <c r="N279" s="1209"/>
      <c r="O279" s="1211"/>
      <c r="P279" s="1211"/>
      <c r="Q279" s="1211"/>
      <c r="R279" s="1211"/>
      <c r="S279" s="1211"/>
      <c r="T279" s="1209"/>
    </row>
    <row r="280" spans="6:20" s="1191" customFormat="1" x14ac:dyDescent="0.2">
      <c r="F280" s="1203"/>
      <c r="G280" s="1203"/>
      <c r="H280" s="1192"/>
      <c r="I280" s="1243"/>
      <c r="J280" s="1192"/>
      <c r="K280" s="1192"/>
      <c r="L280" s="1216"/>
      <c r="M280" s="1192"/>
      <c r="N280" s="1209"/>
      <c r="O280" s="1211"/>
      <c r="P280" s="1211"/>
      <c r="Q280" s="1211"/>
      <c r="R280" s="1211"/>
      <c r="S280" s="1211"/>
      <c r="T280" s="1209"/>
    </row>
    <row r="281" spans="6:20" s="1191" customFormat="1" x14ac:dyDescent="0.2">
      <c r="F281" s="1203"/>
      <c r="G281" s="1203"/>
      <c r="H281" s="1192"/>
      <c r="I281" s="1243"/>
      <c r="J281" s="1192"/>
      <c r="K281" s="1192"/>
      <c r="L281" s="1216"/>
      <c r="M281" s="1192"/>
      <c r="N281" s="1209"/>
      <c r="O281" s="1211"/>
      <c r="P281" s="1211"/>
      <c r="Q281" s="1211"/>
      <c r="R281" s="1211"/>
      <c r="S281" s="1211"/>
      <c r="T281" s="1209"/>
    </row>
    <row r="282" spans="6:20" s="1191" customFormat="1" x14ac:dyDescent="0.2">
      <c r="F282" s="1203"/>
      <c r="G282" s="1203"/>
      <c r="H282" s="1192"/>
      <c r="I282" s="1243"/>
      <c r="J282" s="1192"/>
      <c r="K282" s="1192"/>
      <c r="L282" s="1216"/>
      <c r="M282" s="1192"/>
      <c r="N282" s="1209"/>
      <c r="O282" s="1211"/>
      <c r="P282" s="1211"/>
      <c r="Q282" s="1211"/>
      <c r="R282" s="1211"/>
      <c r="S282" s="1211"/>
      <c r="T282" s="1209"/>
    </row>
    <row r="283" spans="6:20" s="1191" customFormat="1" x14ac:dyDescent="0.2">
      <c r="F283" s="1203"/>
      <c r="G283" s="1203"/>
      <c r="H283" s="1192"/>
      <c r="I283" s="1243"/>
      <c r="J283" s="1192"/>
      <c r="K283" s="1192"/>
      <c r="L283" s="1216"/>
      <c r="M283" s="1192"/>
      <c r="N283" s="1209"/>
      <c r="O283" s="1211"/>
      <c r="P283" s="1211"/>
      <c r="Q283" s="1211"/>
      <c r="R283" s="1211"/>
      <c r="S283" s="1211"/>
      <c r="T283" s="1209"/>
    </row>
    <row r="284" spans="6:20" s="1191" customFormat="1" x14ac:dyDescent="0.2">
      <c r="F284" s="1203"/>
      <c r="G284" s="1203"/>
      <c r="H284" s="1192"/>
      <c r="I284" s="1243"/>
      <c r="J284" s="1192"/>
      <c r="K284" s="1192"/>
      <c r="L284" s="1216"/>
      <c r="M284" s="1192"/>
      <c r="N284" s="1209"/>
      <c r="O284" s="1211"/>
      <c r="P284" s="1211"/>
      <c r="Q284" s="1211"/>
      <c r="R284" s="1211"/>
      <c r="S284" s="1211"/>
      <c r="T284" s="1209"/>
    </row>
    <row r="285" spans="6:20" s="1191" customFormat="1" x14ac:dyDescent="0.2">
      <c r="F285" s="1203"/>
      <c r="G285" s="1203"/>
      <c r="H285" s="1192"/>
      <c r="I285" s="1243"/>
      <c r="J285" s="1192"/>
      <c r="K285" s="1192"/>
      <c r="L285" s="1216"/>
      <c r="M285" s="1192"/>
      <c r="N285" s="1209"/>
      <c r="O285" s="1211"/>
      <c r="P285" s="1211"/>
      <c r="Q285" s="1211"/>
      <c r="R285" s="1211"/>
      <c r="S285" s="1211"/>
      <c r="T285" s="1209"/>
    </row>
    <row r="286" spans="6:20" s="1191" customFormat="1" x14ac:dyDescent="0.2">
      <c r="F286" s="1203"/>
      <c r="G286" s="1203"/>
      <c r="H286" s="1192"/>
      <c r="I286" s="1243"/>
      <c r="J286" s="1192"/>
      <c r="K286" s="1192"/>
      <c r="L286" s="1216"/>
      <c r="M286" s="1192"/>
      <c r="N286" s="1209"/>
      <c r="O286" s="1211"/>
      <c r="P286" s="1211"/>
      <c r="Q286" s="1211"/>
      <c r="R286" s="1211"/>
      <c r="S286" s="1211"/>
      <c r="T286" s="1209"/>
    </row>
    <row r="287" spans="6:20" s="1191" customFormat="1" x14ac:dyDescent="0.2">
      <c r="F287" s="1203"/>
      <c r="G287" s="1203"/>
      <c r="H287" s="1192"/>
      <c r="I287" s="1243"/>
      <c r="J287" s="1192"/>
      <c r="K287" s="1192"/>
      <c r="L287" s="1216"/>
      <c r="M287" s="1192"/>
      <c r="N287" s="1209"/>
      <c r="O287" s="1211"/>
      <c r="P287" s="1211"/>
      <c r="Q287" s="1211"/>
      <c r="R287" s="1211"/>
      <c r="S287" s="1211"/>
      <c r="T287" s="1209"/>
    </row>
    <row r="288" spans="6:20" s="1191" customFormat="1" x14ac:dyDescent="0.2">
      <c r="F288" s="1203"/>
      <c r="G288" s="1203"/>
      <c r="H288" s="1192"/>
      <c r="I288" s="1243"/>
      <c r="J288" s="1192"/>
      <c r="K288" s="1192"/>
      <c r="L288" s="1216"/>
      <c r="M288" s="1192"/>
      <c r="N288" s="1209"/>
      <c r="O288" s="1211"/>
      <c r="P288" s="1211"/>
      <c r="Q288" s="1211"/>
      <c r="R288" s="1211"/>
      <c r="S288" s="1211"/>
      <c r="T288" s="1209"/>
    </row>
    <row r="289" spans="6:20" s="1191" customFormat="1" x14ac:dyDescent="0.2">
      <c r="F289" s="1203"/>
      <c r="G289" s="1203"/>
      <c r="H289" s="1192"/>
      <c r="I289" s="1243"/>
      <c r="J289" s="1192"/>
      <c r="K289" s="1192"/>
      <c r="L289" s="1216"/>
      <c r="M289" s="1192"/>
      <c r="N289" s="1209"/>
      <c r="O289" s="1211"/>
      <c r="P289" s="1211"/>
      <c r="Q289" s="1211"/>
      <c r="R289" s="1211"/>
      <c r="S289" s="1211"/>
      <c r="T289" s="1209"/>
    </row>
    <row r="290" spans="6:20" s="1191" customFormat="1" x14ac:dyDescent="0.2">
      <c r="F290" s="1203"/>
      <c r="G290" s="1203"/>
      <c r="H290" s="1192"/>
      <c r="I290" s="1243"/>
      <c r="J290" s="1192"/>
      <c r="K290" s="1192"/>
      <c r="L290" s="1216"/>
      <c r="M290" s="1192"/>
      <c r="N290" s="1209"/>
      <c r="O290" s="1211"/>
      <c r="P290" s="1211"/>
      <c r="Q290" s="1211"/>
      <c r="R290" s="1211"/>
      <c r="S290" s="1211"/>
      <c r="T290" s="1209"/>
    </row>
    <row r="291" spans="6:20" s="1191" customFormat="1" x14ac:dyDescent="0.2">
      <c r="F291" s="1203"/>
      <c r="G291" s="1203"/>
      <c r="H291" s="1192"/>
      <c r="I291" s="1243"/>
      <c r="J291" s="1192"/>
      <c r="K291" s="1192"/>
      <c r="L291" s="1216"/>
      <c r="M291" s="1192"/>
      <c r="N291" s="1209"/>
      <c r="O291" s="1211"/>
      <c r="P291" s="1211"/>
      <c r="Q291" s="1211"/>
      <c r="R291" s="1211"/>
      <c r="S291" s="1211"/>
      <c r="T291" s="1209"/>
    </row>
    <row r="292" spans="6:20" s="1191" customFormat="1" x14ac:dyDescent="0.2">
      <c r="F292" s="1203"/>
      <c r="G292" s="1203"/>
      <c r="H292" s="1192"/>
      <c r="I292" s="1243"/>
      <c r="J292" s="1192"/>
      <c r="K292" s="1192"/>
      <c r="L292" s="1216"/>
      <c r="M292" s="1192"/>
      <c r="N292" s="1209"/>
      <c r="O292" s="1211"/>
      <c r="P292" s="1211"/>
      <c r="Q292" s="1211"/>
      <c r="R292" s="1211"/>
      <c r="S292" s="1211"/>
      <c r="T292" s="1209"/>
    </row>
    <row r="293" spans="6:20" s="1191" customFormat="1" x14ac:dyDescent="0.2">
      <c r="F293" s="1203"/>
      <c r="G293" s="1203"/>
      <c r="H293" s="1192"/>
      <c r="I293" s="1243"/>
      <c r="J293" s="1192"/>
      <c r="K293" s="1192"/>
      <c r="L293" s="1216"/>
      <c r="M293" s="1192"/>
      <c r="N293" s="1209"/>
      <c r="O293" s="1211"/>
      <c r="P293" s="1211"/>
      <c r="Q293" s="1211"/>
      <c r="R293" s="1211"/>
      <c r="S293" s="1211"/>
      <c r="T293" s="1209"/>
    </row>
    <row r="294" spans="6:20" s="1191" customFormat="1" x14ac:dyDescent="0.2">
      <c r="F294" s="1203"/>
      <c r="G294" s="1203"/>
      <c r="H294" s="1192"/>
      <c r="I294" s="1243"/>
      <c r="J294" s="1192"/>
      <c r="K294" s="1192"/>
      <c r="L294" s="1216"/>
      <c r="M294" s="1192"/>
      <c r="N294" s="1209"/>
      <c r="O294" s="1211"/>
      <c r="P294" s="1211"/>
      <c r="Q294" s="1211"/>
      <c r="R294" s="1211"/>
      <c r="S294" s="1211"/>
      <c r="T294" s="1209"/>
    </row>
    <row r="295" spans="6:20" s="1191" customFormat="1" x14ac:dyDescent="0.2">
      <c r="F295" s="1203"/>
      <c r="G295" s="1203"/>
      <c r="H295" s="1192"/>
      <c r="I295" s="1243"/>
      <c r="J295" s="1192"/>
      <c r="K295" s="1192"/>
      <c r="L295" s="1216"/>
      <c r="M295" s="1192"/>
      <c r="N295" s="1209"/>
      <c r="O295" s="1211"/>
      <c r="P295" s="1211"/>
      <c r="Q295" s="1211"/>
      <c r="R295" s="1211"/>
      <c r="S295" s="1211"/>
      <c r="T295" s="1209"/>
    </row>
    <row r="296" spans="6:20" s="1191" customFormat="1" x14ac:dyDescent="0.2">
      <c r="F296" s="1203"/>
      <c r="G296" s="1203"/>
      <c r="H296" s="1192"/>
      <c r="I296" s="1243"/>
      <c r="J296" s="1192"/>
      <c r="K296" s="1192"/>
      <c r="L296" s="1216"/>
      <c r="M296" s="1192"/>
      <c r="N296" s="1209"/>
      <c r="O296" s="1211"/>
      <c r="P296" s="1211"/>
      <c r="Q296" s="1211"/>
      <c r="R296" s="1211"/>
      <c r="S296" s="1211"/>
      <c r="T296" s="1209"/>
    </row>
    <row r="297" spans="6:20" s="1191" customFormat="1" x14ac:dyDescent="0.2">
      <c r="F297" s="1203"/>
      <c r="G297" s="1203"/>
      <c r="H297" s="1192"/>
      <c r="I297" s="1243"/>
      <c r="J297" s="1192"/>
      <c r="K297" s="1192"/>
      <c r="L297" s="1216"/>
      <c r="M297" s="1192"/>
      <c r="N297" s="1209"/>
      <c r="O297" s="1211"/>
      <c r="P297" s="1211"/>
      <c r="Q297" s="1211"/>
      <c r="R297" s="1211"/>
      <c r="S297" s="1211"/>
      <c r="T297" s="1209"/>
    </row>
    <row r="298" spans="6:20" s="1191" customFormat="1" x14ac:dyDescent="0.2">
      <c r="F298" s="1203"/>
      <c r="G298" s="1203"/>
      <c r="H298" s="1192"/>
      <c r="I298" s="1243"/>
      <c r="J298" s="1192"/>
      <c r="K298" s="1192"/>
      <c r="L298" s="1216"/>
      <c r="M298" s="1192"/>
      <c r="N298" s="1209"/>
      <c r="O298" s="1211"/>
      <c r="P298" s="1211"/>
      <c r="Q298" s="1211"/>
      <c r="R298" s="1211"/>
      <c r="S298" s="1211"/>
      <c r="T298" s="1209"/>
    </row>
    <row r="299" spans="6:20" s="1191" customFormat="1" x14ac:dyDescent="0.2">
      <c r="F299" s="1203"/>
      <c r="G299" s="1203"/>
      <c r="H299" s="1192"/>
      <c r="I299" s="1243"/>
      <c r="J299" s="1192"/>
      <c r="K299" s="1192"/>
      <c r="L299" s="1216"/>
      <c r="M299" s="1192"/>
      <c r="N299" s="1209"/>
      <c r="O299" s="1211"/>
      <c r="P299" s="1211"/>
      <c r="Q299" s="1211"/>
      <c r="R299" s="1211"/>
      <c r="S299" s="1211"/>
      <c r="T299" s="1209"/>
    </row>
    <row r="300" spans="6:20" s="1191" customFormat="1" x14ac:dyDescent="0.2">
      <c r="F300" s="1203"/>
      <c r="G300" s="1203"/>
      <c r="H300" s="1192"/>
      <c r="I300" s="1243"/>
      <c r="J300" s="1192"/>
      <c r="K300" s="1192"/>
      <c r="L300" s="1216"/>
      <c r="M300" s="1192"/>
      <c r="N300" s="1209"/>
      <c r="O300" s="1211"/>
      <c r="P300" s="1211"/>
      <c r="Q300" s="1211"/>
      <c r="R300" s="1211"/>
      <c r="S300" s="1211"/>
      <c r="T300" s="1209"/>
    </row>
    <row r="301" spans="6:20" s="1191" customFormat="1" x14ac:dyDescent="0.2">
      <c r="F301" s="1203"/>
      <c r="G301" s="1203"/>
      <c r="H301" s="1192"/>
      <c r="I301" s="1243"/>
      <c r="J301" s="1192"/>
      <c r="K301" s="1192"/>
      <c r="L301" s="1216"/>
      <c r="M301" s="1192"/>
      <c r="N301" s="1209"/>
      <c r="O301" s="1211"/>
      <c r="P301" s="1211"/>
      <c r="Q301" s="1211"/>
      <c r="R301" s="1211"/>
      <c r="S301" s="1211"/>
      <c r="T301" s="1209"/>
    </row>
    <row r="302" spans="6:20" s="1191" customFormat="1" x14ac:dyDescent="0.2">
      <c r="F302" s="1203"/>
      <c r="G302" s="1203"/>
      <c r="H302" s="1192"/>
      <c r="I302" s="1243"/>
      <c r="J302" s="1192"/>
      <c r="K302" s="1192"/>
      <c r="L302" s="1216"/>
      <c r="M302" s="1192"/>
      <c r="N302" s="1209"/>
      <c r="O302" s="1211"/>
      <c r="P302" s="1211"/>
      <c r="Q302" s="1211"/>
      <c r="R302" s="1211"/>
      <c r="S302" s="1211"/>
      <c r="T302" s="1209"/>
    </row>
    <row r="303" spans="6:20" s="1191" customFormat="1" x14ac:dyDescent="0.2">
      <c r="F303" s="1203"/>
      <c r="G303" s="1203"/>
      <c r="H303" s="1192"/>
      <c r="I303" s="1243"/>
      <c r="J303" s="1192"/>
      <c r="K303" s="1192"/>
      <c r="L303" s="1216"/>
      <c r="M303" s="1192"/>
      <c r="N303" s="1209"/>
      <c r="O303" s="1211"/>
      <c r="P303" s="1211"/>
      <c r="Q303" s="1211"/>
      <c r="R303" s="1211"/>
      <c r="S303" s="1211"/>
      <c r="T303" s="1209"/>
    </row>
    <row r="304" spans="6:20" s="1191" customFormat="1" x14ac:dyDescent="0.2">
      <c r="F304" s="1203"/>
      <c r="G304" s="1196" t="s">
        <v>217</v>
      </c>
      <c r="H304" s="1275"/>
      <c r="I304" s="1276"/>
      <c r="J304" s="1198"/>
      <c r="K304" s="1198"/>
      <c r="L304" s="1199"/>
      <c r="M304" s="1198"/>
      <c r="N304" s="1202"/>
      <c r="O304" s="1277"/>
      <c r="P304" s="1187"/>
      <c r="Q304" s="1187"/>
      <c r="R304" s="1187"/>
      <c r="S304" s="1187"/>
      <c r="T304" s="1202"/>
    </row>
    <row r="305" spans="6:20" s="1191" customFormat="1" x14ac:dyDescent="0.2">
      <c r="F305" s="1192"/>
      <c r="G305" s="1203"/>
      <c r="H305" s="1204"/>
      <c r="I305" s="1243"/>
      <c r="J305" s="1192"/>
      <c r="K305" s="1192"/>
      <c r="L305" s="1216"/>
      <c r="M305" s="1192"/>
      <c r="N305" s="1209"/>
      <c r="O305" s="1387"/>
      <c r="P305" s="1211"/>
      <c r="Q305" s="1211"/>
      <c r="R305" s="1211"/>
      <c r="S305" s="1211"/>
      <c r="T305" s="1209"/>
    </row>
    <row r="306" spans="6:20" s="1191" customFormat="1" x14ac:dyDescent="0.2">
      <c r="F306" s="1192"/>
      <c r="G306" s="1203"/>
      <c r="H306" s="1204"/>
      <c r="I306" s="1243"/>
      <c r="J306" s="1192"/>
      <c r="K306" s="1192"/>
      <c r="L306" s="1216"/>
      <c r="M306" s="1192"/>
      <c r="N306" s="1209"/>
      <c r="O306" s="1387"/>
      <c r="P306" s="1211"/>
      <c r="Q306" s="1211"/>
      <c r="R306" s="1211"/>
      <c r="S306" s="1211"/>
      <c r="T306" s="1209"/>
    </row>
    <row r="307" spans="6:20" s="1191" customFormat="1" x14ac:dyDescent="0.2">
      <c r="F307" s="1192"/>
      <c r="G307" s="1203"/>
      <c r="H307" s="1204"/>
      <c r="I307" s="1243"/>
      <c r="J307" s="1192"/>
      <c r="K307" s="1192"/>
      <c r="L307" s="1216"/>
      <c r="M307" s="1192"/>
      <c r="N307" s="1209"/>
      <c r="O307" s="1387"/>
      <c r="P307" s="1211"/>
      <c r="Q307" s="1211"/>
      <c r="R307" s="1211"/>
      <c r="S307" s="1211"/>
      <c r="T307" s="1209"/>
    </row>
    <row r="308" spans="6:20" s="1191" customFormat="1" x14ac:dyDescent="0.2">
      <c r="F308" s="1192"/>
      <c r="G308" s="1203"/>
      <c r="H308" s="1204"/>
      <c r="I308" s="1243"/>
      <c r="J308" s="1192"/>
      <c r="K308" s="1192"/>
      <c r="L308" s="1216"/>
      <c r="M308" s="1192"/>
      <c r="N308" s="1209"/>
      <c r="O308" s="1387"/>
      <c r="P308" s="1211"/>
      <c r="Q308" s="1211"/>
      <c r="R308" s="1211"/>
      <c r="S308" s="1211"/>
      <c r="T308" s="1209"/>
    </row>
    <row r="309" spans="6:20" s="1191" customFormat="1" x14ac:dyDescent="0.2">
      <c r="F309" s="1192"/>
      <c r="G309" s="1203"/>
      <c r="H309" s="1204"/>
      <c r="I309" s="1243"/>
      <c r="J309" s="1192"/>
      <c r="K309" s="1192"/>
      <c r="L309" s="1216"/>
      <c r="M309" s="1192"/>
      <c r="N309" s="1209"/>
      <c r="O309" s="1387"/>
      <c r="P309" s="1211"/>
      <c r="Q309" s="1211"/>
      <c r="R309" s="1211"/>
      <c r="S309" s="1211"/>
      <c r="T309" s="1209"/>
    </row>
    <row r="310" spans="6:20" s="1191" customFormat="1" x14ac:dyDescent="0.2">
      <c r="F310" s="1192"/>
      <c r="G310" s="1203"/>
      <c r="H310" s="1204"/>
      <c r="I310" s="1243"/>
      <c r="J310" s="1192"/>
      <c r="K310" s="1192"/>
      <c r="L310" s="1216"/>
      <c r="M310" s="1192"/>
      <c r="N310" s="1209"/>
      <c r="O310" s="1387"/>
      <c r="P310" s="1211"/>
      <c r="Q310" s="1211"/>
      <c r="R310" s="1211"/>
      <c r="S310" s="1211"/>
      <c r="T310" s="1209"/>
    </row>
    <row r="311" spans="6:20" s="1191" customFormat="1" x14ac:dyDescent="0.2">
      <c r="F311" s="1192"/>
      <c r="G311" s="1203"/>
      <c r="H311" s="1204"/>
      <c r="I311" s="1243"/>
      <c r="J311" s="1192"/>
      <c r="K311" s="1192"/>
      <c r="L311" s="1216"/>
      <c r="M311" s="1192"/>
      <c r="N311" s="1209"/>
      <c r="O311" s="1387"/>
      <c r="P311" s="1211"/>
      <c r="Q311" s="1211"/>
      <c r="R311" s="1211"/>
      <c r="S311" s="1211"/>
      <c r="T311" s="1209"/>
    </row>
    <row r="312" spans="6:20" s="1191" customFormat="1" x14ac:dyDescent="0.2">
      <c r="F312" s="1192"/>
      <c r="G312" s="1203"/>
      <c r="H312" s="1204"/>
      <c r="I312" s="1243"/>
      <c r="J312" s="1192"/>
      <c r="K312" s="1192"/>
      <c r="L312" s="1216"/>
      <c r="M312" s="1192"/>
      <c r="N312" s="1209"/>
      <c r="O312" s="1387"/>
      <c r="P312" s="1211"/>
      <c r="Q312" s="1211"/>
      <c r="R312" s="1211"/>
      <c r="S312" s="1211"/>
      <c r="T312" s="1209"/>
    </row>
    <row r="313" spans="6:20" s="1191" customFormat="1" x14ac:dyDescent="0.2">
      <c r="F313" s="1192"/>
      <c r="G313" s="1203"/>
      <c r="H313" s="1204"/>
      <c r="I313" s="1243"/>
      <c r="J313" s="1192"/>
      <c r="K313" s="1192"/>
      <c r="L313" s="1216"/>
      <c r="M313" s="1192"/>
      <c r="N313" s="1209"/>
      <c r="O313" s="1387"/>
      <c r="P313" s="1211"/>
      <c r="Q313" s="1211"/>
      <c r="R313" s="1211"/>
      <c r="S313" s="1211"/>
      <c r="T313" s="1209"/>
    </row>
    <row r="314" spans="6:20" s="1191" customFormat="1" x14ac:dyDescent="0.2">
      <c r="F314" s="1192"/>
      <c r="G314" s="1203"/>
      <c r="H314" s="1204"/>
      <c r="I314" s="1243"/>
      <c r="J314" s="1192"/>
      <c r="K314" s="1192"/>
      <c r="L314" s="1216"/>
      <c r="M314" s="1192"/>
      <c r="N314" s="1209"/>
      <c r="O314" s="1387"/>
      <c r="P314" s="1211"/>
      <c r="Q314" s="1211"/>
      <c r="R314" s="1211"/>
      <c r="S314" s="1211"/>
      <c r="T314" s="1209"/>
    </row>
    <row r="315" spans="6:20" s="1191" customFormat="1" x14ac:dyDescent="0.2">
      <c r="F315" s="1192"/>
      <c r="G315" s="1203"/>
      <c r="H315" s="1204"/>
      <c r="I315" s="1243"/>
      <c r="J315" s="1192"/>
      <c r="K315" s="1192"/>
      <c r="L315" s="1216"/>
      <c r="M315" s="1192"/>
      <c r="N315" s="1209"/>
      <c r="O315" s="1387"/>
      <c r="P315" s="1211"/>
      <c r="Q315" s="1211"/>
      <c r="R315" s="1211"/>
      <c r="S315" s="1211"/>
      <c r="T315" s="1209"/>
    </row>
    <row r="316" spans="6:20" s="1191" customFormat="1" x14ac:dyDescent="0.2">
      <c r="F316" s="1192"/>
      <c r="G316" s="1203"/>
      <c r="H316" s="1220"/>
      <c r="I316" s="1243"/>
      <c r="J316" s="1192"/>
      <c r="K316" s="1192"/>
      <c r="L316" s="1216"/>
      <c r="M316" s="1192"/>
      <c r="N316" s="1209"/>
      <c r="O316" s="1387"/>
      <c r="P316" s="1211"/>
      <c r="Q316" s="1211"/>
      <c r="R316" s="1211"/>
      <c r="S316" s="1211"/>
      <c r="T316" s="1209"/>
    </row>
    <row r="317" spans="6:20" s="1191" customFormat="1" x14ac:dyDescent="0.2">
      <c r="F317" s="1192"/>
      <c r="G317" s="1224"/>
      <c r="H317" s="1225"/>
      <c r="I317" s="1226"/>
      <c r="J317" s="1225"/>
      <c r="K317" s="1225"/>
      <c r="L317" s="1227"/>
      <c r="M317" s="1225"/>
      <c r="N317" s="1228"/>
      <c r="O317" s="1388"/>
      <c r="P317" s="1229"/>
      <c r="Q317" s="1229"/>
      <c r="R317" s="1229"/>
      <c r="S317" s="1229"/>
      <c r="T317" s="1228"/>
    </row>
    <row r="318" spans="6:20" s="1191" customFormat="1" x14ac:dyDescent="0.2">
      <c r="F318" s="1192"/>
      <c r="G318" s="1192"/>
      <c r="H318" s="1107"/>
      <c r="I318" s="1189"/>
      <c r="J318" s="1107"/>
      <c r="K318" s="1192"/>
      <c r="L318" s="1216"/>
      <c r="M318" s="1192"/>
      <c r="N318" s="1211"/>
      <c r="O318" s="1211"/>
      <c r="P318" s="1211"/>
      <c r="Q318" s="1211"/>
      <c r="R318" s="1211"/>
      <c r="S318" s="1211"/>
      <c r="T318" s="1211"/>
    </row>
    <row r="320" spans="6:20" s="1191" customFormat="1" ht="23.25" x14ac:dyDescent="0.35">
      <c r="F320" s="1107"/>
      <c r="G320" s="1107"/>
      <c r="H320" s="1194"/>
      <c r="I320" s="1189"/>
      <c r="J320" s="1107"/>
      <c r="K320" s="1107"/>
      <c r="L320" s="1190"/>
      <c r="M320" s="1107"/>
    </row>
    <row r="322" spans="6:21" s="1191" customFormat="1" ht="18" x14ac:dyDescent="0.25">
      <c r="F322" s="1107"/>
      <c r="G322" s="1389" t="s">
        <v>0</v>
      </c>
      <c r="H322" s="1390"/>
      <c r="I322" s="1391"/>
      <c r="J322" s="1392"/>
      <c r="K322" s="1392"/>
      <c r="L322" s="1393"/>
      <c r="M322" s="1195"/>
      <c r="N322" s="1187"/>
      <c r="O322" s="1187"/>
      <c r="P322" s="1187"/>
      <c r="Q322" s="1187"/>
      <c r="R322" s="1187"/>
      <c r="S322" s="1187"/>
      <c r="T322" s="1202"/>
    </row>
    <row r="323" spans="6:21" s="1191" customFormat="1" x14ac:dyDescent="0.2">
      <c r="F323" s="1107"/>
      <c r="G323" s="1203"/>
      <c r="H323" s="1394"/>
      <c r="I323" s="1232"/>
      <c r="J323" s="1232"/>
      <c r="K323" s="1394"/>
      <c r="L323" s="1233"/>
      <c r="M323" s="1211"/>
      <c r="N323" s="1211"/>
      <c r="O323" s="1211"/>
      <c r="P323" s="1211"/>
      <c r="Q323" s="1211"/>
      <c r="R323" s="1211"/>
      <c r="S323" s="1211"/>
      <c r="T323" s="1209"/>
    </row>
    <row r="324" spans="6:21" s="1191" customFormat="1" x14ac:dyDescent="0.2">
      <c r="F324" s="1107"/>
      <c r="G324" s="1203"/>
      <c r="H324" s="1204"/>
      <c r="I324" s="1243"/>
      <c r="J324" s="1243"/>
      <c r="K324" s="1192"/>
      <c r="L324" s="1216"/>
      <c r="M324" s="1211"/>
      <c r="N324" s="1211"/>
      <c r="O324" s="1211"/>
      <c r="P324" s="1211"/>
      <c r="Q324" s="1211"/>
      <c r="R324" s="1211"/>
      <c r="S324" s="1211"/>
      <c r="T324" s="1209"/>
    </row>
    <row r="325" spans="6:21" s="1191" customFormat="1" x14ac:dyDescent="0.2">
      <c r="G325" s="1203"/>
      <c r="H325" s="1204"/>
      <c r="I325" s="1243"/>
      <c r="J325" s="1243"/>
      <c r="K325" s="1204"/>
      <c r="L325" s="1216"/>
      <c r="M325" s="1211"/>
      <c r="N325" s="1211"/>
      <c r="O325" s="1211"/>
      <c r="P325" s="1211"/>
      <c r="Q325" s="1211"/>
      <c r="R325" s="1211"/>
      <c r="S325" s="1211"/>
      <c r="T325" s="1209"/>
    </row>
    <row r="326" spans="6:21" s="1191" customFormat="1" x14ac:dyDescent="0.2">
      <c r="G326" s="1203"/>
      <c r="H326" s="1204"/>
      <c r="I326" s="1243"/>
      <c r="J326" s="1243"/>
      <c r="K326" s="1338"/>
      <c r="L326" s="1216"/>
      <c r="M326" s="1211"/>
      <c r="N326" s="1211"/>
      <c r="O326" s="1211"/>
      <c r="P326" s="1211"/>
      <c r="Q326" s="1211"/>
      <c r="R326" s="1211"/>
      <c r="S326" s="1211"/>
      <c r="T326" s="1209"/>
    </row>
    <row r="327" spans="6:21" s="1191" customFormat="1" x14ac:dyDescent="0.2">
      <c r="G327" s="1203"/>
      <c r="H327" s="1204"/>
      <c r="I327" s="1243"/>
      <c r="J327" s="1243"/>
      <c r="K327" s="1192"/>
      <c r="L327" s="1216"/>
      <c r="M327" s="1211"/>
      <c r="N327" s="1211"/>
      <c r="O327" s="1211"/>
      <c r="P327" s="1211"/>
      <c r="Q327" s="1211"/>
      <c r="R327" s="1211"/>
      <c r="S327" s="1211"/>
      <c r="T327" s="1209"/>
    </row>
    <row r="328" spans="6:21" s="1191" customFormat="1" x14ac:dyDescent="0.2">
      <c r="G328" s="1203"/>
      <c r="H328" s="1204"/>
      <c r="I328" s="1243"/>
      <c r="J328" s="1243"/>
      <c r="K328" s="1204"/>
      <c r="L328" s="1216"/>
      <c r="M328" s="1211"/>
      <c r="N328" s="1211"/>
      <c r="O328" s="1211"/>
      <c r="P328" s="1211"/>
      <c r="Q328" s="1211"/>
      <c r="R328" s="1211"/>
      <c r="S328" s="1211"/>
      <c r="T328" s="1209"/>
    </row>
    <row r="329" spans="6:21" s="1191" customFormat="1" x14ac:dyDescent="0.2">
      <c r="G329" s="1203"/>
      <c r="H329" s="1204"/>
      <c r="I329" s="1243"/>
      <c r="J329" s="1243"/>
      <c r="K329" s="1204"/>
      <c r="L329" s="1216"/>
      <c r="M329" s="1339"/>
      <c r="N329" s="1211"/>
      <c r="O329" s="1211"/>
      <c r="P329" s="1211"/>
      <c r="Q329" s="1211"/>
      <c r="R329" s="1211"/>
      <c r="S329" s="1211"/>
      <c r="T329" s="1209"/>
    </row>
    <row r="330" spans="6:21" s="1191" customFormat="1" ht="18" x14ac:dyDescent="0.25">
      <c r="G330" s="1389" t="s">
        <v>18</v>
      </c>
      <c r="H330" s="1390"/>
      <c r="I330" s="1391"/>
      <c r="J330" s="1392"/>
      <c r="K330" s="1392"/>
      <c r="L330" s="1393"/>
      <c r="M330" s="1195"/>
      <c r="N330" s="1187"/>
      <c r="O330" s="1187"/>
      <c r="P330" s="1187"/>
      <c r="Q330" s="1187"/>
      <c r="R330" s="1187"/>
      <c r="S330" s="1187"/>
      <c r="T330" s="1202"/>
    </row>
    <row r="331" spans="6:21" s="1191" customFormat="1" x14ac:dyDescent="0.2">
      <c r="G331" s="1203"/>
      <c r="H331" s="1394"/>
      <c r="I331" s="1232"/>
      <c r="J331" s="1232"/>
      <c r="K331" s="1394"/>
      <c r="L331" s="1233"/>
      <c r="M331" s="1395"/>
      <c r="N331" s="1211"/>
      <c r="O331" s="1211"/>
      <c r="P331" s="1211"/>
      <c r="Q331" s="1211"/>
      <c r="R331" s="1211"/>
      <c r="S331" s="1211"/>
      <c r="T331" s="1209"/>
    </row>
    <row r="332" spans="6:21" s="1191" customFormat="1" x14ac:dyDescent="0.2">
      <c r="G332" s="1203"/>
      <c r="H332" s="1204"/>
      <c r="I332" s="1243"/>
      <c r="J332" s="1243"/>
      <c r="K332" s="1338"/>
      <c r="L332" s="1216"/>
      <c r="M332" s="1339"/>
      <c r="N332" s="1211"/>
      <c r="O332" s="1210"/>
      <c r="P332" s="1211"/>
      <c r="Q332" s="1210"/>
      <c r="R332" s="1211"/>
      <c r="S332" s="1396"/>
      <c r="T332" s="1210"/>
      <c r="U332" s="1208"/>
    </row>
    <row r="333" spans="6:21" s="1191" customFormat="1" x14ac:dyDescent="0.2">
      <c r="G333" s="1389"/>
      <c r="H333" s="1204"/>
      <c r="I333" s="1243"/>
      <c r="J333" s="1243"/>
      <c r="K333" s="1338"/>
      <c r="L333" s="1216"/>
      <c r="M333" s="1339"/>
      <c r="N333" s="1211"/>
      <c r="O333" s="1210"/>
      <c r="P333" s="1211"/>
      <c r="Q333" s="1210"/>
      <c r="R333" s="1211"/>
      <c r="S333" s="1396"/>
      <c r="T333" s="1210"/>
      <c r="U333" s="1208"/>
    </row>
    <row r="334" spans="6:21" s="1191" customFormat="1" x14ac:dyDescent="0.2">
      <c r="G334" s="1203"/>
      <c r="H334" s="1192"/>
      <c r="I334" s="1243"/>
      <c r="J334" s="1243"/>
      <c r="K334" s="1192"/>
      <c r="L334" s="1216"/>
      <c r="M334" s="1203"/>
      <c r="N334" s="1211"/>
      <c r="O334" s="1211"/>
      <c r="P334" s="1211"/>
      <c r="Q334" s="1211"/>
      <c r="R334" s="1211"/>
      <c r="S334" s="1211"/>
      <c r="T334" s="1209"/>
    </row>
    <row r="335" spans="6:21" s="1191" customFormat="1" ht="18" x14ac:dyDescent="0.25">
      <c r="G335" s="1389" t="s">
        <v>69</v>
      </c>
      <c r="H335" s="1390"/>
      <c r="I335" s="1391"/>
      <c r="J335" s="1391"/>
      <c r="K335" s="1392"/>
      <c r="L335" s="1393"/>
      <c r="M335" s="1195"/>
      <c r="N335" s="1187"/>
      <c r="O335" s="1187"/>
      <c r="P335" s="1187"/>
      <c r="Q335" s="1187"/>
      <c r="R335" s="1187"/>
      <c r="S335" s="1187"/>
      <c r="T335" s="1202"/>
    </row>
    <row r="336" spans="6:21" s="1191" customFormat="1" x14ac:dyDescent="0.2">
      <c r="G336" s="1203"/>
      <c r="H336" s="1394"/>
      <c r="I336" s="1232"/>
      <c r="J336" s="1232"/>
      <c r="K336" s="1394"/>
      <c r="L336" s="1233"/>
      <c r="M336" s="1395"/>
      <c r="N336" s="1211"/>
      <c r="O336" s="1211"/>
      <c r="P336" s="1211"/>
      <c r="Q336" s="1211"/>
      <c r="R336" s="1211"/>
      <c r="S336" s="1211"/>
      <c r="T336" s="1209"/>
    </row>
    <row r="337" spans="7:20" s="1191" customFormat="1" x14ac:dyDescent="0.2">
      <c r="G337" s="1203"/>
      <c r="H337" s="1394"/>
      <c r="I337" s="1232"/>
      <c r="J337" s="1232"/>
      <c r="K337" s="1394"/>
      <c r="L337" s="1233"/>
      <c r="M337" s="1395"/>
      <c r="N337" s="1211"/>
      <c r="O337" s="1211"/>
      <c r="P337" s="1211"/>
      <c r="Q337" s="1211"/>
      <c r="R337" s="1211"/>
      <c r="S337" s="1211"/>
      <c r="T337" s="1209"/>
    </row>
    <row r="338" spans="7:20" s="1191" customFormat="1" x14ac:dyDescent="0.2">
      <c r="G338" s="1203"/>
      <c r="H338" s="1204"/>
      <c r="I338" s="1243"/>
      <c r="J338" s="1243"/>
      <c r="K338" s="1204"/>
      <c r="L338" s="1216"/>
      <c r="M338" s="1339"/>
      <c r="N338" s="1211"/>
      <c r="O338" s="1211"/>
      <c r="P338" s="1211"/>
      <c r="Q338" s="1211"/>
      <c r="R338" s="1211"/>
      <c r="S338" s="1211"/>
      <c r="T338" s="1209"/>
    </row>
    <row r="339" spans="7:20" s="1191" customFormat="1" x14ac:dyDescent="0.2">
      <c r="G339" s="1203"/>
      <c r="H339" s="1204"/>
      <c r="I339" s="1243"/>
      <c r="J339" s="1243"/>
      <c r="K339" s="1204"/>
      <c r="L339" s="1216"/>
      <c r="M339" s="1339"/>
      <c r="N339" s="1211"/>
      <c r="O339" s="1211"/>
      <c r="P339" s="1211"/>
      <c r="Q339" s="1211"/>
      <c r="R339" s="1211"/>
      <c r="S339" s="1211"/>
      <c r="T339" s="1209"/>
    </row>
    <row r="340" spans="7:20" s="1191" customFormat="1" x14ac:dyDescent="0.2">
      <c r="G340" s="1203"/>
      <c r="H340" s="1204"/>
      <c r="I340" s="1243"/>
      <c r="J340" s="1243"/>
      <c r="K340" s="1204"/>
      <c r="L340" s="1216"/>
      <c r="M340" s="1339"/>
      <c r="N340" s="1211"/>
      <c r="O340" s="1211"/>
      <c r="P340" s="1211"/>
      <c r="Q340" s="1211"/>
      <c r="R340" s="1211"/>
      <c r="S340" s="1211"/>
      <c r="T340" s="1209"/>
    </row>
    <row r="341" spans="7:20" s="1191" customFormat="1" x14ac:dyDescent="0.2">
      <c r="G341" s="1203"/>
      <c r="H341" s="1204"/>
      <c r="I341" s="1243"/>
      <c r="J341" s="1243"/>
      <c r="K341" s="1204"/>
      <c r="L341" s="1216"/>
      <c r="M341" s="1339"/>
      <c r="N341" s="1211"/>
      <c r="O341" s="1211"/>
      <c r="P341" s="1211"/>
      <c r="Q341" s="1211"/>
      <c r="R341" s="1211"/>
      <c r="S341" s="1211"/>
      <c r="T341" s="1209"/>
    </row>
    <row r="342" spans="7:20" s="1191" customFormat="1" x14ac:dyDescent="0.2">
      <c r="G342" s="1203"/>
      <c r="H342" s="1204"/>
      <c r="I342" s="1243"/>
      <c r="J342" s="1243"/>
      <c r="K342" s="1204"/>
      <c r="L342" s="1216"/>
      <c r="M342" s="1339"/>
      <c r="N342" s="1211"/>
      <c r="O342" s="1211"/>
      <c r="P342" s="1211"/>
      <c r="Q342" s="1211"/>
      <c r="R342" s="1211"/>
      <c r="S342" s="1211"/>
      <c r="T342" s="1209"/>
    </row>
    <row r="343" spans="7:20" s="1191" customFormat="1" x14ac:dyDescent="0.2">
      <c r="G343" s="1203"/>
      <c r="H343" s="1204"/>
      <c r="I343" s="1243"/>
      <c r="J343" s="1243"/>
      <c r="K343" s="1204"/>
      <c r="L343" s="1216"/>
      <c r="M343" s="1339"/>
      <c r="N343" s="1211"/>
      <c r="O343" s="1211"/>
      <c r="P343" s="1211"/>
      <c r="Q343" s="1211"/>
      <c r="R343" s="1211"/>
      <c r="S343" s="1211"/>
      <c r="T343" s="1209"/>
    </row>
    <row r="344" spans="7:20" s="1191" customFormat="1" x14ac:dyDescent="0.2">
      <c r="G344" s="1203"/>
      <c r="H344" s="1204"/>
      <c r="I344" s="1243"/>
      <c r="J344" s="1243"/>
      <c r="K344" s="1204"/>
      <c r="L344" s="1216"/>
      <c r="M344" s="1339"/>
      <c r="N344" s="1211"/>
      <c r="O344" s="1211"/>
      <c r="P344" s="1211"/>
      <c r="Q344" s="1211"/>
      <c r="R344" s="1211"/>
      <c r="S344" s="1211"/>
      <c r="T344" s="1209"/>
    </row>
    <row r="345" spans="7:20" s="1191" customFormat="1" x14ac:dyDescent="0.2">
      <c r="G345" s="1203"/>
      <c r="H345" s="1204"/>
      <c r="I345" s="1243"/>
      <c r="J345" s="1243"/>
      <c r="K345" s="1204"/>
      <c r="L345" s="1216"/>
      <c r="M345" s="1339"/>
      <c r="N345" s="1211"/>
      <c r="O345" s="1211"/>
      <c r="P345" s="1211"/>
      <c r="Q345" s="1211"/>
      <c r="R345" s="1211"/>
      <c r="S345" s="1211"/>
      <c r="T345" s="1209"/>
    </row>
    <row r="346" spans="7:20" s="1191" customFormat="1" x14ac:dyDescent="0.2">
      <c r="G346" s="1203"/>
      <c r="H346" s="1204"/>
      <c r="I346" s="1243"/>
      <c r="J346" s="1243"/>
      <c r="K346" s="1204"/>
      <c r="L346" s="1216"/>
      <c r="M346" s="1339"/>
      <c r="N346" s="1211"/>
      <c r="O346" s="1211"/>
      <c r="P346" s="1211"/>
      <c r="Q346" s="1211"/>
      <c r="R346" s="1211"/>
      <c r="S346" s="1211"/>
      <c r="T346" s="1209"/>
    </row>
    <row r="347" spans="7:20" s="1191" customFormat="1" x14ac:dyDescent="0.2">
      <c r="G347" s="1203"/>
      <c r="H347" s="1204"/>
      <c r="I347" s="1243"/>
      <c r="J347" s="1243"/>
      <c r="K347" s="1204"/>
      <c r="L347" s="1216"/>
      <c r="M347" s="1339"/>
      <c r="N347" s="1211"/>
      <c r="O347" s="1211"/>
      <c r="P347" s="1211"/>
      <c r="Q347" s="1211"/>
      <c r="R347" s="1211"/>
      <c r="S347" s="1211"/>
      <c r="T347" s="1209"/>
    </row>
    <row r="348" spans="7:20" s="1191" customFormat="1" x14ac:dyDescent="0.2">
      <c r="G348" s="1203"/>
      <c r="H348" s="1204"/>
      <c r="I348" s="1243"/>
      <c r="J348" s="1243"/>
      <c r="K348" s="1204"/>
      <c r="L348" s="1216"/>
      <c r="M348" s="1339"/>
      <c r="N348" s="1211"/>
      <c r="O348" s="1211"/>
      <c r="P348" s="1211"/>
      <c r="Q348" s="1211"/>
      <c r="R348" s="1211"/>
      <c r="S348" s="1211"/>
      <c r="T348" s="1209"/>
    </row>
    <row r="349" spans="7:20" s="1191" customFormat="1" x14ac:dyDescent="0.2">
      <c r="G349" s="1203"/>
      <c r="H349" s="1204"/>
      <c r="I349" s="1243"/>
      <c r="J349" s="1243"/>
      <c r="K349" s="1204"/>
      <c r="L349" s="1216"/>
      <c r="M349" s="1339"/>
      <c r="N349" s="1211"/>
      <c r="O349" s="1211"/>
      <c r="P349" s="1211"/>
      <c r="Q349" s="1211"/>
      <c r="R349" s="1211"/>
      <c r="S349" s="1211"/>
      <c r="T349" s="1209"/>
    </row>
    <row r="350" spans="7:20" s="1191" customFormat="1" x14ac:dyDescent="0.2">
      <c r="G350" s="1203"/>
      <c r="H350" s="1204"/>
      <c r="I350" s="1243"/>
      <c r="J350" s="1243"/>
      <c r="K350" s="1204"/>
      <c r="L350" s="1216"/>
      <c r="M350" s="1203"/>
      <c r="N350" s="1211"/>
      <c r="O350" s="1211"/>
      <c r="P350" s="1211"/>
      <c r="Q350" s="1211"/>
      <c r="R350" s="1211"/>
      <c r="S350" s="1211"/>
      <c r="T350" s="1209"/>
    </row>
    <row r="351" spans="7:20" s="1191" customFormat="1" x14ac:dyDescent="0.2">
      <c r="G351" s="1203"/>
      <c r="H351" s="1192"/>
      <c r="I351" s="1243"/>
      <c r="J351" s="1243"/>
      <c r="K351" s="1192"/>
      <c r="L351" s="1216"/>
      <c r="M351" s="1203"/>
      <c r="N351" s="1211"/>
      <c r="O351" s="1211"/>
      <c r="P351" s="1211"/>
      <c r="Q351" s="1211"/>
      <c r="R351" s="1211"/>
      <c r="S351" s="1211"/>
      <c r="T351" s="1209"/>
    </row>
    <row r="352" spans="7:20" s="1191" customFormat="1" x14ac:dyDescent="0.2">
      <c r="G352" s="1203"/>
      <c r="H352" s="1192"/>
      <c r="I352" s="1243"/>
      <c r="J352" s="1243"/>
      <c r="K352" s="1192"/>
      <c r="L352" s="1216"/>
      <c r="M352" s="1203"/>
      <c r="N352" s="1211"/>
      <c r="O352" s="1211"/>
      <c r="P352" s="1211"/>
      <c r="Q352" s="1211"/>
      <c r="R352" s="1211"/>
      <c r="S352" s="1211"/>
      <c r="T352" s="1209"/>
    </row>
    <row r="353" spans="7:20" s="1191" customFormat="1" x14ac:dyDescent="0.2">
      <c r="G353" s="1203"/>
      <c r="H353" s="1192"/>
      <c r="I353" s="1243"/>
      <c r="J353" s="1243"/>
      <c r="K353" s="1192"/>
      <c r="L353" s="1216"/>
      <c r="M353" s="1203"/>
      <c r="N353" s="1211"/>
      <c r="O353" s="1211"/>
      <c r="P353" s="1211"/>
      <c r="Q353" s="1211"/>
      <c r="R353" s="1211"/>
      <c r="S353" s="1211"/>
      <c r="T353" s="1209"/>
    </row>
    <row r="354" spans="7:20" s="1191" customFormat="1" x14ac:dyDescent="0.2">
      <c r="G354" s="1203"/>
      <c r="H354" s="1192"/>
      <c r="I354" s="1243"/>
      <c r="J354" s="1243"/>
      <c r="K354" s="1192"/>
      <c r="L354" s="1216"/>
      <c r="M354" s="1203"/>
      <c r="N354" s="1211"/>
      <c r="O354" s="1211"/>
      <c r="P354" s="1211"/>
      <c r="Q354" s="1211"/>
      <c r="R354" s="1211"/>
      <c r="S354" s="1211"/>
      <c r="T354" s="1209"/>
    </row>
    <row r="355" spans="7:20" s="1191" customFormat="1" x14ac:dyDescent="0.2">
      <c r="G355" s="1203"/>
      <c r="H355" s="1192"/>
      <c r="I355" s="1243"/>
      <c r="J355" s="1243"/>
      <c r="K355" s="1192"/>
      <c r="L355" s="1216"/>
      <c r="M355" s="1203"/>
      <c r="N355" s="1211"/>
      <c r="O355" s="1211"/>
      <c r="P355" s="1211"/>
      <c r="Q355" s="1211"/>
      <c r="R355" s="1211"/>
      <c r="S355" s="1211"/>
      <c r="T355" s="1209"/>
    </row>
    <row r="356" spans="7:20" s="1191" customFormat="1" x14ac:dyDescent="0.2">
      <c r="G356" s="1203"/>
      <c r="H356" s="1192"/>
      <c r="I356" s="1243"/>
      <c r="J356" s="1243"/>
      <c r="K356" s="1192"/>
      <c r="L356" s="1216"/>
      <c r="M356" s="1203"/>
      <c r="N356" s="1211"/>
      <c r="O356" s="1211"/>
      <c r="P356" s="1211"/>
      <c r="Q356" s="1211"/>
      <c r="R356" s="1211"/>
      <c r="S356" s="1211"/>
      <c r="T356" s="1209"/>
    </row>
    <row r="357" spans="7:20" s="1191" customFormat="1" x14ac:dyDescent="0.2">
      <c r="G357" s="1203"/>
      <c r="H357" s="1192"/>
      <c r="I357" s="1243"/>
      <c r="J357" s="1243"/>
      <c r="K357" s="1192"/>
      <c r="L357" s="1216"/>
      <c r="M357" s="1203"/>
      <c r="N357" s="1211"/>
      <c r="O357" s="1211"/>
      <c r="P357" s="1211"/>
      <c r="Q357" s="1211"/>
      <c r="R357" s="1211"/>
      <c r="S357" s="1211"/>
      <c r="T357" s="1209"/>
    </row>
    <row r="358" spans="7:20" s="1191" customFormat="1" ht="18" x14ac:dyDescent="0.25">
      <c r="G358" s="1389" t="s">
        <v>85</v>
      </c>
      <c r="H358" s="1390"/>
      <c r="I358" s="1391"/>
      <c r="J358" s="1391"/>
      <c r="K358" s="1392"/>
      <c r="L358" s="1393"/>
      <c r="M358" s="1195"/>
      <c r="N358" s="1187"/>
      <c r="O358" s="1187"/>
      <c r="P358" s="1187"/>
      <c r="Q358" s="1187"/>
      <c r="R358" s="1187"/>
      <c r="S358" s="1187"/>
      <c r="T358" s="1202"/>
    </row>
    <row r="359" spans="7:20" s="1191" customFormat="1" x14ac:dyDescent="0.2">
      <c r="G359" s="1203"/>
      <c r="H359" s="1394"/>
      <c r="I359" s="1232"/>
      <c r="J359" s="1232"/>
      <c r="K359" s="1394"/>
      <c r="L359" s="1233"/>
      <c r="M359" s="1395"/>
      <c r="N359" s="1211"/>
      <c r="O359" s="1211"/>
      <c r="P359" s="1211"/>
      <c r="Q359" s="1211"/>
      <c r="R359" s="1211"/>
      <c r="S359" s="1211"/>
      <c r="T359" s="1209"/>
    </row>
    <row r="360" spans="7:20" s="1191" customFormat="1" x14ac:dyDescent="0.2">
      <c r="G360" s="1203"/>
      <c r="H360" s="1394"/>
      <c r="I360" s="1232"/>
      <c r="J360" s="1232"/>
      <c r="K360" s="1394"/>
      <c r="L360" s="1233"/>
      <c r="M360" s="1395"/>
      <c r="N360" s="1211"/>
      <c r="O360" s="1211"/>
      <c r="P360" s="1211"/>
      <c r="Q360" s="1211"/>
      <c r="R360" s="1211"/>
      <c r="S360" s="1211"/>
      <c r="T360" s="1209"/>
    </row>
    <row r="361" spans="7:20" s="1191" customFormat="1" x14ac:dyDescent="0.2">
      <c r="G361" s="1203"/>
      <c r="H361" s="1204"/>
      <c r="I361" s="1243"/>
      <c r="J361" s="1243"/>
      <c r="K361" s="1204"/>
      <c r="L361" s="1216"/>
      <c r="M361" s="1339"/>
      <c r="N361" s="1211"/>
      <c r="O361" s="1211"/>
      <c r="P361" s="1211"/>
      <c r="Q361" s="1211"/>
      <c r="R361" s="1211"/>
      <c r="S361" s="1211"/>
      <c r="T361" s="1209"/>
    </row>
    <row r="362" spans="7:20" s="1191" customFormat="1" x14ac:dyDescent="0.2">
      <c r="G362" s="1203"/>
      <c r="H362" s="1204"/>
      <c r="I362" s="1243"/>
      <c r="J362" s="1243"/>
      <c r="K362" s="1204"/>
      <c r="L362" s="1216"/>
      <c r="M362" s="1339"/>
      <c r="N362" s="1211"/>
      <c r="O362" s="1211"/>
      <c r="P362" s="1211"/>
      <c r="Q362" s="1211"/>
      <c r="R362" s="1211"/>
      <c r="S362" s="1211"/>
      <c r="T362" s="1209"/>
    </row>
    <row r="363" spans="7:20" s="1191" customFormat="1" x14ac:dyDescent="0.2">
      <c r="G363" s="1203"/>
      <c r="H363" s="1204"/>
      <c r="I363" s="1243"/>
      <c r="J363" s="1243"/>
      <c r="K363" s="1204"/>
      <c r="L363" s="1216"/>
      <c r="M363" s="1339"/>
      <c r="N363" s="1211"/>
      <c r="O363" s="1211"/>
      <c r="P363" s="1211"/>
      <c r="Q363" s="1211"/>
      <c r="R363" s="1211"/>
      <c r="S363" s="1211"/>
      <c r="T363" s="1209"/>
    </row>
    <row r="364" spans="7:20" s="1191" customFormat="1" x14ac:dyDescent="0.2">
      <c r="G364" s="1203"/>
      <c r="H364" s="1204"/>
      <c r="I364" s="1243"/>
      <c r="J364" s="1243"/>
      <c r="K364" s="1204"/>
      <c r="L364" s="1216"/>
      <c r="M364" s="1339"/>
      <c r="N364" s="1211"/>
      <c r="O364" s="1211"/>
      <c r="P364" s="1211"/>
      <c r="Q364" s="1211"/>
      <c r="R364" s="1211"/>
      <c r="S364" s="1211"/>
      <c r="T364" s="1209"/>
    </row>
    <row r="365" spans="7:20" s="1191" customFormat="1" x14ac:dyDescent="0.2">
      <c r="G365" s="1203"/>
      <c r="H365" s="1204"/>
      <c r="I365" s="1243"/>
      <c r="J365" s="1243"/>
      <c r="K365" s="1204"/>
      <c r="L365" s="1216"/>
      <c r="M365" s="1203"/>
      <c r="N365" s="1211"/>
      <c r="O365" s="1211"/>
      <c r="P365" s="1211"/>
      <c r="Q365" s="1211"/>
      <c r="R365" s="1211"/>
      <c r="S365" s="1211"/>
      <c r="T365" s="1209"/>
    </row>
    <row r="366" spans="7:20" s="1191" customFormat="1" x14ac:dyDescent="0.2">
      <c r="G366" s="1203"/>
      <c r="H366" s="1204"/>
      <c r="I366" s="1243"/>
      <c r="J366" s="1243"/>
      <c r="K366" s="1204"/>
      <c r="L366" s="1216"/>
      <c r="M366" s="1339"/>
      <c r="N366" s="1211"/>
      <c r="O366" s="1211"/>
      <c r="P366" s="1211"/>
      <c r="Q366" s="1211"/>
      <c r="R366" s="1211"/>
      <c r="S366" s="1211"/>
      <c r="T366" s="1209"/>
    </row>
    <row r="367" spans="7:20" s="1191" customFormat="1" x14ac:dyDescent="0.2">
      <c r="G367" s="1203"/>
      <c r="H367" s="1204"/>
      <c r="I367" s="1243"/>
      <c r="J367" s="1243"/>
      <c r="K367" s="1204"/>
      <c r="L367" s="1216"/>
      <c r="M367" s="1339"/>
      <c r="N367" s="1211"/>
      <c r="O367" s="1211"/>
      <c r="P367" s="1211"/>
      <c r="Q367" s="1211"/>
      <c r="R367" s="1211"/>
      <c r="S367" s="1211"/>
      <c r="T367" s="1209"/>
    </row>
    <row r="368" spans="7:20" s="1191" customFormat="1" x14ac:dyDescent="0.2">
      <c r="G368" s="1203"/>
      <c r="H368" s="1204"/>
      <c r="I368" s="1243"/>
      <c r="J368" s="1243"/>
      <c r="K368" s="1204"/>
      <c r="L368" s="1216"/>
      <c r="M368" s="1339"/>
      <c r="N368" s="1211"/>
      <c r="O368" s="1211"/>
      <c r="P368" s="1211"/>
      <c r="Q368" s="1211"/>
      <c r="R368" s="1211"/>
      <c r="S368" s="1211"/>
      <c r="T368" s="1209"/>
    </row>
    <row r="369" spans="7:20" s="1191" customFormat="1" x14ac:dyDescent="0.2">
      <c r="G369" s="1203"/>
      <c r="H369" s="1204"/>
      <c r="I369" s="1243"/>
      <c r="J369" s="1243"/>
      <c r="K369" s="1204"/>
      <c r="L369" s="1216"/>
      <c r="M369" s="1203"/>
      <c r="N369" s="1211"/>
      <c r="O369" s="1211"/>
      <c r="P369" s="1211"/>
      <c r="Q369" s="1211"/>
      <c r="R369" s="1211"/>
      <c r="S369" s="1211"/>
      <c r="T369" s="1209"/>
    </row>
    <row r="370" spans="7:20" s="1191" customFormat="1" x14ac:dyDescent="0.2">
      <c r="G370" s="1203"/>
      <c r="H370" s="1204"/>
      <c r="I370" s="1243"/>
      <c r="J370" s="1243"/>
      <c r="K370" s="1204"/>
      <c r="L370" s="1216"/>
      <c r="M370" s="1203"/>
      <c r="N370" s="1211"/>
      <c r="O370" s="1211"/>
      <c r="P370" s="1211"/>
      <c r="Q370" s="1211"/>
      <c r="R370" s="1211"/>
      <c r="S370" s="1211"/>
      <c r="T370" s="1209"/>
    </row>
    <row r="371" spans="7:20" s="1191" customFormat="1" x14ac:dyDescent="0.2">
      <c r="G371" s="1203"/>
      <c r="H371" s="1204"/>
      <c r="I371" s="1243"/>
      <c r="J371" s="1243"/>
      <c r="K371" s="1204"/>
      <c r="L371" s="1216"/>
      <c r="M371" s="1203"/>
      <c r="N371" s="1211"/>
      <c r="O371" s="1211"/>
      <c r="P371" s="1211"/>
      <c r="Q371" s="1211"/>
      <c r="R371" s="1211"/>
      <c r="S371" s="1211"/>
      <c r="T371" s="1209"/>
    </row>
    <row r="372" spans="7:20" s="1191" customFormat="1" x14ac:dyDescent="0.2">
      <c r="G372" s="1203"/>
      <c r="H372" s="1204"/>
      <c r="I372" s="1243"/>
      <c r="J372" s="1243"/>
      <c r="K372" s="1204"/>
      <c r="L372" s="1216"/>
      <c r="M372" s="1203"/>
      <c r="N372" s="1211"/>
      <c r="O372" s="1211"/>
      <c r="P372" s="1211"/>
      <c r="Q372" s="1211"/>
      <c r="R372" s="1211"/>
      <c r="S372" s="1211"/>
      <c r="T372" s="1209"/>
    </row>
    <row r="373" spans="7:20" s="1191" customFormat="1" x14ac:dyDescent="0.2">
      <c r="G373" s="1203"/>
      <c r="H373" s="1204"/>
      <c r="I373" s="1243"/>
      <c r="J373" s="1243"/>
      <c r="K373" s="1204"/>
      <c r="L373" s="1216"/>
      <c r="M373" s="1203"/>
      <c r="N373" s="1211"/>
      <c r="O373" s="1211"/>
      <c r="P373" s="1211"/>
      <c r="Q373" s="1211"/>
      <c r="R373" s="1211"/>
      <c r="S373" s="1211"/>
      <c r="T373" s="1209"/>
    </row>
    <row r="374" spans="7:20" s="1191" customFormat="1" x14ac:dyDescent="0.2">
      <c r="G374" s="1203"/>
      <c r="H374" s="1204"/>
      <c r="I374" s="1243"/>
      <c r="J374" s="1243"/>
      <c r="K374" s="1204"/>
      <c r="L374" s="1216"/>
      <c r="M374" s="1203"/>
      <c r="N374" s="1211"/>
      <c r="O374" s="1211"/>
      <c r="P374" s="1211"/>
      <c r="Q374" s="1211"/>
      <c r="R374" s="1211"/>
      <c r="S374" s="1211"/>
      <c r="T374" s="1209"/>
    </row>
    <row r="375" spans="7:20" s="1191" customFormat="1" x14ac:dyDescent="0.2">
      <c r="G375" s="1203"/>
      <c r="H375" s="1204"/>
      <c r="I375" s="1243"/>
      <c r="J375" s="1243"/>
      <c r="K375" s="1204"/>
      <c r="L375" s="1216"/>
      <c r="M375" s="1203"/>
      <c r="N375" s="1211"/>
      <c r="O375" s="1211"/>
      <c r="P375" s="1211"/>
      <c r="Q375" s="1211"/>
      <c r="R375" s="1211"/>
      <c r="S375" s="1211"/>
      <c r="T375" s="1209"/>
    </row>
    <row r="376" spans="7:20" s="1191" customFormat="1" x14ac:dyDescent="0.2">
      <c r="G376" s="1203"/>
      <c r="H376" s="1204"/>
      <c r="I376" s="1243"/>
      <c r="J376" s="1243"/>
      <c r="K376" s="1204"/>
      <c r="L376" s="1216"/>
      <c r="M376" s="1203"/>
      <c r="N376" s="1211"/>
      <c r="O376" s="1211"/>
      <c r="P376" s="1211"/>
      <c r="Q376" s="1211"/>
      <c r="R376" s="1211"/>
      <c r="S376" s="1211"/>
      <c r="T376" s="1209"/>
    </row>
    <row r="377" spans="7:20" s="1191" customFormat="1" x14ac:dyDescent="0.2">
      <c r="G377" s="1203"/>
      <c r="H377" s="1204"/>
      <c r="I377" s="1243"/>
      <c r="J377" s="1243"/>
      <c r="K377" s="1204"/>
      <c r="L377" s="1216"/>
      <c r="M377" s="1203"/>
      <c r="N377" s="1211"/>
      <c r="O377" s="1211"/>
      <c r="P377" s="1211"/>
      <c r="Q377" s="1211"/>
      <c r="R377" s="1211"/>
      <c r="S377" s="1211"/>
      <c r="T377" s="1209"/>
    </row>
    <row r="378" spans="7:20" s="1191" customFormat="1" x14ac:dyDescent="0.2">
      <c r="G378" s="1203"/>
      <c r="H378" s="1204"/>
      <c r="I378" s="1243"/>
      <c r="J378" s="1243"/>
      <c r="K378" s="1204"/>
      <c r="L378" s="1216"/>
      <c r="M378" s="1203"/>
      <c r="N378" s="1211"/>
      <c r="O378" s="1211"/>
      <c r="P378" s="1211"/>
      <c r="Q378" s="1211"/>
      <c r="R378" s="1211"/>
      <c r="S378" s="1211"/>
      <c r="T378" s="1209"/>
    </row>
    <row r="379" spans="7:20" s="1191" customFormat="1" x14ac:dyDescent="0.2">
      <c r="G379" s="1203"/>
      <c r="H379" s="1204"/>
      <c r="I379" s="1243"/>
      <c r="J379" s="1243"/>
      <c r="K379" s="1204"/>
      <c r="L379" s="1216"/>
      <c r="M379" s="1203"/>
      <c r="N379" s="1211"/>
      <c r="O379" s="1211"/>
      <c r="P379" s="1211"/>
      <c r="Q379" s="1211"/>
      <c r="R379" s="1211"/>
      <c r="S379" s="1211"/>
      <c r="T379" s="1209"/>
    </row>
    <row r="380" spans="7:20" s="1191" customFormat="1" x14ac:dyDescent="0.2">
      <c r="G380" s="1203"/>
      <c r="H380" s="1204"/>
      <c r="I380" s="1243"/>
      <c r="J380" s="1243"/>
      <c r="K380" s="1204"/>
      <c r="L380" s="1216"/>
      <c r="M380" s="1203"/>
      <c r="N380" s="1211"/>
      <c r="O380" s="1211"/>
      <c r="P380" s="1211"/>
      <c r="Q380" s="1211"/>
      <c r="R380" s="1211"/>
      <c r="S380" s="1211"/>
      <c r="T380" s="1209"/>
    </row>
    <row r="381" spans="7:20" s="1191" customFormat="1" x14ac:dyDescent="0.2">
      <c r="G381" s="1203"/>
      <c r="H381" s="1220"/>
      <c r="I381" s="1243"/>
      <c r="J381" s="1243"/>
      <c r="K381" s="1192"/>
      <c r="L381" s="1216"/>
      <c r="M381" s="1203"/>
      <c r="N381" s="1211"/>
      <c r="O381" s="1211"/>
      <c r="P381" s="1211"/>
      <c r="Q381" s="1211"/>
      <c r="R381" s="1211"/>
      <c r="S381" s="1211"/>
      <c r="T381" s="1209"/>
    </row>
    <row r="382" spans="7:20" s="1191" customFormat="1" x14ac:dyDescent="0.2">
      <c r="G382" s="1203"/>
      <c r="H382" s="1204"/>
      <c r="I382" s="1243"/>
      <c r="J382" s="1243"/>
      <c r="K382" s="1204"/>
      <c r="L382" s="1107"/>
      <c r="M382" s="1397"/>
      <c r="N382" s="1211"/>
      <c r="O382" s="1211"/>
      <c r="P382" s="1211"/>
      <c r="Q382" s="1211"/>
      <c r="R382" s="1211"/>
      <c r="S382" s="1211"/>
      <c r="T382" s="1209"/>
    </row>
    <row r="383" spans="7:20" s="1191" customFormat="1" x14ac:dyDescent="0.2">
      <c r="G383" s="1203"/>
      <c r="H383" s="1204"/>
      <c r="I383" s="1243"/>
      <c r="J383" s="1243"/>
      <c r="K383" s="1204"/>
      <c r="L383" s="1107"/>
      <c r="M383" s="1397"/>
      <c r="N383" s="1211"/>
      <c r="O383" s="1211"/>
      <c r="P383" s="1211"/>
      <c r="Q383" s="1211"/>
      <c r="R383" s="1211"/>
      <c r="S383" s="1211"/>
      <c r="T383" s="1209"/>
    </row>
    <row r="384" spans="7:20" s="1191" customFormat="1" x14ac:dyDescent="0.2">
      <c r="G384" s="1203"/>
      <c r="H384" s="1204"/>
      <c r="I384" s="1243"/>
      <c r="J384" s="1243"/>
      <c r="K384" s="1204"/>
      <c r="L384" s="1107"/>
      <c r="M384" s="1397"/>
      <c r="N384" s="1211"/>
      <c r="O384" s="1211"/>
      <c r="P384" s="1211"/>
      <c r="Q384" s="1211"/>
      <c r="R384" s="1211"/>
      <c r="S384" s="1211"/>
      <c r="T384" s="1209"/>
    </row>
    <row r="385" spans="7:20" s="1191" customFormat="1" x14ac:dyDescent="0.2">
      <c r="G385" s="1203"/>
      <c r="H385" s="1204"/>
      <c r="I385" s="1243"/>
      <c r="J385" s="1243"/>
      <c r="K385" s="1204"/>
      <c r="L385" s="1107"/>
      <c r="M385" s="1397"/>
      <c r="N385" s="1211"/>
      <c r="O385" s="1211"/>
      <c r="P385" s="1211"/>
      <c r="Q385" s="1211"/>
      <c r="R385" s="1211"/>
      <c r="S385" s="1211"/>
      <c r="T385" s="1209"/>
    </row>
    <row r="386" spans="7:20" s="1191" customFormat="1" x14ac:dyDescent="0.2">
      <c r="G386" s="1203"/>
      <c r="H386" s="1204"/>
      <c r="I386" s="1243"/>
      <c r="J386" s="1243"/>
      <c r="K386" s="1204"/>
      <c r="L386" s="1107"/>
      <c r="M386" s="1398"/>
      <c r="N386" s="1211"/>
      <c r="O386" s="1211"/>
      <c r="P386" s="1211"/>
      <c r="Q386" s="1211"/>
      <c r="R386" s="1211"/>
      <c r="S386" s="1211"/>
      <c r="T386" s="1209"/>
    </row>
    <row r="387" spans="7:20" s="1191" customFormat="1" x14ac:dyDescent="0.2">
      <c r="G387" s="1203"/>
      <c r="H387" s="1204"/>
      <c r="I387" s="1243"/>
      <c r="J387" s="1243"/>
      <c r="K387" s="1204"/>
      <c r="L387" s="1107"/>
      <c r="M387" s="1397"/>
      <c r="N387" s="1211"/>
      <c r="O387" s="1211"/>
      <c r="P387" s="1211"/>
      <c r="Q387" s="1211"/>
      <c r="R387" s="1211"/>
      <c r="S387" s="1211"/>
      <c r="T387" s="1209"/>
    </row>
    <row r="388" spans="7:20" s="1191" customFormat="1" x14ac:dyDescent="0.2">
      <c r="G388" s="1203"/>
      <c r="H388" s="1204"/>
      <c r="I388" s="1243"/>
      <c r="J388" s="1243"/>
      <c r="K388" s="1204"/>
      <c r="L388" s="1107"/>
      <c r="M388" s="1398"/>
      <c r="N388" s="1211"/>
      <c r="O388" s="1211"/>
      <c r="P388" s="1211"/>
      <c r="Q388" s="1211"/>
      <c r="R388" s="1211"/>
      <c r="S388" s="1211"/>
      <c r="T388" s="1209"/>
    </row>
    <row r="389" spans="7:20" s="1191" customFormat="1" x14ac:dyDescent="0.2">
      <c r="G389" s="1203"/>
      <c r="H389" s="1204"/>
      <c r="I389" s="1243"/>
      <c r="J389" s="1243"/>
      <c r="K389" s="1204"/>
      <c r="L389" s="1107"/>
      <c r="M389" s="1398"/>
      <c r="N389" s="1211"/>
      <c r="O389" s="1211"/>
      <c r="P389" s="1211"/>
      <c r="Q389" s="1211"/>
      <c r="R389" s="1211"/>
      <c r="S389" s="1211"/>
      <c r="T389" s="1209"/>
    </row>
    <row r="390" spans="7:20" s="1191" customFormat="1" x14ac:dyDescent="0.2">
      <c r="G390" s="1203"/>
      <c r="H390" s="1204"/>
      <c r="I390" s="1243"/>
      <c r="J390" s="1243"/>
      <c r="K390" s="1192"/>
      <c r="L390" s="1107"/>
      <c r="M390" s="1398"/>
      <c r="N390" s="1211"/>
      <c r="O390" s="1211"/>
      <c r="P390" s="1211"/>
      <c r="Q390" s="1211"/>
      <c r="R390" s="1211"/>
      <c r="S390" s="1211"/>
      <c r="T390" s="1209"/>
    </row>
    <row r="391" spans="7:20" s="1191" customFormat="1" x14ac:dyDescent="0.2">
      <c r="G391" s="1203"/>
      <c r="H391" s="1204"/>
      <c r="I391" s="1243"/>
      <c r="J391" s="1243"/>
      <c r="K391" s="1204"/>
      <c r="L391" s="1107"/>
      <c r="M391" s="1398"/>
      <c r="N391" s="1211"/>
      <c r="O391" s="1211"/>
      <c r="P391" s="1211"/>
      <c r="Q391" s="1211"/>
      <c r="R391" s="1211"/>
      <c r="S391" s="1211"/>
      <c r="T391" s="1209"/>
    </row>
    <row r="392" spans="7:20" s="1191" customFormat="1" x14ac:dyDescent="0.2">
      <c r="G392" s="1203"/>
      <c r="H392" s="1204"/>
      <c r="I392" s="1243"/>
      <c r="J392" s="1243"/>
      <c r="K392" s="1204"/>
      <c r="L392" s="1107"/>
      <c r="M392" s="1398"/>
      <c r="N392" s="1211"/>
      <c r="O392" s="1211"/>
      <c r="P392" s="1211"/>
      <c r="Q392" s="1211"/>
      <c r="R392" s="1211"/>
      <c r="S392" s="1211"/>
      <c r="T392" s="1209"/>
    </row>
    <row r="393" spans="7:20" s="1191" customFormat="1" x14ac:dyDescent="0.2">
      <c r="G393" s="1203"/>
      <c r="H393" s="1204"/>
      <c r="I393" s="1243"/>
      <c r="J393" s="1243"/>
      <c r="K393" s="1204"/>
      <c r="L393" s="1107"/>
      <c r="M393" s="1398"/>
      <c r="N393" s="1211"/>
      <c r="O393" s="1211"/>
      <c r="P393" s="1211"/>
      <c r="Q393" s="1211"/>
      <c r="R393" s="1211"/>
      <c r="S393" s="1211"/>
      <c r="T393" s="1209"/>
    </row>
    <row r="394" spans="7:20" s="1191" customFormat="1" x14ac:dyDescent="0.2">
      <c r="G394" s="1203"/>
      <c r="H394" s="1204"/>
      <c r="I394" s="1243"/>
      <c r="J394" s="1243"/>
      <c r="K394" s="1204"/>
      <c r="L394" s="1107"/>
      <c r="M394" s="1398"/>
      <c r="N394" s="1211"/>
      <c r="O394" s="1211"/>
      <c r="P394" s="1211"/>
      <c r="Q394" s="1211"/>
      <c r="R394" s="1211"/>
      <c r="S394" s="1211"/>
      <c r="T394" s="1209"/>
    </row>
    <row r="395" spans="7:20" s="1191" customFormat="1" x14ac:dyDescent="0.2">
      <c r="G395" s="1203"/>
      <c r="H395" s="1204"/>
      <c r="I395" s="1243"/>
      <c r="J395" s="1243"/>
      <c r="K395" s="1204"/>
      <c r="L395" s="1107"/>
      <c r="M395" s="1398"/>
      <c r="N395" s="1211"/>
      <c r="O395" s="1211"/>
      <c r="P395" s="1211"/>
      <c r="Q395" s="1211"/>
      <c r="R395" s="1211"/>
      <c r="S395" s="1211"/>
      <c r="T395" s="1209"/>
    </row>
    <row r="396" spans="7:20" s="1191" customFormat="1" x14ac:dyDescent="0.2">
      <c r="G396" s="1203"/>
      <c r="H396" s="1204"/>
      <c r="I396" s="1243"/>
      <c r="J396" s="1243"/>
      <c r="K396" s="1204"/>
      <c r="L396" s="1107"/>
      <c r="M396" s="1398"/>
      <c r="N396" s="1211"/>
      <c r="O396" s="1211"/>
      <c r="P396" s="1211"/>
      <c r="Q396" s="1211"/>
      <c r="R396" s="1211"/>
      <c r="S396" s="1211"/>
      <c r="T396" s="1209"/>
    </row>
    <row r="397" spans="7:20" s="1191" customFormat="1" x14ac:dyDescent="0.2">
      <c r="G397" s="1203"/>
      <c r="H397" s="1204"/>
      <c r="I397" s="1243"/>
      <c r="J397" s="1243"/>
      <c r="K397" s="1192"/>
      <c r="L397" s="1107"/>
      <c r="M397" s="1398"/>
      <c r="N397" s="1211"/>
      <c r="O397" s="1211"/>
      <c r="P397" s="1211"/>
      <c r="Q397" s="1211"/>
      <c r="R397" s="1211"/>
      <c r="S397" s="1211"/>
      <c r="T397" s="1209"/>
    </row>
    <row r="398" spans="7:20" s="1191" customFormat="1" x14ac:dyDescent="0.2">
      <c r="G398" s="1203"/>
      <c r="H398" s="1192"/>
      <c r="I398" s="1243"/>
      <c r="J398" s="1243"/>
      <c r="K398" s="1204"/>
      <c r="L398" s="1107"/>
      <c r="M398" s="1397"/>
      <c r="N398" s="1211"/>
      <c r="O398" s="1211"/>
      <c r="P398" s="1211"/>
      <c r="Q398" s="1211"/>
      <c r="R398" s="1211"/>
      <c r="S398" s="1211"/>
      <c r="T398" s="1209"/>
    </row>
    <row r="399" spans="7:20" s="1191" customFormat="1" ht="18" x14ac:dyDescent="0.25">
      <c r="G399" s="1389" t="s">
        <v>69</v>
      </c>
      <c r="H399" s="1390"/>
      <c r="I399" s="1391"/>
      <c r="J399" s="1391"/>
      <c r="K399" s="1392"/>
      <c r="L399" s="1393"/>
      <c r="M399" s="1195"/>
      <c r="N399" s="1187"/>
      <c r="O399" s="1187"/>
      <c r="P399" s="1187"/>
      <c r="Q399" s="1187"/>
      <c r="R399" s="1187"/>
      <c r="S399" s="1187"/>
      <c r="T399" s="1202"/>
    </row>
    <row r="400" spans="7:20" s="1191" customFormat="1" x14ac:dyDescent="0.2">
      <c r="G400" s="1203"/>
      <c r="H400" s="1394"/>
      <c r="I400" s="1232"/>
      <c r="J400" s="1232"/>
      <c r="K400" s="1394"/>
      <c r="L400" s="1233"/>
      <c r="M400" s="1395"/>
      <c r="N400" s="1211"/>
      <c r="O400" s="1211"/>
      <c r="P400" s="1211"/>
      <c r="Q400" s="1211"/>
      <c r="R400" s="1211"/>
      <c r="S400" s="1211"/>
      <c r="T400" s="1209"/>
    </row>
    <row r="401" spans="7:20" s="1191" customFormat="1" x14ac:dyDescent="0.2">
      <c r="G401" s="1203"/>
      <c r="H401" s="1220"/>
      <c r="I401" s="1243"/>
      <c r="J401" s="1243"/>
      <c r="K401" s="1192"/>
      <c r="L401" s="1216"/>
      <c r="M401" s="1203"/>
      <c r="N401" s="1211"/>
      <c r="O401" s="1211"/>
      <c r="P401" s="1211"/>
      <c r="Q401" s="1211"/>
      <c r="R401" s="1211"/>
      <c r="S401" s="1211"/>
      <c r="T401" s="1209"/>
    </row>
    <row r="402" spans="7:20" s="1191" customFormat="1" x14ac:dyDescent="0.2">
      <c r="G402" s="1203"/>
      <c r="H402" s="1204"/>
      <c r="I402" s="1243"/>
      <c r="J402" s="1243"/>
      <c r="K402" s="1204"/>
      <c r="L402" s="1192"/>
      <c r="M402" s="1397"/>
      <c r="N402" s="1210"/>
      <c r="O402" s="1211"/>
      <c r="P402" s="1211"/>
      <c r="Q402" s="1211"/>
      <c r="R402" s="1211"/>
      <c r="S402" s="1211"/>
      <c r="T402" s="1209"/>
    </row>
    <row r="403" spans="7:20" s="1191" customFormat="1" x14ac:dyDescent="0.2">
      <c r="G403" s="1203"/>
      <c r="H403" s="1204"/>
      <c r="I403" s="1243"/>
      <c r="J403" s="1243"/>
      <c r="K403" s="1204"/>
      <c r="L403" s="1192"/>
      <c r="M403" s="1397"/>
      <c r="N403" s="1210"/>
      <c r="O403" s="1211"/>
      <c r="P403" s="1211"/>
      <c r="Q403" s="1211"/>
      <c r="R403" s="1211"/>
      <c r="S403" s="1211"/>
      <c r="T403" s="1209"/>
    </row>
    <row r="404" spans="7:20" s="1191" customFormat="1" x14ac:dyDescent="0.2">
      <c r="G404" s="1203"/>
      <c r="H404" s="1204"/>
      <c r="I404" s="1243"/>
      <c r="J404" s="1243"/>
      <c r="K404" s="1204"/>
      <c r="L404" s="1192"/>
      <c r="M404" s="1397"/>
      <c r="N404" s="1210"/>
      <c r="O404" s="1211"/>
      <c r="P404" s="1211"/>
      <c r="Q404" s="1211"/>
      <c r="R404" s="1211"/>
      <c r="S404" s="1211"/>
      <c r="T404" s="1209"/>
    </row>
    <row r="405" spans="7:20" s="1191" customFormat="1" x14ac:dyDescent="0.2">
      <c r="G405" s="1203"/>
      <c r="H405" s="1204"/>
      <c r="I405" s="1243"/>
      <c r="J405" s="1243"/>
      <c r="K405" s="1204"/>
      <c r="L405" s="1192"/>
      <c r="M405" s="1397"/>
      <c r="N405" s="1210"/>
      <c r="O405" s="1211"/>
      <c r="P405" s="1211"/>
      <c r="Q405" s="1211"/>
      <c r="R405" s="1211"/>
      <c r="S405" s="1211"/>
      <c r="T405" s="1209"/>
    </row>
    <row r="406" spans="7:20" s="1191" customFormat="1" x14ac:dyDescent="0.2">
      <c r="G406" s="1203"/>
      <c r="H406" s="1204"/>
      <c r="I406" s="1243"/>
      <c r="J406" s="1243"/>
      <c r="K406" s="1204"/>
      <c r="L406" s="1192"/>
      <c r="M406" s="1397"/>
      <c r="N406" s="1210"/>
      <c r="O406" s="1211"/>
      <c r="P406" s="1211"/>
      <c r="Q406" s="1211"/>
      <c r="R406" s="1211"/>
      <c r="S406" s="1211"/>
      <c r="T406" s="1209"/>
    </row>
    <row r="407" spans="7:20" s="1191" customFormat="1" x14ac:dyDescent="0.2">
      <c r="G407" s="1203"/>
      <c r="H407" s="1204"/>
      <c r="I407" s="1243"/>
      <c r="J407" s="1243"/>
      <c r="K407" s="1204"/>
      <c r="L407" s="1192"/>
      <c r="M407" s="1397"/>
      <c r="N407" s="1210"/>
      <c r="O407" s="1211"/>
      <c r="P407" s="1211"/>
      <c r="Q407" s="1211"/>
      <c r="R407" s="1211"/>
      <c r="S407" s="1211"/>
      <c r="T407" s="1209"/>
    </row>
    <row r="408" spans="7:20" s="1191" customFormat="1" x14ac:dyDescent="0.2">
      <c r="G408" s="1203"/>
      <c r="H408" s="1204"/>
      <c r="I408" s="1243"/>
      <c r="J408" s="1243"/>
      <c r="K408" s="1204"/>
      <c r="L408" s="1192"/>
      <c r="M408" s="1397"/>
      <c r="N408" s="1210"/>
      <c r="O408" s="1211"/>
      <c r="P408" s="1211"/>
      <c r="Q408" s="1211"/>
      <c r="R408" s="1211"/>
      <c r="S408" s="1211"/>
      <c r="T408" s="1209"/>
    </row>
    <row r="409" spans="7:20" s="1191" customFormat="1" x14ac:dyDescent="0.2">
      <c r="G409" s="1203"/>
      <c r="H409" s="1204"/>
      <c r="I409" s="1243"/>
      <c r="J409" s="1243"/>
      <c r="K409" s="1204"/>
      <c r="L409" s="1192"/>
      <c r="M409" s="1397"/>
      <c r="N409" s="1210"/>
      <c r="O409" s="1211"/>
      <c r="P409" s="1211"/>
      <c r="Q409" s="1211"/>
      <c r="R409" s="1211"/>
      <c r="S409" s="1211"/>
      <c r="T409" s="1209"/>
    </row>
    <row r="410" spans="7:20" s="1191" customFormat="1" x14ac:dyDescent="0.2">
      <c r="G410" s="1203"/>
      <c r="H410" s="1204"/>
      <c r="I410" s="1243"/>
      <c r="J410" s="1243"/>
      <c r="K410" s="1204"/>
      <c r="L410" s="1192"/>
      <c r="M410" s="1397"/>
      <c r="N410" s="1210"/>
      <c r="O410" s="1211"/>
      <c r="P410" s="1211"/>
      <c r="Q410" s="1211"/>
      <c r="R410" s="1211"/>
      <c r="S410" s="1211"/>
      <c r="T410" s="1209"/>
    </row>
    <row r="411" spans="7:20" s="1191" customFormat="1" x14ac:dyDescent="0.2">
      <c r="G411" s="1203"/>
      <c r="H411" s="1204"/>
      <c r="I411" s="1243"/>
      <c r="J411" s="1243"/>
      <c r="K411" s="1204"/>
      <c r="L411" s="1192"/>
      <c r="M411" s="1397"/>
      <c r="N411" s="1210"/>
      <c r="O411" s="1211"/>
      <c r="P411" s="1211"/>
      <c r="Q411" s="1211"/>
      <c r="R411" s="1211"/>
      <c r="S411" s="1211"/>
      <c r="T411" s="1209"/>
    </row>
    <row r="412" spans="7:20" s="1191" customFormat="1" x14ac:dyDescent="0.2">
      <c r="G412" s="1203"/>
      <c r="H412" s="1204"/>
      <c r="I412" s="1243"/>
      <c r="J412" s="1243"/>
      <c r="K412" s="1204"/>
      <c r="L412" s="1192"/>
      <c r="M412" s="1397"/>
      <c r="N412" s="1210"/>
      <c r="O412" s="1211"/>
      <c r="P412" s="1211"/>
      <c r="Q412" s="1211"/>
      <c r="R412" s="1211"/>
      <c r="S412" s="1211"/>
      <c r="T412" s="1209"/>
    </row>
    <row r="413" spans="7:20" s="1191" customFormat="1" x14ac:dyDescent="0.2">
      <c r="G413" s="1203"/>
      <c r="H413" s="1192"/>
      <c r="I413" s="1243"/>
      <c r="J413" s="1243"/>
      <c r="K413" s="1192"/>
      <c r="L413" s="1192"/>
      <c r="M413" s="1398"/>
      <c r="N413" s="1211"/>
      <c r="O413" s="1211"/>
      <c r="P413" s="1211"/>
      <c r="Q413" s="1211"/>
      <c r="R413" s="1211"/>
      <c r="S413" s="1211"/>
      <c r="T413" s="1209"/>
    </row>
    <row r="414" spans="7:20" s="1191" customFormat="1" x14ac:dyDescent="0.2">
      <c r="G414" s="1203"/>
      <c r="H414" s="1220"/>
      <c r="I414" s="1243"/>
      <c r="J414" s="1243"/>
      <c r="K414" s="1192"/>
      <c r="L414" s="1192"/>
      <c r="M414" s="1398"/>
      <c r="N414" s="1211"/>
      <c r="O414" s="1309"/>
      <c r="P414" s="1309"/>
      <c r="Q414" s="1309"/>
      <c r="R414" s="1210"/>
      <c r="S414" s="1211"/>
      <c r="T414" s="1209"/>
    </row>
    <row r="415" spans="7:20" s="1191" customFormat="1" x14ac:dyDescent="0.2">
      <c r="G415" s="1203"/>
      <c r="H415" s="1204"/>
      <c r="I415" s="1243"/>
      <c r="J415" s="1243"/>
      <c r="K415" s="1204"/>
      <c r="L415" s="1192"/>
      <c r="M415" s="1397"/>
      <c r="N415" s="1211"/>
      <c r="O415" s="1211"/>
      <c r="P415" s="1211"/>
      <c r="Q415" s="1211"/>
      <c r="R415" s="1211"/>
      <c r="S415" s="1211"/>
      <c r="T415" s="1209"/>
    </row>
    <row r="416" spans="7:20" s="1191" customFormat="1" x14ac:dyDescent="0.2">
      <c r="G416" s="1203"/>
      <c r="H416" s="1204"/>
      <c r="I416" s="1243"/>
      <c r="J416" s="1243"/>
      <c r="K416" s="1204"/>
      <c r="L416" s="1192"/>
      <c r="M416" s="1397"/>
      <c r="N416" s="1211"/>
      <c r="O416" s="1211"/>
      <c r="P416" s="1211"/>
      <c r="Q416" s="1211"/>
      <c r="R416" s="1211"/>
      <c r="S416" s="1211"/>
      <c r="T416" s="1209"/>
    </row>
    <row r="417" spans="7:20" s="1191" customFormat="1" x14ac:dyDescent="0.2">
      <c r="G417" s="1203"/>
      <c r="H417" s="1204"/>
      <c r="I417" s="1243"/>
      <c r="J417" s="1243"/>
      <c r="K417" s="1204"/>
      <c r="L417" s="1192"/>
      <c r="M417" s="1397"/>
      <c r="N417" s="1211"/>
      <c r="O417" s="1211"/>
      <c r="P417" s="1211"/>
      <c r="Q417" s="1211"/>
      <c r="R417" s="1211"/>
      <c r="S417" s="1211"/>
      <c r="T417" s="1209"/>
    </row>
    <row r="418" spans="7:20" s="1191" customFormat="1" x14ac:dyDescent="0.2">
      <c r="G418" s="1203"/>
      <c r="H418" s="1204"/>
      <c r="I418" s="1243"/>
      <c r="J418" s="1243"/>
      <c r="K418" s="1204"/>
      <c r="L418" s="1192"/>
      <c r="M418" s="1397"/>
      <c r="N418" s="1211"/>
      <c r="O418" s="1211"/>
      <c r="P418" s="1211"/>
      <c r="Q418" s="1211"/>
      <c r="R418" s="1211"/>
      <c r="S418" s="1211"/>
      <c r="T418" s="1209"/>
    </row>
    <row r="419" spans="7:20" s="1191" customFormat="1" x14ac:dyDescent="0.2">
      <c r="G419" s="1203"/>
      <c r="H419" s="1204"/>
      <c r="I419" s="1243"/>
      <c r="J419" s="1243"/>
      <c r="K419" s="1204"/>
      <c r="L419" s="1192"/>
      <c r="M419" s="1397"/>
      <c r="N419" s="1211"/>
      <c r="O419" s="1211"/>
      <c r="P419" s="1211"/>
      <c r="Q419" s="1211"/>
      <c r="R419" s="1211"/>
      <c r="S419" s="1211"/>
      <c r="T419" s="1209"/>
    </row>
    <row r="420" spans="7:20" s="1191" customFormat="1" x14ac:dyDescent="0.2">
      <c r="G420" s="1203"/>
      <c r="H420" s="1204"/>
      <c r="I420" s="1243"/>
      <c r="J420" s="1243"/>
      <c r="K420" s="1204"/>
      <c r="L420" s="1192"/>
      <c r="M420" s="1397"/>
      <c r="N420" s="1211"/>
      <c r="O420" s="1211"/>
      <c r="P420" s="1211"/>
      <c r="Q420" s="1211"/>
      <c r="R420" s="1211"/>
      <c r="S420" s="1211"/>
      <c r="T420" s="1209"/>
    </row>
    <row r="421" spans="7:20" s="1191" customFormat="1" x14ac:dyDescent="0.2">
      <c r="G421" s="1203"/>
      <c r="H421" s="1204"/>
      <c r="I421" s="1243"/>
      <c r="J421" s="1243"/>
      <c r="K421" s="1204"/>
      <c r="L421" s="1192"/>
      <c r="M421" s="1397"/>
      <c r="N421" s="1211"/>
      <c r="O421" s="1211"/>
      <c r="P421" s="1211"/>
      <c r="Q421" s="1211"/>
      <c r="R421" s="1211"/>
      <c r="S421" s="1211"/>
      <c r="T421" s="1209"/>
    </row>
    <row r="422" spans="7:20" s="1191" customFormat="1" x14ac:dyDescent="0.2">
      <c r="G422" s="1203"/>
      <c r="H422" s="1204"/>
      <c r="I422" s="1243"/>
      <c r="J422" s="1243"/>
      <c r="K422" s="1204"/>
      <c r="L422" s="1192"/>
      <c r="M422" s="1397"/>
      <c r="N422" s="1211"/>
      <c r="O422" s="1211"/>
      <c r="P422" s="1211"/>
      <c r="Q422" s="1211"/>
      <c r="R422" s="1211"/>
      <c r="S422" s="1211"/>
      <c r="T422" s="1209"/>
    </row>
    <row r="423" spans="7:20" s="1191" customFormat="1" x14ac:dyDescent="0.2">
      <c r="G423" s="1203"/>
      <c r="H423" s="1204"/>
      <c r="I423" s="1243"/>
      <c r="J423" s="1243"/>
      <c r="K423" s="1204"/>
      <c r="L423" s="1192"/>
      <c r="M423" s="1397"/>
      <c r="N423" s="1211"/>
      <c r="O423" s="1211"/>
      <c r="P423" s="1211"/>
      <c r="Q423" s="1211"/>
      <c r="R423" s="1211"/>
      <c r="S423" s="1211"/>
      <c r="T423" s="1209"/>
    </row>
    <row r="424" spans="7:20" s="1191" customFormat="1" x14ac:dyDescent="0.2">
      <c r="G424" s="1203"/>
      <c r="H424" s="1204"/>
      <c r="I424" s="1243"/>
      <c r="J424" s="1243"/>
      <c r="K424" s="1204"/>
      <c r="L424" s="1192"/>
      <c r="M424" s="1397"/>
      <c r="N424" s="1211"/>
      <c r="O424" s="1211"/>
      <c r="P424" s="1211"/>
      <c r="Q424" s="1211"/>
      <c r="R424" s="1211"/>
      <c r="S424" s="1211"/>
      <c r="T424" s="1209"/>
    </row>
    <row r="425" spans="7:20" s="1191" customFormat="1" x14ac:dyDescent="0.2">
      <c r="G425" s="1203"/>
      <c r="H425" s="1192"/>
      <c r="I425" s="1243"/>
      <c r="J425" s="1243"/>
      <c r="K425" s="1192"/>
      <c r="L425" s="1216"/>
      <c r="M425" s="1203"/>
      <c r="N425" s="1211"/>
      <c r="O425" s="1211"/>
      <c r="P425" s="1309"/>
      <c r="Q425" s="1309"/>
      <c r="R425" s="1309"/>
      <c r="S425" s="1211"/>
      <c r="T425" s="1209"/>
    </row>
    <row r="426" spans="7:20" s="1191" customFormat="1" x14ac:dyDescent="0.2">
      <c r="G426" s="1203"/>
      <c r="H426" s="1220"/>
      <c r="I426" s="1243"/>
      <c r="J426" s="1243"/>
      <c r="K426" s="1192"/>
      <c r="L426" s="1216"/>
      <c r="M426" s="1203"/>
      <c r="N426" s="1211"/>
      <c r="O426" s="1211"/>
      <c r="P426" s="1211"/>
      <c r="Q426" s="1211"/>
      <c r="R426" s="1211"/>
      <c r="S426" s="1211"/>
      <c r="T426" s="1209"/>
    </row>
    <row r="427" spans="7:20" s="1191" customFormat="1" x14ac:dyDescent="0.2">
      <c r="G427" s="1203"/>
      <c r="H427" s="1204"/>
      <c r="I427" s="1243"/>
      <c r="J427" s="1243"/>
      <c r="K427" s="1192"/>
      <c r="L427" s="1216"/>
      <c r="M427" s="1203"/>
      <c r="N427" s="1211"/>
      <c r="O427" s="1211"/>
      <c r="P427" s="1211"/>
      <c r="Q427" s="1211"/>
      <c r="R427" s="1211"/>
      <c r="S427" s="1211"/>
      <c r="T427" s="1209"/>
    </row>
    <row r="428" spans="7:20" s="1191" customFormat="1" x14ac:dyDescent="0.2">
      <c r="G428" s="1203"/>
      <c r="H428" s="1204"/>
      <c r="I428" s="1243"/>
      <c r="J428" s="1243"/>
      <c r="K428" s="1192"/>
      <c r="L428" s="1216"/>
      <c r="M428" s="1203"/>
      <c r="N428" s="1211"/>
      <c r="O428" s="1211"/>
      <c r="P428" s="1211"/>
      <c r="Q428" s="1211"/>
      <c r="R428" s="1211"/>
      <c r="S428" s="1211"/>
      <c r="T428" s="1209"/>
    </row>
    <row r="429" spans="7:20" s="1191" customFormat="1" x14ac:dyDescent="0.2">
      <c r="G429" s="1203"/>
      <c r="H429" s="1204"/>
      <c r="I429" s="1243"/>
      <c r="J429" s="1243"/>
      <c r="K429" s="1192"/>
      <c r="L429" s="1216"/>
      <c r="M429" s="1203"/>
      <c r="N429" s="1211"/>
      <c r="O429" s="1211"/>
      <c r="P429" s="1211"/>
      <c r="Q429" s="1211"/>
      <c r="R429" s="1211"/>
      <c r="S429" s="1211"/>
      <c r="T429" s="1209"/>
    </row>
    <row r="430" spans="7:20" s="1191" customFormat="1" x14ac:dyDescent="0.2">
      <c r="G430" s="1203"/>
      <c r="H430" s="1204"/>
      <c r="I430" s="1243"/>
      <c r="J430" s="1243"/>
      <c r="K430" s="1192"/>
      <c r="L430" s="1216"/>
      <c r="M430" s="1203"/>
      <c r="N430" s="1211"/>
      <c r="O430" s="1211"/>
      <c r="P430" s="1211"/>
      <c r="Q430" s="1211"/>
      <c r="R430" s="1211"/>
      <c r="S430" s="1211"/>
      <c r="T430" s="1209"/>
    </row>
    <row r="431" spans="7:20" s="1191" customFormat="1" x14ac:dyDescent="0.2">
      <c r="G431" s="1203"/>
      <c r="H431" s="1204"/>
      <c r="I431" s="1243"/>
      <c r="J431" s="1243"/>
      <c r="K431" s="1192"/>
      <c r="L431" s="1216"/>
      <c r="M431" s="1203"/>
      <c r="N431" s="1211"/>
      <c r="O431" s="1211"/>
      <c r="P431" s="1211"/>
      <c r="Q431" s="1211"/>
      <c r="R431" s="1211"/>
      <c r="S431" s="1211"/>
      <c r="T431" s="1209"/>
    </row>
    <row r="432" spans="7:20" s="1191" customFormat="1" x14ac:dyDescent="0.2">
      <c r="G432" s="1203"/>
      <c r="H432" s="1204"/>
      <c r="I432" s="1243"/>
      <c r="J432" s="1243"/>
      <c r="K432" s="1192"/>
      <c r="L432" s="1216"/>
      <c r="M432" s="1203"/>
      <c r="N432" s="1211"/>
      <c r="O432" s="1211"/>
      <c r="P432" s="1211"/>
      <c r="Q432" s="1211"/>
      <c r="R432" s="1211"/>
      <c r="S432" s="1211"/>
      <c r="T432" s="1209"/>
    </row>
    <row r="433" spans="7:20" s="1191" customFormat="1" x14ac:dyDescent="0.2">
      <c r="G433" s="1203"/>
      <c r="H433" s="1204"/>
      <c r="I433" s="1243"/>
      <c r="J433" s="1243"/>
      <c r="K433" s="1192"/>
      <c r="L433" s="1216"/>
      <c r="M433" s="1203"/>
      <c r="N433" s="1211"/>
      <c r="O433" s="1211"/>
      <c r="P433" s="1211"/>
      <c r="Q433" s="1211"/>
      <c r="R433" s="1211"/>
      <c r="S433" s="1211"/>
      <c r="T433" s="1209"/>
    </row>
    <row r="434" spans="7:20" s="1191" customFormat="1" x14ac:dyDescent="0.2">
      <c r="G434" s="1203"/>
      <c r="H434" s="1204"/>
      <c r="I434" s="1243"/>
      <c r="J434" s="1243"/>
      <c r="K434" s="1192"/>
      <c r="L434" s="1216"/>
      <c r="M434" s="1203"/>
      <c r="N434" s="1211"/>
      <c r="O434" s="1211"/>
      <c r="P434" s="1211"/>
      <c r="Q434" s="1211"/>
      <c r="R434" s="1211"/>
      <c r="S434" s="1211"/>
      <c r="T434" s="1209"/>
    </row>
    <row r="435" spans="7:20" s="1191" customFormat="1" x14ac:dyDescent="0.2">
      <c r="G435" s="1203"/>
      <c r="H435" s="1204"/>
      <c r="I435" s="1243"/>
      <c r="J435" s="1243"/>
      <c r="K435" s="1192"/>
      <c r="L435" s="1216"/>
      <c r="M435" s="1203"/>
      <c r="N435" s="1211"/>
      <c r="O435" s="1211"/>
      <c r="P435" s="1211"/>
      <c r="Q435" s="1211"/>
      <c r="R435" s="1211"/>
      <c r="S435" s="1211"/>
      <c r="T435" s="1209"/>
    </row>
    <row r="436" spans="7:20" s="1191" customFormat="1" x14ac:dyDescent="0.2">
      <c r="G436" s="1203"/>
      <c r="H436" s="1204"/>
      <c r="I436" s="1243"/>
      <c r="J436" s="1243"/>
      <c r="K436" s="1192"/>
      <c r="L436" s="1216"/>
      <c r="M436" s="1203"/>
      <c r="N436" s="1211"/>
      <c r="O436" s="1211"/>
      <c r="P436" s="1211"/>
      <c r="Q436" s="1211"/>
      <c r="R436" s="1211"/>
      <c r="S436" s="1211"/>
      <c r="T436" s="1209"/>
    </row>
    <row r="437" spans="7:20" s="1191" customFormat="1" x14ac:dyDescent="0.2">
      <c r="G437" s="1203"/>
      <c r="H437" s="1192"/>
      <c r="I437" s="1243"/>
      <c r="J437" s="1243"/>
      <c r="K437" s="1192"/>
      <c r="L437" s="1192"/>
      <c r="M437" s="1203"/>
      <c r="N437" s="1211"/>
      <c r="O437" s="1211"/>
      <c r="P437" s="1211"/>
      <c r="Q437" s="1211"/>
      <c r="R437" s="1211"/>
      <c r="S437" s="1211"/>
      <c r="T437" s="1209"/>
    </row>
    <row r="438" spans="7:20" s="1191" customFormat="1" x14ac:dyDescent="0.2">
      <c r="G438" s="1203"/>
      <c r="H438" s="1220"/>
      <c r="I438" s="1243"/>
      <c r="J438" s="1243"/>
      <c r="K438" s="1192"/>
      <c r="L438" s="1216"/>
      <c r="M438" s="1203"/>
      <c r="N438" s="1211"/>
      <c r="O438" s="1210"/>
      <c r="P438" s="1210"/>
      <c r="Q438" s="1210"/>
      <c r="R438" s="1210"/>
      <c r="S438" s="1211"/>
      <c r="T438" s="1209"/>
    </row>
    <row r="439" spans="7:20" s="1191" customFormat="1" x14ac:dyDescent="0.2">
      <c r="G439" s="1203"/>
      <c r="H439" s="1204"/>
      <c r="I439" s="1243"/>
      <c r="J439" s="1243"/>
      <c r="K439" s="1192"/>
      <c r="L439" s="1221"/>
      <c r="M439" s="1397"/>
      <c r="N439" s="1210"/>
      <c r="O439" s="1211"/>
      <c r="P439" s="1211"/>
      <c r="Q439" s="1211"/>
      <c r="R439" s="1211"/>
      <c r="S439" s="1211"/>
      <c r="T439" s="1209"/>
    </row>
    <row r="440" spans="7:20" s="1191" customFormat="1" x14ac:dyDescent="0.2">
      <c r="G440" s="1203"/>
      <c r="H440" s="1204"/>
      <c r="I440" s="1243"/>
      <c r="J440" s="1243"/>
      <c r="K440" s="1192"/>
      <c r="L440" s="1221"/>
      <c r="M440" s="1397"/>
      <c r="N440" s="1210"/>
      <c r="O440" s="1211"/>
      <c r="P440" s="1211"/>
      <c r="Q440" s="1211"/>
      <c r="R440" s="1211"/>
      <c r="S440" s="1211"/>
      <c r="T440" s="1209"/>
    </row>
    <row r="441" spans="7:20" s="1191" customFormat="1" x14ac:dyDescent="0.2">
      <c r="G441" s="1203"/>
      <c r="H441" s="1204"/>
      <c r="I441" s="1243"/>
      <c r="J441" s="1243"/>
      <c r="K441" s="1192"/>
      <c r="L441" s="1221"/>
      <c r="M441" s="1397"/>
      <c r="N441" s="1210"/>
      <c r="O441" s="1211"/>
      <c r="P441" s="1211"/>
      <c r="Q441" s="1211"/>
      <c r="R441" s="1211"/>
      <c r="S441" s="1211"/>
      <c r="T441" s="1209"/>
    </row>
    <row r="442" spans="7:20" s="1191" customFormat="1" x14ac:dyDescent="0.2">
      <c r="G442" s="1203"/>
      <c r="H442" s="1204"/>
      <c r="I442" s="1243"/>
      <c r="J442" s="1243"/>
      <c r="K442" s="1192"/>
      <c r="L442" s="1221"/>
      <c r="M442" s="1397"/>
      <c r="N442" s="1210"/>
      <c r="O442" s="1211"/>
      <c r="P442" s="1211"/>
      <c r="Q442" s="1211"/>
      <c r="R442" s="1211"/>
      <c r="S442" s="1211"/>
      <c r="T442" s="1209"/>
    </row>
    <row r="443" spans="7:20" s="1191" customFormat="1" x14ac:dyDescent="0.2">
      <c r="G443" s="1203"/>
      <c r="H443" s="1204"/>
      <c r="I443" s="1243"/>
      <c r="J443" s="1243"/>
      <c r="K443" s="1204"/>
      <c r="L443" s="1221"/>
      <c r="M443" s="1397"/>
      <c r="N443" s="1210"/>
      <c r="O443" s="1211"/>
      <c r="P443" s="1211"/>
      <c r="Q443" s="1211"/>
      <c r="R443" s="1211"/>
      <c r="S443" s="1211"/>
      <c r="T443" s="1209"/>
    </row>
    <row r="444" spans="7:20" s="1191" customFormat="1" x14ac:dyDescent="0.2">
      <c r="G444" s="1203"/>
      <c r="H444" s="1192"/>
      <c r="I444" s="1243"/>
      <c r="J444" s="1243"/>
      <c r="K444" s="1192"/>
      <c r="L444" s="1216"/>
      <c r="M444" s="1203"/>
      <c r="N444" s="1211"/>
      <c r="O444" s="1211"/>
      <c r="P444" s="1211"/>
      <c r="Q444" s="1211"/>
      <c r="R444" s="1211"/>
      <c r="S444" s="1211"/>
      <c r="T444" s="1209"/>
    </row>
    <row r="445" spans="7:20" s="1191" customFormat="1" x14ac:dyDescent="0.2">
      <c r="G445" s="1203"/>
      <c r="H445" s="1220"/>
      <c r="I445" s="1243"/>
      <c r="J445" s="1243"/>
      <c r="K445" s="1192"/>
      <c r="L445" s="1216"/>
      <c r="M445" s="1203"/>
      <c r="N445" s="1211"/>
      <c r="O445" s="1211"/>
      <c r="P445" s="1211"/>
      <c r="Q445" s="1211"/>
      <c r="R445" s="1211"/>
      <c r="S445" s="1211"/>
      <c r="T445" s="1209"/>
    </row>
    <row r="446" spans="7:20" s="1191" customFormat="1" x14ac:dyDescent="0.2">
      <c r="G446" s="1203"/>
      <c r="H446" s="1204"/>
      <c r="I446" s="1243"/>
      <c r="J446" s="1243"/>
      <c r="K446" s="1204"/>
      <c r="L446" s="1216"/>
      <c r="M446" s="1203"/>
      <c r="N446" s="1211"/>
      <c r="O446" s="1211"/>
      <c r="P446" s="1211"/>
      <c r="Q446" s="1211"/>
      <c r="R446" s="1211"/>
      <c r="S446" s="1211"/>
      <c r="T446" s="1209"/>
    </row>
    <row r="447" spans="7:20" s="1191" customFormat="1" x14ac:dyDescent="0.2">
      <c r="G447" s="1203"/>
      <c r="H447" s="1204"/>
      <c r="I447" s="1243"/>
      <c r="J447" s="1243"/>
      <c r="K447" s="1204"/>
      <c r="L447" s="1216"/>
      <c r="M447" s="1203"/>
      <c r="N447" s="1211"/>
      <c r="O447" s="1211"/>
      <c r="P447" s="1211"/>
      <c r="Q447" s="1211"/>
      <c r="R447" s="1211"/>
      <c r="S447" s="1211"/>
      <c r="T447" s="1209"/>
    </row>
    <row r="448" spans="7:20" s="1191" customFormat="1" x14ac:dyDescent="0.2">
      <c r="G448" s="1203"/>
      <c r="H448" s="1204"/>
      <c r="I448" s="1243"/>
      <c r="J448" s="1243"/>
      <c r="K448" s="1204"/>
      <c r="L448" s="1216"/>
      <c r="M448" s="1203"/>
      <c r="N448" s="1211"/>
      <c r="O448" s="1211"/>
      <c r="P448" s="1211"/>
      <c r="Q448" s="1211"/>
      <c r="R448" s="1211"/>
      <c r="S448" s="1211"/>
      <c r="T448" s="1209"/>
    </row>
    <row r="449" spans="7:20" s="1191" customFormat="1" x14ac:dyDescent="0.2">
      <c r="G449" s="1203"/>
      <c r="H449" s="1204"/>
      <c r="I449" s="1243"/>
      <c r="J449" s="1243"/>
      <c r="K449" s="1204"/>
      <c r="L449" s="1216"/>
      <c r="M449" s="1203"/>
      <c r="N449" s="1211"/>
      <c r="O449" s="1211"/>
      <c r="P449" s="1211"/>
      <c r="Q449" s="1211"/>
      <c r="R449" s="1211"/>
      <c r="S449" s="1211"/>
      <c r="T449" s="1209"/>
    </row>
    <row r="450" spans="7:20" s="1191" customFormat="1" x14ac:dyDescent="0.2">
      <c r="G450" s="1203"/>
      <c r="H450" s="1204"/>
      <c r="I450" s="1243"/>
      <c r="J450" s="1243"/>
      <c r="K450" s="1204"/>
      <c r="L450" s="1216"/>
      <c r="M450" s="1203"/>
      <c r="N450" s="1211"/>
      <c r="O450" s="1211"/>
      <c r="P450" s="1211"/>
      <c r="Q450" s="1211"/>
      <c r="R450" s="1211"/>
      <c r="S450" s="1211"/>
      <c r="T450" s="1209"/>
    </row>
    <row r="451" spans="7:20" s="1191" customFormat="1" x14ac:dyDescent="0.2">
      <c r="G451" s="1203"/>
      <c r="H451" s="1204"/>
      <c r="I451" s="1243"/>
      <c r="J451" s="1243"/>
      <c r="K451" s="1204"/>
      <c r="L451" s="1216"/>
      <c r="M451" s="1203"/>
      <c r="N451" s="1211"/>
      <c r="O451" s="1211"/>
      <c r="P451" s="1211"/>
      <c r="Q451" s="1211"/>
      <c r="R451" s="1211"/>
      <c r="S451" s="1211"/>
      <c r="T451" s="1209"/>
    </row>
    <row r="452" spans="7:20" s="1191" customFormat="1" x14ac:dyDescent="0.2">
      <c r="G452" s="1203"/>
      <c r="H452" s="1204"/>
      <c r="I452" s="1243"/>
      <c r="J452" s="1243"/>
      <c r="K452" s="1204"/>
      <c r="L452" s="1216"/>
      <c r="M452" s="1203"/>
      <c r="N452" s="1211"/>
      <c r="O452" s="1211"/>
      <c r="P452" s="1211"/>
      <c r="Q452" s="1211"/>
      <c r="R452" s="1211"/>
      <c r="S452" s="1211"/>
      <c r="T452" s="1209"/>
    </row>
    <row r="453" spans="7:20" s="1191" customFormat="1" x14ac:dyDescent="0.2">
      <c r="G453" s="1203"/>
      <c r="H453" s="1204"/>
      <c r="I453" s="1243"/>
      <c r="J453" s="1243"/>
      <c r="K453" s="1204"/>
      <c r="L453" s="1216"/>
      <c r="M453" s="1203"/>
      <c r="N453" s="1211"/>
      <c r="O453" s="1211"/>
      <c r="P453" s="1211"/>
      <c r="Q453" s="1211"/>
      <c r="R453" s="1211"/>
      <c r="S453" s="1211"/>
      <c r="T453" s="1209"/>
    </row>
    <row r="454" spans="7:20" s="1191" customFormat="1" x14ac:dyDescent="0.2">
      <c r="G454" s="1203"/>
      <c r="H454" s="1204"/>
      <c r="I454" s="1243"/>
      <c r="J454" s="1243"/>
      <c r="K454" s="1204"/>
      <c r="L454" s="1216"/>
      <c r="M454" s="1203"/>
      <c r="N454" s="1211"/>
      <c r="O454" s="1211"/>
      <c r="P454" s="1211"/>
      <c r="Q454" s="1211"/>
      <c r="R454" s="1211"/>
      <c r="S454" s="1211"/>
      <c r="T454" s="1209"/>
    </row>
    <row r="455" spans="7:20" s="1191" customFormat="1" x14ac:dyDescent="0.2">
      <c r="G455" s="1203"/>
      <c r="H455" s="1204"/>
      <c r="I455" s="1243"/>
      <c r="J455" s="1243"/>
      <c r="K455" s="1204"/>
      <c r="L455" s="1216"/>
      <c r="M455" s="1203"/>
      <c r="N455" s="1211"/>
      <c r="O455" s="1211"/>
      <c r="P455" s="1211"/>
      <c r="Q455" s="1211"/>
      <c r="R455" s="1211"/>
      <c r="S455" s="1211"/>
      <c r="T455" s="1209"/>
    </row>
    <row r="456" spans="7:20" s="1191" customFormat="1" x14ac:dyDescent="0.2">
      <c r="G456" s="1203"/>
      <c r="H456" s="1204"/>
      <c r="I456" s="1243"/>
      <c r="J456" s="1243"/>
      <c r="K456" s="1204"/>
      <c r="L456" s="1216"/>
      <c r="M456" s="1203"/>
      <c r="N456" s="1211"/>
      <c r="O456" s="1211"/>
      <c r="P456" s="1211"/>
      <c r="Q456" s="1211"/>
      <c r="R456" s="1211"/>
      <c r="S456" s="1211"/>
      <c r="T456" s="1209"/>
    </row>
    <row r="457" spans="7:20" s="1191" customFormat="1" x14ac:dyDescent="0.2">
      <c r="G457" s="1203"/>
      <c r="H457" s="1204"/>
      <c r="I457" s="1243"/>
      <c r="J457" s="1243"/>
      <c r="K457" s="1204"/>
      <c r="L457" s="1216"/>
      <c r="M457" s="1203"/>
      <c r="N457" s="1211"/>
      <c r="O457" s="1211"/>
      <c r="P457" s="1211"/>
      <c r="Q457" s="1211"/>
      <c r="R457" s="1211"/>
      <c r="S457" s="1211"/>
      <c r="T457" s="1209"/>
    </row>
    <row r="458" spans="7:20" s="1191" customFormat="1" x14ac:dyDescent="0.2">
      <c r="G458" s="1203"/>
      <c r="H458" s="1204"/>
      <c r="I458" s="1243"/>
      <c r="J458" s="1243"/>
      <c r="K458" s="1204"/>
      <c r="L458" s="1216"/>
      <c r="M458" s="1203"/>
      <c r="N458" s="1211"/>
      <c r="O458" s="1211"/>
      <c r="P458" s="1211"/>
      <c r="Q458" s="1211"/>
      <c r="R458" s="1211"/>
      <c r="S458" s="1211"/>
      <c r="T458" s="1209"/>
    </row>
    <row r="459" spans="7:20" s="1191" customFormat="1" x14ac:dyDescent="0.2">
      <c r="G459" s="1203"/>
      <c r="H459" s="1204"/>
      <c r="I459" s="1243"/>
      <c r="J459" s="1243"/>
      <c r="K459" s="1192"/>
      <c r="L459" s="1216"/>
      <c r="M459" s="1203"/>
      <c r="N459" s="1211"/>
      <c r="O459" s="1211"/>
      <c r="P459" s="1211"/>
      <c r="Q459" s="1211"/>
      <c r="R459" s="1211"/>
      <c r="S459" s="1211"/>
      <c r="T459" s="1209"/>
    </row>
    <row r="460" spans="7:20" s="1191" customFormat="1" x14ac:dyDescent="0.2">
      <c r="G460" s="1203"/>
      <c r="H460" s="1204"/>
      <c r="I460" s="1243"/>
      <c r="J460" s="1243"/>
      <c r="K460" s="1204"/>
      <c r="L460" s="1192"/>
      <c r="M460" s="1397"/>
      <c r="N460" s="1211"/>
      <c r="O460" s="1211"/>
      <c r="P460" s="1211"/>
      <c r="Q460" s="1211"/>
      <c r="R460" s="1211"/>
      <c r="S460" s="1211"/>
      <c r="T460" s="1209"/>
    </row>
    <row r="461" spans="7:20" s="1191" customFormat="1" x14ac:dyDescent="0.2">
      <c r="G461" s="1203"/>
      <c r="H461" s="1204"/>
      <c r="I461" s="1243"/>
      <c r="J461" s="1243"/>
      <c r="K461" s="1192"/>
      <c r="L461" s="1216"/>
      <c r="M461" s="1203"/>
      <c r="N461" s="1211"/>
      <c r="O461" s="1211"/>
      <c r="P461" s="1211"/>
      <c r="Q461" s="1211"/>
      <c r="R461" s="1211"/>
      <c r="S461" s="1211"/>
      <c r="T461" s="1209"/>
    </row>
    <row r="462" spans="7:20" s="1191" customFormat="1" ht="18" x14ac:dyDescent="0.25">
      <c r="G462" s="1389" t="s">
        <v>85</v>
      </c>
      <c r="H462" s="1390"/>
      <c r="I462" s="1391"/>
      <c r="J462" s="1391"/>
      <c r="K462" s="1392"/>
      <c r="L462" s="1399"/>
      <c r="M462" s="1392"/>
      <c r="N462" s="1187"/>
      <c r="O462" s="1187"/>
      <c r="P462" s="1187"/>
      <c r="Q462" s="1187"/>
      <c r="R462" s="1187"/>
      <c r="S462" s="1187"/>
      <c r="T462" s="1202"/>
    </row>
    <row r="463" spans="7:20" s="1191" customFormat="1" x14ac:dyDescent="0.2">
      <c r="G463" s="1203"/>
      <c r="H463" s="1394"/>
      <c r="I463" s="1232"/>
      <c r="J463" s="1232"/>
      <c r="K463" s="1394"/>
      <c r="L463" s="1400"/>
      <c r="M463" s="1394"/>
      <c r="N463" s="1211"/>
      <c r="O463" s="1211"/>
      <c r="P463" s="1211"/>
      <c r="Q463" s="1211"/>
      <c r="R463" s="1211"/>
      <c r="S463" s="1211"/>
      <c r="T463" s="1209"/>
    </row>
    <row r="464" spans="7:20" s="1191" customFormat="1" x14ac:dyDescent="0.2">
      <c r="G464" s="1203"/>
      <c r="H464" s="1220"/>
      <c r="I464" s="1243"/>
      <c r="J464" s="1243"/>
      <c r="K464" s="1192"/>
      <c r="L464" s="1401"/>
      <c r="M464" s="1192"/>
      <c r="N464" s="1211"/>
      <c r="O464" s="1211"/>
      <c r="P464" s="1211"/>
      <c r="Q464" s="1211"/>
      <c r="R464" s="1211"/>
      <c r="S464" s="1211"/>
      <c r="T464" s="1209"/>
    </row>
    <row r="465" spans="7:20" s="1191" customFormat="1" x14ac:dyDescent="0.2">
      <c r="G465" s="1203"/>
      <c r="H465" s="1204"/>
      <c r="I465" s="1243"/>
      <c r="J465" s="1243"/>
      <c r="K465" s="1402"/>
      <c r="L465" s="1401"/>
      <c r="M465" s="1192"/>
      <c r="N465" s="1211"/>
      <c r="O465" s="1211"/>
      <c r="P465" s="1211"/>
      <c r="Q465" s="1211"/>
      <c r="R465" s="1211"/>
      <c r="S465" s="1211"/>
      <c r="T465" s="1209"/>
    </row>
    <row r="466" spans="7:20" s="1191" customFormat="1" x14ac:dyDescent="0.2">
      <c r="G466" s="1203"/>
      <c r="H466" s="1204"/>
      <c r="I466" s="1243"/>
      <c r="J466" s="1243"/>
      <c r="K466" s="1204"/>
      <c r="L466" s="1401"/>
      <c r="M466" s="1192"/>
      <c r="N466" s="1211"/>
      <c r="O466" s="1211"/>
      <c r="P466" s="1211"/>
      <c r="Q466" s="1211"/>
      <c r="R466" s="1211"/>
      <c r="S466" s="1211"/>
      <c r="T466" s="1209"/>
    </row>
    <row r="467" spans="7:20" s="1191" customFormat="1" x14ac:dyDescent="0.2">
      <c r="G467" s="1203"/>
      <c r="H467" s="1204"/>
      <c r="I467" s="1243"/>
      <c r="J467" s="1243"/>
      <c r="K467" s="1204"/>
      <c r="L467" s="1401"/>
      <c r="M467" s="1192"/>
      <c r="N467" s="1211"/>
      <c r="O467" s="1211"/>
      <c r="P467" s="1211"/>
      <c r="Q467" s="1211"/>
      <c r="R467" s="1211"/>
      <c r="S467" s="1211"/>
      <c r="T467" s="1209"/>
    </row>
    <row r="468" spans="7:20" s="1191" customFormat="1" x14ac:dyDescent="0.2">
      <c r="G468" s="1203"/>
      <c r="H468" s="1204"/>
      <c r="I468" s="1243"/>
      <c r="J468" s="1243"/>
      <c r="K468" s="1204"/>
      <c r="L468" s="1401"/>
      <c r="M468" s="1192"/>
      <c r="N468" s="1211"/>
      <c r="O468" s="1211"/>
      <c r="P468" s="1211"/>
      <c r="Q468" s="1211"/>
      <c r="R468" s="1211"/>
      <c r="S468" s="1211"/>
      <c r="T468" s="1209"/>
    </row>
    <row r="469" spans="7:20" s="1191" customFormat="1" x14ac:dyDescent="0.2">
      <c r="G469" s="1203"/>
      <c r="H469" s="1204"/>
      <c r="I469" s="1243"/>
      <c r="J469" s="1243"/>
      <c r="K469" s="1204"/>
      <c r="L469" s="1401"/>
      <c r="M469" s="1192"/>
      <c r="N469" s="1211"/>
      <c r="O469" s="1211"/>
      <c r="P469" s="1211"/>
      <c r="Q469" s="1211"/>
      <c r="R469" s="1211"/>
      <c r="S469" s="1211"/>
      <c r="T469" s="1209"/>
    </row>
    <row r="470" spans="7:20" s="1191" customFormat="1" x14ac:dyDescent="0.2">
      <c r="G470" s="1203"/>
      <c r="H470" s="1204"/>
      <c r="I470" s="1243"/>
      <c r="J470" s="1243"/>
      <c r="K470" s="1204"/>
      <c r="L470" s="1401"/>
      <c r="M470" s="1192"/>
      <c r="N470" s="1211"/>
      <c r="O470" s="1211"/>
      <c r="P470" s="1211"/>
      <c r="Q470" s="1211"/>
      <c r="R470" s="1211"/>
      <c r="S470" s="1211"/>
      <c r="T470" s="1209"/>
    </row>
    <row r="471" spans="7:20" s="1191" customFormat="1" x14ac:dyDescent="0.2">
      <c r="G471" s="1203"/>
      <c r="H471" s="1204"/>
      <c r="I471" s="1243"/>
      <c r="J471" s="1243"/>
      <c r="K471" s="1192"/>
      <c r="L471" s="1401"/>
      <c r="M471" s="1192"/>
      <c r="N471" s="1211"/>
      <c r="O471" s="1211"/>
      <c r="P471" s="1211"/>
      <c r="Q471" s="1211"/>
      <c r="R471" s="1211"/>
      <c r="S471" s="1211"/>
      <c r="T471" s="1209"/>
    </row>
    <row r="472" spans="7:20" s="1191" customFormat="1" x14ac:dyDescent="0.2">
      <c r="G472" s="1203"/>
      <c r="H472" s="1220"/>
      <c r="I472" s="1243"/>
      <c r="J472" s="1243"/>
      <c r="K472" s="1192"/>
      <c r="L472" s="1401"/>
      <c r="M472" s="1192"/>
      <c r="N472" s="1211"/>
      <c r="O472" s="1211"/>
      <c r="P472" s="1211"/>
      <c r="Q472" s="1211"/>
      <c r="R472" s="1211"/>
      <c r="S472" s="1211"/>
      <c r="T472" s="1209"/>
    </row>
    <row r="473" spans="7:20" s="1191" customFormat="1" x14ac:dyDescent="0.2">
      <c r="G473" s="1203"/>
      <c r="H473" s="1204"/>
      <c r="I473" s="1243"/>
      <c r="J473" s="1243"/>
      <c r="K473" s="1204"/>
      <c r="L473" s="1401"/>
      <c r="M473" s="1192"/>
      <c r="N473" s="1211"/>
      <c r="O473" s="1211"/>
      <c r="P473" s="1211"/>
      <c r="Q473" s="1211"/>
      <c r="R473" s="1211"/>
      <c r="S473" s="1211"/>
      <c r="T473" s="1209"/>
    </row>
    <row r="474" spans="7:20" s="1191" customFormat="1" x14ac:dyDescent="0.2">
      <c r="G474" s="1203"/>
      <c r="H474" s="1204"/>
      <c r="I474" s="1243"/>
      <c r="J474" s="1243"/>
      <c r="K474" s="1204"/>
      <c r="L474" s="1401"/>
      <c r="M474" s="1192"/>
      <c r="N474" s="1211"/>
      <c r="O474" s="1211"/>
      <c r="P474" s="1211"/>
      <c r="Q474" s="1211"/>
      <c r="R474" s="1211"/>
      <c r="S474" s="1211"/>
      <c r="T474" s="1209"/>
    </row>
    <row r="475" spans="7:20" s="1191" customFormat="1" x14ac:dyDescent="0.2">
      <c r="G475" s="1203"/>
      <c r="H475" s="1204"/>
      <c r="I475" s="1243"/>
      <c r="J475" s="1235"/>
      <c r="K475" s="1204"/>
      <c r="L475" s="1401"/>
      <c r="M475" s="1192"/>
      <c r="N475" s="1211"/>
      <c r="O475" s="1211"/>
      <c r="P475" s="1211"/>
      <c r="Q475" s="1211"/>
      <c r="R475" s="1211"/>
      <c r="S475" s="1211"/>
      <c r="T475" s="1209"/>
    </row>
    <row r="476" spans="7:20" s="1191" customFormat="1" x14ac:dyDescent="0.2">
      <c r="G476" s="1203"/>
      <c r="H476" s="1204"/>
      <c r="I476" s="1243"/>
      <c r="J476" s="1235"/>
      <c r="K476" s="1204"/>
      <c r="L476" s="1401"/>
      <c r="M476" s="1192"/>
      <c r="N476" s="1211"/>
      <c r="O476" s="1211"/>
      <c r="P476" s="1211"/>
      <c r="Q476" s="1211"/>
      <c r="R476" s="1211"/>
      <c r="S476" s="1211"/>
      <c r="T476" s="1209"/>
    </row>
    <row r="477" spans="7:20" s="1191" customFormat="1" x14ac:dyDescent="0.2">
      <c r="G477" s="1203"/>
      <c r="H477" s="1204"/>
      <c r="I477" s="1243"/>
      <c r="J477" s="1243"/>
      <c r="K477" s="1192"/>
      <c r="L477" s="1401"/>
      <c r="M477" s="1192"/>
      <c r="N477" s="1211"/>
      <c r="O477" s="1211"/>
      <c r="P477" s="1211"/>
      <c r="Q477" s="1211"/>
      <c r="R477" s="1211"/>
      <c r="S477" s="1211"/>
      <c r="T477" s="1209"/>
    </row>
    <row r="478" spans="7:20" s="1191" customFormat="1" x14ac:dyDescent="0.2">
      <c r="G478" s="1203"/>
      <c r="H478" s="1204"/>
      <c r="I478" s="1243"/>
      <c r="J478" s="1243"/>
      <c r="K478" s="1192"/>
      <c r="L478" s="1401"/>
      <c r="M478" s="1192"/>
      <c r="N478" s="1211"/>
      <c r="O478" s="1211"/>
      <c r="P478" s="1211"/>
      <c r="Q478" s="1211"/>
      <c r="R478" s="1211"/>
      <c r="S478" s="1211"/>
      <c r="T478" s="1209"/>
    </row>
    <row r="479" spans="7:20" s="1191" customFormat="1" x14ac:dyDescent="0.2">
      <c r="G479" s="1203"/>
      <c r="H479" s="1204"/>
      <c r="I479" s="1243"/>
      <c r="J479" s="1243"/>
      <c r="K479" s="1192"/>
      <c r="L479" s="1401"/>
      <c r="M479" s="1192"/>
      <c r="N479" s="1211"/>
      <c r="O479" s="1211"/>
      <c r="P479" s="1211"/>
      <c r="Q479" s="1211"/>
      <c r="R479" s="1211"/>
      <c r="S479" s="1211"/>
      <c r="T479" s="1209"/>
    </row>
    <row r="480" spans="7:20" s="1191" customFormat="1" ht="18" x14ac:dyDescent="0.25">
      <c r="G480" s="1389" t="s">
        <v>128</v>
      </c>
      <c r="H480" s="1390"/>
      <c r="I480" s="1391"/>
      <c r="J480" s="1391"/>
      <c r="K480" s="1392"/>
      <c r="L480" s="1399"/>
      <c r="M480" s="1392"/>
      <c r="N480" s="1187"/>
      <c r="O480" s="1187"/>
      <c r="P480" s="1187"/>
      <c r="Q480" s="1187"/>
      <c r="R480" s="1187"/>
      <c r="S480" s="1187"/>
      <c r="T480" s="1202"/>
    </row>
    <row r="481" spans="7:20" s="1191" customFormat="1" x14ac:dyDescent="0.2">
      <c r="G481" s="1203"/>
      <c r="H481" s="1394"/>
      <c r="I481" s="1232"/>
      <c r="J481" s="1232"/>
      <c r="K481" s="1394"/>
      <c r="L481" s="1400"/>
      <c r="M481" s="1394"/>
      <c r="N481" s="1211"/>
      <c r="O481" s="1211"/>
      <c r="P481" s="1211"/>
      <c r="Q481" s="1211"/>
      <c r="R481" s="1211"/>
      <c r="S481" s="1211"/>
      <c r="T481" s="1209"/>
    </row>
    <row r="482" spans="7:20" s="1191" customFormat="1" x14ac:dyDescent="0.2">
      <c r="G482" s="1203"/>
      <c r="H482" s="1204"/>
      <c r="I482" s="1243"/>
      <c r="J482" s="1243"/>
      <c r="K482" s="1204"/>
      <c r="L482" s="1401"/>
      <c r="M482" s="1192"/>
      <c r="N482" s="1211"/>
      <c r="O482" s="1211"/>
      <c r="P482" s="1211"/>
      <c r="Q482" s="1211"/>
      <c r="R482" s="1211"/>
      <c r="S482" s="1211"/>
      <c r="T482" s="1209"/>
    </row>
    <row r="483" spans="7:20" s="1191" customFormat="1" x14ac:dyDescent="0.2">
      <c r="G483" s="1203"/>
      <c r="H483" s="1204"/>
      <c r="I483" s="1243"/>
      <c r="J483" s="1243"/>
      <c r="K483" s="1204"/>
      <c r="L483" s="1401"/>
      <c r="M483" s="1192"/>
      <c r="N483" s="1211"/>
      <c r="O483" s="1211"/>
      <c r="P483" s="1211"/>
      <c r="Q483" s="1211"/>
      <c r="R483" s="1211"/>
      <c r="S483" s="1211"/>
      <c r="T483" s="1209"/>
    </row>
    <row r="484" spans="7:20" s="1191" customFormat="1" x14ac:dyDescent="0.2">
      <c r="G484" s="1203"/>
      <c r="H484" s="1204"/>
      <c r="I484" s="1243"/>
      <c r="J484" s="1243"/>
      <c r="K484" s="1403"/>
      <c r="L484" s="1401"/>
      <c r="M484" s="1204"/>
      <c r="N484" s="1211"/>
      <c r="O484" s="1211"/>
      <c r="P484" s="1211"/>
      <c r="Q484" s="1211"/>
      <c r="R484" s="1211"/>
      <c r="S484" s="1211"/>
      <c r="T484" s="1209"/>
    </row>
    <row r="485" spans="7:20" s="1191" customFormat="1" x14ac:dyDescent="0.2">
      <c r="G485" s="1203"/>
      <c r="H485" s="1204"/>
      <c r="I485" s="1243"/>
      <c r="J485" s="1243"/>
      <c r="K485" s="1204"/>
      <c r="L485" s="1401"/>
      <c r="M485" s="1192"/>
      <c r="N485" s="1211"/>
      <c r="O485" s="1211"/>
      <c r="P485" s="1211"/>
      <c r="Q485" s="1211"/>
      <c r="R485" s="1211"/>
      <c r="S485" s="1211"/>
      <c r="T485" s="1209"/>
    </row>
    <row r="486" spans="7:20" s="1191" customFormat="1" x14ac:dyDescent="0.2">
      <c r="G486" s="1203"/>
      <c r="H486" s="1220"/>
      <c r="I486" s="1243"/>
      <c r="J486" s="1243"/>
      <c r="K486" s="1204"/>
      <c r="L486" s="1401"/>
      <c r="M486" s="1192"/>
      <c r="N486" s="1211"/>
      <c r="O486" s="1211"/>
      <c r="P486" s="1211"/>
      <c r="Q486" s="1211"/>
      <c r="R486" s="1211"/>
      <c r="S486" s="1211"/>
      <c r="T486" s="1209"/>
    </row>
    <row r="487" spans="7:20" s="1191" customFormat="1" x14ac:dyDescent="0.2">
      <c r="G487" s="1203"/>
      <c r="H487" s="1204"/>
      <c r="I487" s="1243"/>
      <c r="J487" s="1243"/>
      <c r="K487" s="1204"/>
      <c r="L487" s="1401"/>
      <c r="M487" s="1192"/>
      <c r="N487" s="1211"/>
      <c r="O487" s="1211"/>
      <c r="P487" s="1211"/>
      <c r="Q487" s="1211"/>
      <c r="R487" s="1211"/>
      <c r="S487" s="1211"/>
      <c r="T487" s="1209"/>
    </row>
    <row r="488" spans="7:20" s="1191" customFormat="1" x14ac:dyDescent="0.2">
      <c r="G488" s="1203"/>
      <c r="H488" s="1204"/>
      <c r="I488" s="1243"/>
      <c r="J488" s="1243"/>
      <c r="K488" s="1204"/>
      <c r="L488" s="1401"/>
      <c r="M488" s="1192"/>
      <c r="N488" s="1211"/>
      <c r="O488" s="1211"/>
      <c r="P488" s="1211"/>
      <c r="Q488" s="1211"/>
      <c r="R488" s="1211"/>
      <c r="S488" s="1211"/>
      <c r="T488" s="1209"/>
    </row>
    <row r="489" spans="7:20" s="1191" customFormat="1" x14ac:dyDescent="0.2">
      <c r="G489" s="1203"/>
      <c r="H489" s="1204"/>
      <c r="I489" s="1243"/>
      <c r="J489" s="1243"/>
      <c r="K489" s="1204"/>
      <c r="L489" s="1401"/>
      <c r="M489" s="1192"/>
      <c r="N489" s="1211"/>
      <c r="O489" s="1211"/>
      <c r="P489" s="1211"/>
      <c r="Q489" s="1211"/>
      <c r="R489" s="1211"/>
      <c r="S489" s="1211"/>
      <c r="T489" s="1209"/>
    </row>
    <row r="490" spans="7:20" s="1191" customFormat="1" x14ac:dyDescent="0.2">
      <c r="G490" s="1203"/>
      <c r="H490" s="1204"/>
      <c r="I490" s="1243"/>
      <c r="J490" s="1243"/>
      <c r="K490" s="1204"/>
      <c r="L490" s="1401"/>
      <c r="M490" s="1192"/>
      <c r="N490" s="1211"/>
      <c r="O490" s="1211"/>
      <c r="P490" s="1211"/>
      <c r="Q490" s="1211"/>
      <c r="R490" s="1211"/>
      <c r="S490" s="1211"/>
      <c r="T490" s="1209"/>
    </row>
    <row r="491" spans="7:20" s="1191" customFormat="1" x14ac:dyDescent="0.2">
      <c r="G491" s="1203"/>
      <c r="H491" s="1204"/>
      <c r="I491" s="1243"/>
      <c r="J491" s="1243"/>
      <c r="K491" s="1204"/>
      <c r="L491" s="1401"/>
      <c r="M491" s="1192"/>
      <c r="N491" s="1211"/>
      <c r="O491" s="1211"/>
      <c r="P491" s="1211"/>
      <c r="Q491" s="1211"/>
      <c r="R491" s="1211"/>
      <c r="S491" s="1211"/>
      <c r="T491" s="1209"/>
    </row>
    <row r="492" spans="7:20" s="1191" customFormat="1" x14ac:dyDescent="0.2">
      <c r="G492" s="1203"/>
      <c r="H492" s="1204"/>
      <c r="I492" s="1243"/>
      <c r="J492" s="1243"/>
      <c r="K492" s="1204"/>
      <c r="L492" s="1404"/>
      <c r="M492" s="1192"/>
      <c r="N492" s="1211"/>
      <c r="O492" s="1211"/>
      <c r="P492" s="1211"/>
      <c r="Q492" s="1211"/>
      <c r="R492" s="1211"/>
      <c r="S492" s="1211"/>
      <c r="T492" s="1209"/>
    </row>
    <row r="493" spans="7:20" s="1191" customFormat="1" x14ac:dyDescent="0.2">
      <c r="G493" s="1203"/>
      <c r="H493" s="1368"/>
      <c r="I493" s="1243"/>
      <c r="J493" s="1243"/>
      <c r="K493" s="1204"/>
      <c r="L493" s="1401"/>
      <c r="M493" s="1204"/>
      <c r="N493" s="1211"/>
      <c r="O493" s="1211"/>
      <c r="P493" s="1211"/>
      <c r="Q493" s="1211"/>
      <c r="R493" s="1211"/>
      <c r="S493" s="1211"/>
      <c r="T493" s="1209"/>
    </row>
    <row r="494" spans="7:20" s="1191" customFormat="1" x14ac:dyDescent="0.2">
      <c r="G494" s="1203"/>
      <c r="H494" s="1204"/>
      <c r="I494" s="1243"/>
      <c r="J494" s="1243"/>
      <c r="K494" s="1204"/>
      <c r="L494" s="1401"/>
      <c r="M494" s="1192"/>
      <c r="N494" s="1211"/>
      <c r="O494" s="1211"/>
      <c r="P494" s="1211"/>
      <c r="Q494" s="1211"/>
      <c r="R494" s="1211"/>
      <c r="S494" s="1211"/>
      <c r="T494" s="1209"/>
    </row>
    <row r="495" spans="7:20" s="1191" customFormat="1" x14ac:dyDescent="0.2">
      <c r="G495" s="1203"/>
      <c r="H495" s="1204"/>
      <c r="I495" s="1243"/>
      <c r="J495" s="1243"/>
      <c r="K495" s="1368"/>
      <c r="L495" s="1401"/>
      <c r="M495" s="1192"/>
      <c r="N495" s="1211"/>
      <c r="O495" s="1211"/>
      <c r="P495" s="1211"/>
      <c r="Q495" s="1211"/>
      <c r="R495" s="1211"/>
      <c r="S495" s="1211"/>
      <c r="T495" s="1209"/>
    </row>
    <row r="496" spans="7:20" s="1191" customFormat="1" x14ac:dyDescent="0.2">
      <c r="G496" s="1203"/>
      <c r="H496" s="1368"/>
      <c r="I496" s="1189"/>
      <c r="J496" s="1243"/>
      <c r="K496" s="1204"/>
      <c r="L496" s="1401"/>
      <c r="M496" s="1192"/>
      <c r="N496" s="1211"/>
      <c r="O496" s="1211"/>
      <c r="P496" s="1211"/>
      <c r="Q496" s="1211"/>
      <c r="R496" s="1211"/>
      <c r="S496" s="1211"/>
      <c r="T496" s="1209"/>
    </row>
    <row r="497" spans="7:20" s="1191" customFormat="1" x14ac:dyDescent="0.2">
      <c r="G497" s="1203"/>
      <c r="H497" s="1368"/>
      <c r="I497" s="1189"/>
      <c r="J497" s="1107"/>
      <c r="K497" s="1107"/>
      <c r="L497" s="1401"/>
      <c r="M497" s="1192"/>
      <c r="N497" s="1211"/>
      <c r="O497" s="1211"/>
      <c r="P497" s="1211"/>
      <c r="Q497" s="1211"/>
      <c r="R497" s="1211"/>
      <c r="S497" s="1211"/>
      <c r="T497" s="1209"/>
    </row>
    <row r="498" spans="7:20" s="1191" customFormat="1" x14ac:dyDescent="0.2">
      <c r="G498" s="1203"/>
      <c r="H498" s="1192"/>
      <c r="I498" s="1243"/>
      <c r="J498" s="1243"/>
      <c r="K498" s="1192"/>
      <c r="L498" s="1401"/>
      <c r="M498" s="1192"/>
      <c r="N498" s="1211"/>
      <c r="O498" s="1211"/>
      <c r="P498" s="1211"/>
      <c r="Q498" s="1211"/>
      <c r="R498" s="1211"/>
      <c r="S498" s="1211"/>
      <c r="T498" s="1209"/>
    </row>
    <row r="499" spans="7:20" s="1191" customFormat="1" ht="18" x14ac:dyDescent="0.25">
      <c r="G499" s="1389" t="s">
        <v>176</v>
      </c>
      <c r="H499" s="1390"/>
      <c r="I499" s="1391"/>
      <c r="J499" s="1391"/>
      <c r="K499" s="1392"/>
      <c r="L499" s="1399"/>
      <c r="M499" s="1392"/>
      <c r="N499" s="1187"/>
      <c r="O499" s="1187"/>
      <c r="P499" s="1187"/>
      <c r="Q499" s="1187"/>
      <c r="R499" s="1187"/>
      <c r="S499" s="1187"/>
      <c r="T499" s="1202"/>
    </row>
    <row r="500" spans="7:20" s="1191" customFormat="1" x14ac:dyDescent="0.2">
      <c r="G500" s="1203"/>
      <c r="H500" s="1394"/>
      <c r="I500" s="1232"/>
      <c r="J500" s="1232"/>
      <c r="K500" s="1394"/>
      <c r="L500" s="1400"/>
      <c r="M500" s="1394"/>
      <c r="N500" s="1211"/>
      <c r="O500" s="1211"/>
      <c r="P500" s="1211"/>
      <c r="Q500" s="1211"/>
      <c r="R500" s="1211"/>
      <c r="S500" s="1211"/>
      <c r="T500" s="1209"/>
    </row>
    <row r="501" spans="7:20" s="1191" customFormat="1" x14ac:dyDescent="0.2">
      <c r="G501" s="1203"/>
      <c r="H501" s="1204"/>
      <c r="I501" s="1243"/>
      <c r="J501" s="1243"/>
      <c r="K501" s="1192"/>
      <c r="L501" s="1401"/>
      <c r="M501" s="1204"/>
      <c r="N501" s="1211"/>
      <c r="O501" s="1211"/>
      <c r="P501" s="1211"/>
      <c r="Q501" s="1211"/>
      <c r="R501" s="1211"/>
      <c r="S501" s="1211"/>
      <c r="T501" s="1209"/>
    </row>
    <row r="502" spans="7:20" s="1191" customFormat="1" x14ac:dyDescent="0.2">
      <c r="G502" s="1203"/>
      <c r="H502" s="1204"/>
      <c r="I502" s="1243"/>
      <c r="J502" s="1243"/>
      <c r="K502" s="1204"/>
      <c r="L502" s="1401"/>
      <c r="M502" s="1192"/>
      <c r="N502" s="1211"/>
      <c r="O502" s="1211"/>
      <c r="P502" s="1211"/>
      <c r="Q502" s="1211"/>
      <c r="R502" s="1211"/>
      <c r="S502" s="1211"/>
      <c r="T502" s="1209"/>
    </row>
    <row r="503" spans="7:20" s="1191" customFormat="1" x14ac:dyDescent="0.2">
      <c r="G503" s="1203"/>
      <c r="H503" s="1204"/>
      <c r="I503" s="1243"/>
      <c r="J503" s="1243"/>
      <c r="K503" s="1192"/>
      <c r="L503" s="1401"/>
      <c r="M503" s="1192"/>
      <c r="N503" s="1211"/>
      <c r="O503" s="1211"/>
      <c r="P503" s="1211"/>
      <c r="Q503" s="1211"/>
      <c r="R503" s="1211"/>
      <c r="S503" s="1211"/>
      <c r="T503" s="1209"/>
    </row>
    <row r="504" spans="7:20" s="1191" customFormat="1" x14ac:dyDescent="0.2">
      <c r="G504" s="1203"/>
      <c r="H504" s="1204"/>
      <c r="I504" s="1189"/>
      <c r="J504" s="1243"/>
      <c r="K504" s="1192"/>
      <c r="L504" s="1401"/>
      <c r="M504" s="1192"/>
      <c r="N504" s="1211"/>
      <c r="O504" s="1211"/>
      <c r="P504" s="1211"/>
      <c r="Q504" s="1211"/>
      <c r="R504" s="1211"/>
      <c r="S504" s="1211"/>
      <c r="T504" s="1209"/>
    </row>
    <row r="505" spans="7:20" s="1191" customFormat="1" x14ac:dyDescent="0.2">
      <c r="G505" s="1203"/>
      <c r="H505" s="1204"/>
      <c r="I505" s="1243"/>
      <c r="J505" s="1243"/>
      <c r="K505" s="1192"/>
      <c r="L505" s="1401"/>
      <c r="M505" s="1192"/>
      <c r="N505" s="1211"/>
      <c r="O505" s="1211"/>
      <c r="P505" s="1211"/>
      <c r="Q505" s="1211"/>
      <c r="R505" s="1211"/>
      <c r="S505" s="1211"/>
      <c r="T505" s="1209"/>
    </row>
    <row r="506" spans="7:20" s="1191" customFormat="1" x14ac:dyDescent="0.2">
      <c r="G506" s="1203"/>
      <c r="H506" s="1204"/>
      <c r="I506" s="1243"/>
      <c r="J506" s="1243"/>
      <c r="K506" s="1192"/>
      <c r="L506" s="1401"/>
      <c r="M506" s="1192"/>
      <c r="N506" s="1211"/>
      <c r="O506" s="1211"/>
      <c r="P506" s="1211"/>
      <c r="Q506" s="1211"/>
      <c r="R506" s="1211"/>
      <c r="S506" s="1211"/>
      <c r="T506" s="1209"/>
    </row>
    <row r="507" spans="7:20" s="1191" customFormat="1" x14ac:dyDescent="0.2">
      <c r="G507" s="1203"/>
      <c r="H507" s="1204"/>
      <c r="I507" s="1243"/>
      <c r="J507" s="1243"/>
      <c r="K507" s="1192"/>
      <c r="L507" s="1401"/>
      <c r="M507" s="1192"/>
      <c r="N507" s="1211"/>
      <c r="O507" s="1211"/>
      <c r="P507" s="1211"/>
      <c r="Q507" s="1211"/>
      <c r="R507" s="1211"/>
      <c r="S507" s="1211"/>
      <c r="T507" s="1209"/>
    </row>
    <row r="508" spans="7:20" s="1191" customFormat="1" x14ac:dyDescent="0.2">
      <c r="G508" s="1203"/>
      <c r="H508" s="1204"/>
      <c r="I508" s="1243"/>
      <c r="J508" s="1243"/>
      <c r="K508" s="1192"/>
      <c r="L508" s="1401"/>
      <c r="M508" s="1192"/>
      <c r="N508" s="1211"/>
      <c r="O508" s="1211"/>
      <c r="P508" s="1211"/>
      <c r="Q508" s="1211"/>
      <c r="R508" s="1211"/>
      <c r="S508" s="1211"/>
      <c r="T508" s="1209"/>
    </row>
    <row r="509" spans="7:20" s="1191" customFormat="1" x14ac:dyDescent="0.2">
      <c r="G509" s="1203"/>
      <c r="H509" s="1204"/>
      <c r="I509" s="1243"/>
      <c r="J509" s="1243"/>
      <c r="K509" s="1192"/>
      <c r="L509" s="1401"/>
      <c r="M509" s="1192"/>
      <c r="N509" s="1211"/>
      <c r="O509" s="1211"/>
      <c r="P509" s="1211"/>
      <c r="Q509" s="1211"/>
      <c r="R509" s="1211"/>
      <c r="S509" s="1211"/>
      <c r="T509" s="1209"/>
    </row>
    <row r="510" spans="7:20" s="1191" customFormat="1" x14ac:dyDescent="0.2">
      <c r="G510" s="1203"/>
      <c r="H510" s="1204"/>
      <c r="I510" s="1243"/>
      <c r="J510" s="1243"/>
      <c r="K510" s="1192"/>
      <c r="L510" s="1401"/>
      <c r="M510" s="1192"/>
      <c r="N510" s="1211"/>
      <c r="O510" s="1211"/>
      <c r="P510" s="1211"/>
      <c r="Q510" s="1211"/>
      <c r="R510" s="1211"/>
      <c r="S510" s="1211"/>
      <c r="T510" s="1209"/>
    </row>
    <row r="511" spans="7:20" s="1191" customFormat="1" x14ac:dyDescent="0.2">
      <c r="G511" s="1203"/>
      <c r="H511" s="1204"/>
      <c r="I511" s="1243"/>
      <c r="J511" s="1243"/>
      <c r="K511" s="1192"/>
      <c r="L511" s="1401"/>
      <c r="M511" s="1192"/>
      <c r="N511" s="1211"/>
      <c r="O511" s="1211"/>
      <c r="P511" s="1211"/>
      <c r="Q511" s="1211"/>
      <c r="R511" s="1211"/>
      <c r="S511" s="1211"/>
      <c r="T511" s="1209"/>
    </row>
    <row r="512" spans="7:20" s="1191" customFormat="1" x14ac:dyDescent="0.2">
      <c r="G512" s="1203"/>
      <c r="H512" s="1204"/>
      <c r="I512" s="1243"/>
      <c r="J512" s="1243"/>
      <c r="K512" s="1192"/>
      <c r="L512" s="1401"/>
      <c r="M512" s="1192"/>
      <c r="N512" s="1211"/>
      <c r="O512" s="1211"/>
      <c r="P512" s="1211"/>
      <c r="Q512" s="1211"/>
      <c r="R512" s="1211"/>
      <c r="S512" s="1211"/>
      <c r="T512" s="1209"/>
    </row>
    <row r="513" spans="7:20" s="1191" customFormat="1" x14ac:dyDescent="0.2">
      <c r="G513" s="1203"/>
      <c r="H513" s="1204"/>
      <c r="I513" s="1243"/>
      <c r="J513" s="1243"/>
      <c r="K513" s="1192"/>
      <c r="L513" s="1401"/>
      <c r="M513" s="1192"/>
      <c r="N513" s="1211"/>
      <c r="O513" s="1211"/>
      <c r="P513" s="1211"/>
      <c r="Q513" s="1211"/>
      <c r="R513" s="1211"/>
      <c r="S513" s="1211"/>
      <c r="T513" s="1209"/>
    </row>
    <row r="514" spans="7:20" s="1191" customFormat="1" x14ac:dyDescent="0.2">
      <c r="G514" s="1203"/>
      <c r="H514" s="1204"/>
      <c r="I514" s="1243"/>
      <c r="J514" s="1243"/>
      <c r="K514" s="1192"/>
      <c r="L514" s="1401"/>
      <c r="M514" s="1192"/>
      <c r="N514" s="1211"/>
      <c r="O514" s="1211"/>
      <c r="P514" s="1211"/>
      <c r="Q514" s="1211"/>
      <c r="R514" s="1211"/>
      <c r="S514" s="1211"/>
      <c r="T514" s="1209"/>
    </row>
    <row r="515" spans="7:20" s="1191" customFormat="1" x14ac:dyDescent="0.2">
      <c r="G515" s="1203"/>
      <c r="H515" s="1204"/>
      <c r="I515" s="1243"/>
      <c r="J515" s="1243"/>
      <c r="K515" s="1204"/>
      <c r="L515" s="1401"/>
      <c r="M515" s="1192"/>
      <c r="N515" s="1211"/>
      <c r="O515" s="1211"/>
      <c r="P515" s="1211"/>
      <c r="Q515" s="1211"/>
      <c r="R515" s="1211"/>
      <c r="S515" s="1211"/>
      <c r="T515" s="1209"/>
    </row>
    <row r="516" spans="7:20" s="1191" customFormat="1" x14ac:dyDescent="0.2">
      <c r="G516" s="1203"/>
      <c r="H516" s="1204"/>
      <c r="I516" s="1243"/>
      <c r="J516" s="1243"/>
      <c r="K516" s="1204"/>
      <c r="L516" s="1401"/>
      <c r="M516" s="1204"/>
      <c r="N516" s="1211"/>
      <c r="O516" s="1211"/>
      <c r="P516" s="1211"/>
      <c r="Q516" s="1211"/>
      <c r="R516" s="1211"/>
      <c r="S516" s="1211"/>
      <c r="T516" s="1209"/>
    </row>
    <row r="517" spans="7:20" s="1191" customFormat="1" x14ac:dyDescent="0.2">
      <c r="G517" s="1203"/>
      <c r="H517" s="1204"/>
      <c r="I517" s="1243"/>
      <c r="J517" s="1243"/>
      <c r="K517" s="1204"/>
      <c r="L517" s="1401"/>
      <c r="M517" s="1204"/>
      <c r="N517" s="1211"/>
      <c r="O517" s="1211"/>
      <c r="P517" s="1211"/>
      <c r="Q517" s="1211"/>
      <c r="R517" s="1211"/>
      <c r="S517" s="1211"/>
      <c r="T517" s="1209"/>
    </row>
    <row r="518" spans="7:20" s="1191" customFormat="1" x14ac:dyDescent="0.2">
      <c r="G518" s="1203"/>
      <c r="H518" s="1204"/>
      <c r="I518" s="1243"/>
      <c r="J518" s="1243"/>
      <c r="K518" s="1204"/>
      <c r="L518" s="1401"/>
      <c r="M518" s="1204"/>
      <c r="N518" s="1211"/>
      <c r="O518" s="1211"/>
      <c r="P518" s="1211"/>
      <c r="Q518" s="1211"/>
      <c r="R518" s="1211"/>
      <c r="S518" s="1211"/>
      <c r="T518" s="1209"/>
    </row>
    <row r="519" spans="7:20" s="1191" customFormat="1" x14ac:dyDescent="0.2">
      <c r="G519" s="1203"/>
      <c r="H519" s="1204"/>
      <c r="I519" s="1243"/>
      <c r="J519" s="1243"/>
      <c r="K519" s="1204"/>
      <c r="L519" s="1401"/>
      <c r="M519" s="1192"/>
      <c r="N519" s="1211"/>
      <c r="O519" s="1211"/>
      <c r="P519" s="1211"/>
      <c r="Q519" s="1211"/>
      <c r="R519" s="1211"/>
      <c r="S519" s="1211"/>
      <c r="T519" s="1209"/>
    </row>
    <row r="520" spans="7:20" s="1191" customFormat="1" x14ac:dyDescent="0.2">
      <c r="G520" s="1203"/>
      <c r="H520" s="1204"/>
      <c r="I520" s="1243"/>
      <c r="J520" s="1243"/>
      <c r="K520" s="1192"/>
      <c r="L520" s="1401"/>
      <c r="M520" s="1192"/>
      <c r="N520" s="1211"/>
      <c r="O520" s="1211"/>
      <c r="P520" s="1211"/>
      <c r="Q520" s="1211"/>
      <c r="R520" s="1211"/>
      <c r="S520" s="1211"/>
      <c r="T520" s="1209"/>
    </row>
    <row r="521" spans="7:20" s="1191" customFormat="1" x14ac:dyDescent="0.2">
      <c r="G521" s="1203"/>
      <c r="H521" s="1204"/>
      <c r="I521" s="1243"/>
      <c r="J521" s="1243"/>
      <c r="K521" s="1192"/>
      <c r="L521" s="1401"/>
      <c r="M521" s="1192"/>
      <c r="N521" s="1211"/>
      <c r="O521" s="1211"/>
      <c r="P521" s="1211"/>
      <c r="Q521" s="1211"/>
      <c r="R521" s="1211"/>
      <c r="S521" s="1211"/>
      <c r="T521" s="1209"/>
    </row>
    <row r="522" spans="7:20" s="1191" customFormat="1" x14ac:dyDescent="0.2">
      <c r="G522" s="1203"/>
      <c r="H522" s="1204"/>
      <c r="I522" s="1243"/>
      <c r="J522" s="1243"/>
      <c r="K522" s="1192"/>
      <c r="L522" s="1401"/>
      <c r="M522" s="1192"/>
      <c r="N522" s="1211"/>
      <c r="O522" s="1211"/>
      <c r="P522" s="1211"/>
      <c r="Q522" s="1211"/>
      <c r="R522" s="1211"/>
      <c r="S522" s="1211"/>
      <c r="T522" s="1209"/>
    </row>
    <row r="523" spans="7:20" s="1191" customFormat="1" x14ac:dyDescent="0.2">
      <c r="G523" s="1203"/>
      <c r="H523" s="1204"/>
      <c r="I523" s="1243"/>
      <c r="J523" s="1243"/>
      <c r="K523" s="1192"/>
      <c r="L523" s="1401"/>
      <c r="M523" s="1192"/>
      <c r="N523" s="1211"/>
      <c r="O523" s="1211"/>
      <c r="P523" s="1211"/>
      <c r="Q523" s="1211"/>
      <c r="R523" s="1211"/>
      <c r="S523" s="1211"/>
      <c r="T523" s="1209"/>
    </row>
    <row r="524" spans="7:20" s="1191" customFormat="1" x14ac:dyDescent="0.2">
      <c r="G524" s="1203"/>
      <c r="H524" s="1204"/>
      <c r="I524" s="1243"/>
      <c r="J524" s="1243"/>
      <c r="K524" s="1192"/>
      <c r="L524" s="1401"/>
      <c r="M524" s="1192"/>
      <c r="N524" s="1211"/>
      <c r="O524" s="1211"/>
      <c r="P524" s="1211"/>
      <c r="Q524" s="1211"/>
      <c r="R524" s="1211"/>
      <c r="S524" s="1211"/>
      <c r="T524" s="1209"/>
    </row>
    <row r="525" spans="7:20" s="1191" customFormat="1" x14ac:dyDescent="0.2">
      <c r="G525" s="1203"/>
      <c r="H525" s="1204"/>
      <c r="I525" s="1243"/>
      <c r="J525" s="1243"/>
      <c r="K525" s="1192"/>
      <c r="L525" s="1401"/>
      <c r="M525" s="1192"/>
      <c r="N525" s="1211"/>
      <c r="O525" s="1211"/>
      <c r="P525" s="1211"/>
      <c r="Q525" s="1211"/>
      <c r="R525" s="1211"/>
      <c r="S525" s="1211"/>
      <c r="T525" s="1209"/>
    </row>
    <row r="526" spans="7:20" s="1191" customFormat="1" x14ac:dyDescent="0.2">
      <c r="G526" s="1203"/>
      <c r="H526" s="1204"/>
      <c r="I526" s="1243"/>
      <c r="J526" s="1243"/>
      <c r="K526" s="1192"/>
      <c r="L526" s="1401"/>
      <c r="M526" s="1192"/>
      <c r="N526" s="1211"/>
      <c r="O526" s="1211"/>
      <c r="P526" s="1211"/>
      <c r="Q526" s="1211"/>
      <c r="R526" s="1211"/>
      <c r="S526" s="1211"/>
      <c r="T526" s="1209"/>
    </row>
    <row r="527" spans="7:20" s="1191" customFormat="1" x14ac:dyDescent="0.2">
      <c r="G527" s="1203"/>
      <c r="H527" s="1204"/>
      <c r="I527" s="1243"/>
      <c r="J527" s="1243"/>
      <c r="K527" s="1192"/>
      <c r="L527" s="1401"/>
      <c r="M527" s="1192"/>
      <c r="N527" s="1211"/>
      <c r="O527" s="1211"/>
      <c r="P527" s="1211"/>
      <c r="Q527" s="1211"/>
      <c r="R527" s="1211"/>
      <c r="S527" s="1211"/>
      <c r="T527" s="1209"/>
    </row>
    <row r="528" spans="7:20" s="1191" customFormat="1" x14ac:dyDescent="0.2">
      <c r="G528" s="1203"/>
      <c r="H528" s="1192"/>
      <c r="I528" s="1243"/>
      <c r="J528" s="1243"/>
      <c r="K528" s="1192"/>
      <c r="L528" s="1401"/>
      <c r="M528" s="1192"/>
      <c r="N528" s="1211"/>
      <c r="O528" s="1211"/>
      <c r="P528" s="1211"/>
      <c r="Q528" s="1211"/>
      <c r="R528" s="1211"/>
      <c r="S528" s="1211"/>
      <c r="T528" s="1209"/>
    </row>
    <row r="529" spans="7:20" s="1191" customFormat="1" ht="18" x14ac:dyDescent="0.25">
      <c r="G529" s="1389" t="s">
        <v>189</v>
      </c>
      <c r="H529" s="1390"/>
      <c r="I529" s="1391"/>
      <c r="J529" s="1391"/>
      <c r="K529" s="1392"/>
      <c r="L529" s="1399"/>
      <c r="M529" s="1392"/>
      <c r="N529" s="1187"/>
      <c r="O529" s="1187"/>
      <c r="P529" s="1187"/>
      <c r="Q529" s="1187"/>
      <c r="R529" s="1187"/>
      <c r="S529" s="1187"/>
      <c r="T529" s="1202"/>
    </row>
    <row r="530" spans="7:20" s="1191" customFormat="1" x14ac:dyDescent="0.2">
      <c r="G530" s="1203"/>
      <c r="H530" s="1394"/>
      <c r="I530" s="1232"/>
      <c r="J530" s="1232"/>
      <c r="K530" s="1394"/>
      <c r="L530" s="1400"/>
      <c r="M530" s="1394"/>
      <c r="N530" s="1211"/>
      <c r="O530" s="1211"/>
      <c r="P530" s="1211"/>
      <c r="Q530" s="1211"/>
      <c r="R530" s="1211"/>
      <c r="S530" s="1211"/>
      <c r="T530" s="1209"/>
    </row>
    <row r="531" spans="7:20" s="1191" customFormat="1" x14ac:dyDescent="0.2">
      <c r="G531" s="1203"/>
      <c r="H531" s="1204"/>
      <c r="I531" s="1243"/>
      <c r="J531" s="1243"/>
      <c r="K531" s="1204"/>
      <c r="L531" s="1401"/>
      <c r="M531" s="1192"/>
      <c r="N531" s="1211"/>
      <c r="O531" s="1211"/>
      <c r="P531" s="1211"/>
      <c r="Q531" s="1211"/>
      <c r="R531" s="1211"/>
      <c r="S531" s="1211"/>
      <c r="T531" s="1209"/>
    </row>
    <row r="532" spans="7:20" s="1191" customFormat="1" x14ac:dyDescent="0.2">
      <c r="G532" s="1203"/>
      <c r="H532" s="1204"/>
      <c r="I532" s="1243"/>
      <c r="J532" s="1243"/>
      <c r="K532" s="1204"/>
      <c r="L532" s="1401"/>
      <c r="M532" s="1204"/>
      <c r="N532" s="1211"/>
      <c r="O532" s="1211"/>
      <c r="P532" s="1211"/>
      <c r="Q532" s="1211"/>
      <c r="R532" s="1211"/>
      <c r="S532" s="1211"/>
      <c r="T532" s="1209"/>
    </row>
    <row r="533" spans="7:20" s="1191" customFormat="1" x14ac:dyDescent="0.2">
      <c r="G533" s="1203"/>
      <c r="H533" s="1204"/>
      <c r="I533" s="1243"/>
      <c r="J533" s="1243"/>
      <c r="K533" s="1204"/>
      <c r="L533" s="1401"/>
      <c r="M533" s="1192"/>
      <c r="N533" s="1211"/>
      <c r="O533" s="1211"/>
      <c r="P533" s="1211"/>
      <c r="Q533" s="1211"/>
      <c r="R533" s="1211"/>
      <c r="S533" s="1211"/>
      <c r="T533" s="1209"/>
    </row>
    <row r="534" spans="7:20" s="1191" customFormat="1" x14ac:dyDescent="0.2">
      <c r="G534" s="1203"/>
      <c r="H534" s="1204"/>
      <c r="I534" s="1243"/>
      <c r="J534" s="1243"/>
      <c r="K534" s="1204"/>
      <c r="L534" s="1401"/>
      <c r="M534" s="1192"/>
      <c r="N534" s="1211"/>
      <c r="O534" s="1211"/>
      <c r="P534" s="1211"/>
      <c r="Q534" s="1211"/>
      <c r="R534" s="1211"/>
      <c r="S534" s="1211"/>
      <c r="T534" s="1209"/>
    </row>
    <row r="535" spans="7:20" s="1191" customFormat="1" x14ac:dyDescent="0.2">
      <c r="G535" s="1203"/>
      <c r="H535" s="1204"/>
      <c r="I535" s="1243"/>
      <c r="J535" s="1243"/>
      <c r="K535" s="1244"/>
      <c r="L535" s="1401"/>
      <c r="M535" s="1192"/>
      <c r="N535" s="1211"/>
      <c r="O535" s="1211"/>
      <c r="P535" s="1211"/>
      <c r="Q535" s="1211"/>
      <c r="R535" s="1211"/>
      <c r="S535" s="1211"/>
      <c r="T535" s="1209"/>
    </row>
    <row r="536" spans="7:20" s="1191" customFormat="1" x14ac:dyDescent="0.2">
      <c r="G536" s="1203"/>
      <c r="H536" s="1204"/>
      <c r="I536" s="1243"/>
      <c r="J536" s="1243"/>
      <c r="K536" s="1405"/>
      <c r="L536" s="1401"/>
      <c r="M536" s="1204"/>
      <c r="N536" s="1211"/>
      <c r="O536" s="1211"/>
      <c r="P536" s="1211"/>
      <c r="Q536" s="1211"/>
      <c r="R536" s="1211"/>
      <c r="S536" s="1211"/>
      <c r="T536" s="1209"/>
    </row>
    <row r="537" spans="7:20" s="1191" customFormat="1" x14ac:dyDescent="0.2">
      <c r="G537" s="1203"/>
      <c r="H537" s="1204"/>
      <c r="I537" s="1243"/>
      <c r="J537" s="1243"/>
      <c r="K537" s="1405"/>
      <c r="L537" s="1401"/>
      <c r="M537" s="1204"/>
      <c r="N537" s="1211"/>
      <c r="O537" s="1211"/>
      <c r="P537" s="1211"/>
      <c r="Q537" s="1211"/>
      <c r="R537" s="1211"/>
      <c r="S537" s="1211"/>
      <c r="T537" s="1209"/>
    </row>
    <row r="538" spans="7:20" s="1191" customFormat="1" x14ac:dyDescent="0.2">
      <c r="G538" s="1203"/>
      <c r="H538" s="1220"/>
      <c r="I538" s="1243"/>
      <c r="J538" s="1243"/>
      <c r="K538" s="1405"/>
      <c r="L538" s="1401"/>
      <c r="M538" s="1204"/>
      <c r="N538" s="1211"/>
      <c r="O538" s="1211"/>
      <c r="P538" s="1211"/>
      <c r="Q538" s="1211"/>
      <c r="R538" s="1211"/>
      <c r="S538" s="1211"/>
      <c r="T538" s="1209"/>
    </row>
    <row r="539" spans="7:20" s="1191" customFormat="1" x14ac:dyDescent="0.2">
      <c r="G539" s="1203"/>
      <c r="H539" s="1204"/>
      <c r="I539" s="1243"/>
      <c r="J539" s="1243"/>
      <c r="K539" s="1405"/>
      <c r="L539" s="1401"/>
      <c r="M539" s="1204"/>
      <c r="N539" s="1211"/>
      <c r="O539" s="1211"/>
      <c r="P539" s="1211"/>
      <c r="Q539" s="1211"/>
      <c r="R539" s="1211"/>
      <c r="S539" s="1211"/>
      <c r="T539" s="1209"/>
    </row>
    <row r="540" spans="7:20" s="1191" customFormat="1" x14ac:dyDescent="0.2">
      <c r="G540" s="1203"/>
      <c r="H540" s="1204"/>
      <c r="I540" s="1243"/>
      <c r="J540" s="1243"/>
      <c r="K540" s="1204"/>
      <c r="L540" s="1401"/>
      <c r="M540" s="1192"/>
      <c r="N540" s="1211"/>
      <c r="O540" s="1211"/>
      <c r="P540" s="1211"/>
      <c r="Q540" s="1211"/>
      <c r="R540" s="1211"/>
      <c r="S540" s="1211"/>
      <c r="T540" s="1209"/>
    </row>
    <row r="541" spans="7:20" s="1191" customFormat="1" x14ac:dyDescent="0.2">
      <c r="G541" s="1203"/>
      <c r="H541" s="1368"/>
      <c r="I541" s="1243"/>
      <c r="J541" s="1243"/>
      <c r="K541" s="1204"/>
      <c r="L541" s="1401"/>
      <c r="M541" s="1192"/>
      <c r="N541" s="1211"/>
      <c r="O541" s="1211"/>
      <c r="P541" s="1211"/>
      <c r="Q541" s="1211"/>
      <c r="R541" s="1211"/>
      <c r="S541" s="1211"/>
      <c r="T541" s="1209"/>
    </row>
    <row r="542" spans="7:20" s="1191" customFormat="1" x14ac:dyDescent="0.2">
      <c r="G542" s="1203"/>
      <c r="H542" s="1204"/>
      <c r="I542" s="1243"/>
      <c r="J542" s="1243"/>
      <c r="K542" s="1204"/>
      <c r="L542" s="1401"/>
      <c r="M542" s="1192"/>
      <c r="N542" s="1211"/>
      <c r="O542" s="1211"/>
      <c r="P542" s="1211"/>
      <c r="Q542" s="1211"/>
      <c r="R542" s="1211"/>
      <c r="S542" s="1211"/>
      <c r="T542" s="1209"/>
    </row>
    <row r="543" spans="7:20" s="1191" customFormat="1" x14ac:dyDescent="0.2">
      <c r="G543" s="1203"/>
      <c r="H543" s="1204"/>
      <c r="I543" s="1243"/>
      <c r="J543" s="1243"/>
      <c r="K543" s="1204"/>
      <c r="L543" s="1401"/>
      <c r="M543" s="1192"/>
      <c r="N543" s="1211"/>
      <c r="O543" s="1211"/>
      <c r="P543" s="1211"/>
      <c r="Q543" s="1211"/>
      <c r="R543" s="1211"/>
      <c r="S543" s="1211"/>
      <c r="T543" s="1209"/>
    </row>
    <row r="544" spans="7:20" s="1191" customFormat="1" x14ac:dyDescent="0.2">
      <c r="G544" s="1203"/>
      <c r="H544" s="1192"/>
      <c r="I544" s="1243"/>
      <c r="J544" s="1243"/>
      <c r="K544" s="1192"/>
      <c r="L544" s="1401"/>
      <c r="M544" s="1192"/>
      <c r="N544" s="1211"/>
      <c r="O544" s="1211"/>
      <c r="P544" s="1211"/>
      <c r="Q544" s="1211"/>
      <c r="R544" s="1211"/>
      <c r="S544" s="1211"/>
      <c r="T544" s="1209"/>
    </row>
    <row r="545" spans="7:20" s="1191" customFormat="1" ht="18" x14ac:dyDescent="0.25">
      <c r="G545" s="1389" t="s">
        <v>211</v>
      </c>
      <c r="H545" s="1390"/>
      <c r="I545" s="1391"/>
      <c r="J545" s="1391"/>
      <c r="K545" s="1392"/>
      <c r="L545" s="1393"/>
      <c r="M545" s="1195"/>
      <c r="N545" s="1187"/>
      <c r="O545" s="1187"/>
      <c r="P545" s="1187"/>
      <c r="Q545" s="1187"/>
      <c r="R545" s="1187"/>
      <c r="S545" s="1187"/>
      <c r="T545" s="1202"/>
    </row>
    <row r="546" spans="7:20" s="1191" customFormat="1" x14ac:dyDescent="0.2">
      <c r="G546" s="1203"/>
      <c r="H546" s="1394"/>
      <c r="I546" s="1232"/>
      <c r="J546" s="1232"/>
      <c r="K546" s="1394"/>
      <c r="L546" s="1233"/>
      <c r="M546" s="1395"/>
      <c r="N546" s="1211"/>
      <c r="O546" s="1211"/>
      <c r="P546" s="1211"/>
      <c r="Q546" s="1211"/>
      <c r="R546" s="1211"/>
      <c r="S546" s="1211"/>
      <c r="T546" s="1209"/>
    </row>
    <row r="547" spans="7:20" s="1191" customFormat="1" x14ac:dyDescent="0.2">
      <c r="G547" s="1203"/>
      <c r="H547" s="1204"/>
      <c r="I547" s="1243"/>
      <c r="J547" s="1235"/>
      <c r="K547" s="1204"/>
      <c r="L547" s="1216"/>
      <c r="M547" s="1339"/>
      <c r="N547" s="1211"/>
      <c r="O547" s="1211"/>
      <c r="P547" s="1211"/>
      <c r="Q547" s="1211"/>
      <c r="R547" s="1211"/>
      <c r="S547" s="1211"/>
      <c r="T547" s="1209"/>
    </row>
    <row r="548" spans="7:20" s="1191" customFormat="1" x14ac:dyDescent="0.2">
      <c r="G548" s="1203"/>
      <c r="H548" s="1368"/>
      <c r="I548" s="1189"/>
      <c r="J548" s="1406"/>
      <c r="K548" s="1368"/>
      <c r="L548" s="1107"/>
      <c r="M548" s="1203"/>
      <c r="N548" s="1211"/>
      <c r="O548" s="1211"/>
      <c r="P548" s="1211"/>
      <c r="Q548" s="1211"/>
      <c r="R548" s="1211"/>
      <c r="S548" s="1211"/>
      <c r="T548" s="1209"/>
    </row>
    <row r="549" spans="7:20" s="1191" customFormat="1" x14ac:dyDescent="0.2">
      <c r="G549" s="1203"/>
      <c r="H549" s="1368"/>
      <c r="I549" s="1189"/>
      <c r="J549" s="1406"/>
      <c r="K549" s="1368"/>
      <c r="L549" s="1107"/>
      <c r="M549" s="1203"/>
      <c r="N549" s="1211"/>
      <c r="O549" s="1211"/>
      <c r="P549" s="1211"/>
      <c r="Q549" s="1211"/>
      <c r="R549" s="1211"/>
      <c r="S549" s="1211"/>
      <c r="T549" s="1209"/>
    </row>
    <row r="550" spans="7:20" s="1191" customFormat="1" x14ac:dyDescent="0.2">
      <c r="G550" s="1203"/>
      <c r="H550" s="1368"/>
      <c r="I550" s="1189"/>
      <c r="J550" s="1406"/>
      <c r="K550" s="1368"/>
      <c r="L550" s="1107"/>
      <c r="M550" s="1203"/>
      <c r="N550" s="1211"/>
      <c r="O550" s="1211"/>
      <c r="P550" s="1211"/>
      <c r="Q550" s="1211"/>
      <c r="R550" s="1211"/>
      <c r="S550" s="1211"/>
      <c r="T550" s="1209"/>
    </row>
    <row r="551" spans="7:20" s="1191" customFormat="1" x14ac:dyDescent="0.2">
      <c r="G551" s="1203"/>
      <c r="H551" s="1204"/>
      <c r="I551" s="1243"/>
      <c r="J551" s="1407"/>
      <c r="K551" s="1368"/>
      <c r="L551" s="1216"/>
      <c r="M551" s="1203"/>
      <c r="N551" s="1211"/>
      <c r="O551" s="1211"/>
      <c r="P551" s="1211"/>
      <c r="Q551" s="1211"/>
      <c r="R551" s="1211"/>
      <c r="S551" s="1211"/>
      <c r="T551" s="1209"/>
    </row>
    <row r="552" spans="7:20" s="1191" customFormat="1" x14ac:dyDescent="0.2">
      <c r="G552" s="1203"/>
      <c r="H552" s="1204"/>
      <c r="I552" s="1243"/>
      <c r="J552" s="1243"/>
      <c r="K552" s="1204"/>
      <c r="L552" s="1216"/>
      <c r="M552" s="1203"/>
      <c r="N552" s="1211"/>
      <c r="O552" s="1211"/>
      <c r="P552" s="1211"/>
      <c r="Q552" s="1211"/>
      <c r="R552" s="1211"/>
      <c r="S552" s="1211"/>
      <c r="T552" s="1209"/>
    </row>
    <row r="553" spans="7:20" s="1191" customFormat="1" x14ac:dyDescent="0.2">
      <c r="G553" s="1203"/>
      <c r="H553" s="1192"/>
      <c r="I553" s="1243"/>
      <c r="J553" s="1243"/>
      <c r="K553" s="1192"/>
      <c r="L553" s="1216"/>
      <c r="M553" s="1203"/>
      <c r="N553" s="1211"/>
      <c r="O553" s="1211"/>
      <c r="P553" s="1211"/>
      <c r="Q553" s="1211"/>
      <c r="R553" s="1211"/>
      <c r="S553" s="1211"/>
      <c r="T553" s="1209"/>
    </row>
    <row r="554" spans="7:20" s="1191" customFormat="1" x14ac:dyDescent="0.2">
      <c r="G554" s="1203"/>
      <c r="H554" s="1192"/>
      <c r="I554" s="1243"/>
      <c r="J554" s="1243"/>
      <c r="K554" s="1192"/>
      <c r="L554" s="1216"/>
      <c r="M554" s="1203"/>
      <c r="N554" s="1211"/>
      <c r="O554" s="1211"/>
      <c r="P554" s="1211"/>
      <c r="Q554" s="1211"/>
      <c r="R554" s="1211"/>
      <c r="S554" s="1211"/>
      <c r="T554" s="1209"/>
    </row>
    <row r="555" spans="7:20" s="1191" customFormat="1" x14ac:dyDescent="0.2">
      <c r="G555" s="1203"/>
      <c r="H555" s="1192"/>
      <c r="I555" s="1243"/>
      <c r="J555" s="1243"/>
      <c r="K555" s="1192"/>
      <c r="L555" s="1216"/>
      <c r="M555" s="1203"/>
      <c r="N555" s="1211"/>
      <c r="O555" s="1211"/>
      <c r="P555" s="1211"/>
      <c r="Q555" s="1211"/>
      <c r="R555" s="1211"/>
      <c r="S555" s="1211"/>
      <c r="T555" s="1209"/>
    </row>
    <row r="556" spans="7:20" s="1191" customFormat="1" x14ac:dyDescent="0.2">
      <c r="G556" s="1203"/>
      <c r="H556" s="1192"/>
      <c r="I556" s="1243"/>
      <c r="J556" s="1243"/>
      <c r="K556" s="1192"/>
      <c r="L556" s="1216"/>
      <c r="M556" s="1203"/>
      <c r="N556" s="1211"/>
      <c r="O556" s="1211"/>
      <c r="P556" s="1211"/>
      <c r="Q556" s="1211"/>
      <c r="R556" s="1211"/>
      <c r="S556" s="1211"/>
      <c r="T556" s="1209"/>
    </row>
    <row r="557" spans="7:20" s="1191" customFormat="1" x14ac:dyDescent="0.2">
      <c r="G557" s="1203"/>
      <c r="H557" s="1192"/>
      <c r="I557" s="1243"/>
      <c r="J557" s="1243"/>
      <c r="K557" s="1192"/>
      <c r="L557" s="1216"/>
      <c r="M557" s="1203"/>
      <c r="N557" s="1211"/>
      <c r="O557" s="1211"/>
      <c r="P557" s="1211"/>
      <c r="Q557" s="1211"/>
      <c r="R557" s="1211"/>
      <c r="S557" s="1211"/>
      <c r="T557" s="1209"/>
    </row>
    <row r="558" spans="7:20" s="1191" customFormat="1" x14ac:dyDescent="0.2">
      <c r="G558" s="1224"/>
      <c r="H558" s="1225"/>
      <c r="I558" s="1226"/>
      <c r="J558" s="1226"/>
      <c r="K558" s="1225"/>
      <c r="L558" s="1227"/>
      <c r="M558" s="1224"/>
      <c r="N558" s="1229"/>
      <c r="O558" s="1229"/>
      <c r="P558" s="1229"/>
      <c r="Q558" s="1229"/>
      <c r="R558" s="1229"/>
      <c r="S558" s="1229"/>
      <c r="T558" s="1228"/>
    </row>
    <row r="564" spans="7:13" s="1191" customFormat="1" x14ac:dyDescent="0.2">
      <c r="G564" s="1107"/>
      <c r="H564" s="1204"/>
      <c r="I564" s="1235"/>
      <c r="J564" s="1243"/>
      <c r="K564" s="1107"/>
      <c r="L564" s="1401"/>
      <c r="M564" s="1107"/>
    </row>
    <row r="565" spans="7:13" x14ac:dyDescent="0.2">
      <c r="H565" s="1204"/>
      <c r="I565" s="1235"/>
      <c r="J565" s="1243"/>
      <c r="L565" s="1401"/>
    </row>
    <row r="566" spans="7:13" x14ac:dyDescent="0.2">
      <c r="H566" s="1204"/>
      <c r="I566" s="1235"/>
      <c r="J566" s="1243"/>
      <c r="L566" s="1401"/>
    </row>
    <row r="567" spans="7:13" x14ac:dyDescent="0.2">
      <c r="H567" s="1204"/>
      <c r="I567" s="1235"/>
      <c r="J567" s="1243"/>
      <c r="L567" s="1401"/>
    </row>
    <row r="568" spans="7:13" x14ac:dyDescent="0.2">
      <c r="H568" s="1204"/>
      <c r="I568" s="1319"/>
      <c r="J568" s="1243"/>
      <c r="L568" s="1401"/>
    </row>
    <row r="569" spans="7:13" x14ac:dyDescent="0.2">
      <c r="H569" s="1204"/>
      <c r="I569" s="1319"/>
      <c r="J569" s="1243"/>
      <c r="L569" s="1401"/>
    </row>
  </sheetData>
  <sheetProtection password="C82C" sheet="1" objects="1" scenarios="1" selectLockedCells="1"/>
  <pageMargins left="0.70866141732283472" right="0.70866141732283472" top="0.74803149606299213" bottom="0.74803149606299213" header="0.31496062992125984" footer="0.31496062992125984"/>
  <pageSetup paperSize="9" scale="61" fitToHeight="0" orientation="portrait" r:id="rId1"/>
  <headerFooter>
    <oddHeader>&amp;LPUBLIC&amp;CEfficient Costs of New Entrant Ethanol Producers&amp;R&amp;G</oddHeader>
    <oddFooter>&amp;L&amp;F:&amp;A&amp;C&amp;D&amp;R&amp;P of &amp;N</oddFooter>
  </headerFooter>
  <rowBreaks count="3" manualBreakCount="3">
    <brk id="76" min="7" max="13" man="1"/>
    <brk id="160" min="7" max="13" man="1"/>
    <brk id="247" min="7" max="13"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'Wheat Standalone (Starch)'!$S$156:$S$157</xm:f>
          </x14:formula1>
          <xm:sqref>O157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A435"/>
  <sheetViews>
    <sheetView topLeftCell="G3" zoomScaleNormal="100" workbookViewId="0">
      <selection activeCell="G4" sqref="G4"/>
    </sheetView>
  </sheetViews>
  <sheetFormatPr defaultRowHeight="12.75" x14ac:dyDescent="0.2"/>
  <cols>
    <col min="1" max="2" width="9.140625" style="1107" hidden="1" customWidth="1"/>
    <col min="3" max="3" width="4.42578125" style="1107" hidden="1" customWidth="1"/>
    <col min="4" max="4" width="11.5703125" style="1107" hidden="1" customWidth="1"/>
    <col min="5" max="5" width="4.28515625" style="1107" hidden="1" customWidth="1"/>
    <col min="6" max="6" width="4.7109375" style="1107" hidden="1" customWidth="1"/>
    <col min="7" max="7" width="45.85546875" style="1107" customWidth="1"/>
    <col min="8" max="8" width="17.7109375" style="1189" customWidth="1"/>
    <col min="9" max="9" width="13.28515625" style="1107" customWidth="1"/>
    <col min="10" max="10" width="17" style="1107" customWidth="1"/>
    <col min="11" max="11" width="16.28515625" style="1190" customWidth="1"/>
    <col min="12" max="12" width="13.28515625" style="1107" customWidth="1"/>
    <col min="13" max="13" width="13.7109375" style="1107" customWidth="1"/>
    <col min="14" max="17" width="14.28515625" style="1107" customWidth="1"/>
    <col min="18" max="18" width="13.85546875" style="1107" customWidth="1"/>
    <col min="19" max="19" width="13.140625" style="1107" customWidth="1"/>
    <col min="20" max="20" width="14.28515625" style="1107" bestFit="1" customWidth="1"/>
    <col min="21" max="23" width="14.28515625" style="1107" hidden="1" customWidth="1"/>
    <col min="24" max="25" width="14.28515625" style="1107" bestFit="1" customWidth="1"/>
    <col min="26" max="16384" width="9.140625" style="1107"/>
  </cols>
  <sheetData>
    <row r="1" spans="3:23" ht="20.25" hidden="1" x14ac:dyDescent="0.3">
      <c r="C1" s="1188"/>
      <c r="D1" s="1188"/>
      <c r="E1" s="1188"/>
      <c r="F1" s="1188"/>
      <c r="G1" s="1188"/>
    </row>
    <row r="2" spans="3:23" hidden="1" x14ac:dyDescent="0.2">
      <c r="G2" s="1192"/>
    </row>
    <row r="3" spans="3:23" ht="23.25" x14ac:dyDescent="0.35">
      <c r="C3" s="1193"/>
      <c r="D3" s="1412"/>
      <c r="E3" s="1412"/>
      <c r="G3" s="1194" t="s">
        <v>725</v>
      </c>
    </row>
    <row r="4" spans="3:23" ht="25.5" x14ac:dyDescent="0.2">
      <c r="C4" s="1195"/>
      <c r="D4" s="1195"/>
      <c r="E4" s="1195"/>
      <c r="F4" s="1196" t="s">
        <v>0</v>
      </c>
      <c r="G4" s="1197" t="s">
        <v>1</v>
      </c>
      <c r="H4" s="1198" t="s">
        <v>2</v>
      </c>
      <c r="I4" s="1198" t="s">
        <v>3</v>
      </c>
      <c r="J4" s="1198" t="s">
        <v>4</v>
      </c>
      <c r="K4" s="1199" t="s">
        <v>5</v>
      </c>
      <c r="L4" s="1198" t="s">
        <v>6</v>
      </c>
      <c r="M4" s="1413"/>
      <c r="N4" s="1197" t="s">
        <v>7</v>
      </c>
      <c r="O4" s="1392"/>
      <c r="P4" s="1392"/>
      <c r="Q4" s="1392"/>
      <c r="R4" s="1392"/>
      <c r="S4" s="1413"/>
    </row>
    <row r="5" spans="3:23" x14ac:dyDescent="0.2">
      <c r="C5" s="1203"/>
      <c r="D5" s="1203"/>
      <c r="E5" s="1203"/>
      <c r="F5" s="1203"/>
      <c r="G5" s="1313" t="s">
        <v>810</v>
      </c>
      <c r="H5" s="1205">
        <v>1</v>
      </c>
      <c r="I5" s="1206">
        <v>0.46400000000000002</v>
      </c>
      <c r="J5" s="1206">
        <v>0.78</v>
      </c>
      <c r="K5" s="1208">
        <f>$I$46*H5/I5</f>
        <v>1132.6139793110297</v>
      </c>
      <c r="L5" s="1211">
        <f>K5*$I$16</f>
        <v>380331.77425264375</v>
      </c>
      <c r="M5" s="1369"/>
      <c r="N5" s="1204" t="s">
        <v>9</v>
      </c>
      <c r="O5" s="1192"/>
      <c r="P5" s="1192"/>
      <c r="Q5" s="1192"/>
      <c r="R5" s="1192"/>
      <c r="S5" s="1369"/>
    </row>
    <row r="6" spans="3:23" x14ac:dyDescent="0.2">
      <c r="C6" s="1203"/>
      <c r="D6" s="1203"/>
      <c r="E6" s="1203"/>
      <c r="F6" s="1203"/>
      <c r="G6" s="1204" t="s">
        <v>10</v>
      </c>
      <c r="H6" s="1205">
        <v>0</v>
      </c>
      <c r="I6" s="1206">
        <v>0.52</v>
      </c>
      <c r="J6" s="1206">
        <v>0.78</v>
      </c>
      <c r="K6" s="1208">
        <f>$I$46*H6/I6</f>
        <v>0</v>
      </c>
      <c r="L6" s="1211">
        <f>K6*$I$16</f>
        <v>0</v>
      </c>
      <c r="M6" s="1369"/>
      <c r="N6" s="1204" t="s">
        <v>11</v>
      </c>
      <c r="O6" s="1192"/>
      <c r="P6" s="1192"/>
      <c r="Q6" s="1192"/>
      <c r="R6" s="1192"/>
      <c r="S6" s="1369"/>
      <c r="U6" s="1107">
        <v>3.8</v>
      </c>
      <c r="V6" s="1107">
        <v>120</v>
      </c>
      <c r="W6" s="1107">
        <f>U6*V6/1000</f>
        <v>0.45600000000000002</v>
      </c>
    </row>
    <row r="7" spans="3:23" x14ac:dyDescent="0.2">
      <c r="C7" s="1203"/>
      <c r="D7" s="1203"/>
      <c r="E7" s="1203"/>
      <c r="F7" s="1203"/>
      <c r="G7" s="1204" t="s">
        <v>12</v>
      </c>
      <c r="H7" s="1205">
        <v>0</v>
      </c>
      <c r="I7" s="1206">
        <v>0.6</v>
      </c>
      <c r="J7" s="1206">
        <v>0.78</v>
      </c>
      <c r="K7" s="1208">
        <f>$I$46*H7/I7</f>
        <v>0</v>
      </c>
      <c r="L7" s="1211">
        <f>K7*$I$16</f>
        <v>0</v>
      </c>
      <c r="M7" s="1369"/>
      <c r="N7" s="1192"/>
      <c r="O7" s="1192"/>
      <c r="P7" s="1192"/>
      <c r="Q7" s="1192"/>
      <c r="R7" s="1192"/>
      <c r="S7" s="1369"/>
      <c r="U7" s="1107">
        <v>3.4</v>
      </c>
      <c r="V7" s="1107">
        <v>177</v>
      </c>
      <c r="W7" s="1107">
        <f>U7*V7/1000</f>
        <v>0.6018</v>
      </c>
    </row>
    <row r="8" spans="3:23" x14ac:dyDescent="0.2">
      <c r="C8" s="1203"/>
      <c r="D8" s="1203"/>
      <c r="E8" s="1203"/>
      <c r="F8" s="1203"/>
      <c r="G8" s="1204" t="s">
        <v>13</v>
      </c>
      <c r="H8" s="1205">
        <v>0</v>
      </c>
      <c r="I8" s="1206">
        <v>1.034</v>
      </c>
      <c r="J8" s="1206">
        <v>0.98499999999999999</v>
      </c>
      <c r="K8" s="1208">
        <f>$I$46*H8/I8</f>
        <v>0</v>
      </c>
      <c r="L8" s="1211">
        <f>K8*$I$16</f>
        <v>0</v>
      </c>
      <c r="M8" s="1369"/>
      <c r="N8" s="1192"/>
      <c r="O8" s="1192"/>
      <c r="P8" s="1192"/>
      <c r="Q8" s="1192"/>
      <c r="R8" s="1192"/>
      <c r="S8" s="1369"/>
      <c r="U8" s="1107">
        <v>2.9</v>
      </c>
      <c r="V8" s="1107">
        <v>257</v>
      </c>
      <c r="W8" s="1107">
        <f>U8*V8/1000</f>
        <v>0.74529999999999996</v>
      </c>
    </row>
    <row r="9" spans="3:23" x14ac:dyDescent="0.2">
      <c r="C9" s="1203"/>
      <c r="D9" s="1203"/>
      <c r="E9" s="1203"/>
      <c r="F9" s="1203"/>
      <c r="G9" s="1204" t="s">
        <v>14</v>
      </c>
      <c r="H9" s="1205">
        <v>0</v>
      </c>
      <c r="I9" s="1206">
        <v>0.1</v>
      </c>
      <c r="J9" s="1206">
        <v>0</v>
      </c>
      <c r="K9" s="1208">
        <f>$I$46*H9/I9</f>
        <v>0</v>
      </c>
      <c r="L9" s="1211">
        <f>K9*$I$16</f>
        <v>0</v>
      </c>
      <c r="M9" s="1369"/>
      <c r="N9" s="1204" t="s">
        <v>15</v>
      </c>
      <c r="O9" s="1192"/>
      <c r="P9" s="1192"/>
      <c r="Q9" s="1192"/>
      <c r="R9" s="1192"/>
      <c r="S9" s="1369"/>
    </row>
    <row r="10" spans="3:23" x14ac:dyDescent="0.2">
      <c r="C10" s="1203"/>
      <c r="D10" s="1203"/>
      <c r="E10" s="1203"/>
      <c r="F10" s="1203"/>
      <c r="G10" s="1212" t="s">
        <v>16</v>
      </c>
      <c r="H10" s="1213">
        <f>SUM(H5:H9)</f>
        <v>1</v>
      </c>
      <c r="I10" s="1214">
        <f>SUMPRODUCT(H5:H9,I5:I9)</f>
        <v>0.46400000000000002</v>
      </c>
      <c r="J10" s="1220"/>
      <c r="K10" s="1217">
        <f>SUM(K5:K9)</f>
        <v>1132.6139793110297</v>
      </c>
      <c r="L10" s="1256">
        <f>SUM(L5:L9)</f>
        <v>380331.77425264375</v>
      </c>
      <c r="M10" s="1369"/>
      <c r="N10" s="1192"/>
      <c r="O10" s="1192"/>
      <c r="P10" s="1192"/>
      <c r="Q10" s="1192"/>
      <c r="R10" s="1192"/>
      <c r="S10" s="1369"/>
    </row>
    <row r="11" spans="3:23" x14ac:dyDescent="0.2">
      <c r="C11" s="1203"/>
      <c r="D11" s="1203"/>
      <c r="E11" s="1203"/>
      <c r="F11" s="1203"/>
      <c r="G11" s="1204" t="s">
        <v>17</v>
      </c>
      <c r="H11" s="1243"/>
      <c r="I11" s="1192"/>
      <c r="J11" s="1192"/>
      <c r="K11" s="1216"/>
      <c r="L11" s="1192"/>
      <c r="M11" s="1369"/>
      <c r="N11" s="1192"/>
      <c r="O11" s="1192"/>
      <c r="P11" s="1192"/>
      <c r="Q11" s="1192"/>
      <c r="R11" s="1192"/>
      <c r="S11" s="1369"/>
    </row>
    <row r="12" spans="3:23" x14ac:dyDescent="0.2">
      <c r="C12" s="1203"/>
      <c r="D12" s="1203"/>
      <c r="E12" s="1203"/>
      <c r="F12" s="1224"/>
      <c r="G12" s="1225"/>
      <c r="H12" s="1226"/>
      <c r="I12" s="1225"/>
      <c r="J12" s="1225"/>
      <c r="K12" s="1227"/>
      <c r="L12" s="1225"/>
      <c r="M12" s="1386"/>
      <c r="N12" s="1225"/>
      <c r="O12" s="1225"/>
      <c r="P12" s="1225"/>
      <c r="Q12" s="1225"/>
      <c r="R12" s="1225"/>
      <c r="S12" s="1386"/>
    </row>
    <row r="13" spans="3:23" x14ac:dyDescent="0.2">
      <c r="C13" s="1203"/>
      <c r="D13" s="1203"/>
      <c r="E13" s="1203"/>
      <c r="F13" s="1196" t="s">
        <v>18</v>
      </c>
      <c r="G13" s="1275" t="s">
        <v>19</v>
      </c>
      <c r="H13" s="1276" t="s">
        <v>20</v>
      </c>
      <c r="I13" s="1276" t="s">
        <v>21</v>
      </c>
      <c r="J13" s="1276"/>
      <c r="K13" s="1414" t="s">
        <v>22</v>
      </c>
      <c r="L13" s="1276" t="s">
        <v>23</v>
      </c>
      <c r="M13" s="1413"/>
      <c r="N13" s="1275" t="s">
        <v>7</v>
      </c>
      <c r="O13" s="1392"/>
      <c r="P13" s="1392"/>
      <c r="Q13" s="1392"/>
      <c r="R13" s="1392"/>
      <c r="S13" s="1413"/>
    </row>
    <row r="14" spans="3:23" x14ac:dyDescent="0.2">
      <c r="C14" s="1203"/>
      <c r="D14" s="1203"/>
      <c r="E14" s="1203"/>
      <c r="F14" s="1230"/>
      <c r="G14" s="1204" t="s">
        <v>24</v>
      </c>
      <c r="H14" s="1235" t="s">
        <v>25</v>
      </c>
      <c r="I14" s="1236">
        <f>Assumptions!$C$5</f>
        <v>100</v>
      </c>
      <c r="J14" s="1192"/>
      <c r="K14" s="1279">
        <f>Assumptions!$J$30</f>
        <v>0.9</v>
      </c>
      <c r="L14" s="1238">
        <f>I14*K14*1000000</f>
        <v>90000000</v>
      </c>
      <c r="M14" s="1369"/>
      <c r="N14" s="1415">
        <f>K14/0.68</f>
        <v>1.3235294117647058</v>
      </c>
      <c r="O14" s="1204" t="s">
        <v>26</v>
      </c>
      <c r="P14" s="1192"/>
      <c r="Q14" s="1192"/>
      <c r="R14" s="1192"/>
      <c r="S14" s="1369"/>
    </row>
    <row r="15" spans="3:23" x14ac:dyDescent="0.2">
      <c r="C15" s="1203"/>
      <c r="D15" s="1203"/>
      <c r="E15" s="1203"/>
      <c r="F15" s="1203"/>
      <c r="G15" s="1204" t="s">
        <v>27</v>
      </c>
      <c r="H15" s="1235" t="s">
        <v>28</v>
      </c>
      <c r="I15" s="1239">
        <v>0.92</v>
      </c>
      <c r="J15" s="1192"/>
      <c r="K15" s="1216"/>
      <c r="L15" s="1192"/>
      <c r="M15" s="1369"/>
      <c r="N15" s="1204" t="s">
        <v>29</v>
      </c>
      <c r="O15" s="1192"/>
      <c r="P15" s="1192"/>
      <c r="Q15" s="1192"/>
      <c r="R15" s="1192"/>
      <c r="S15" s="1369"/>
    </row>
    <row r="16" spans="3:23" x14ac:dyDescent="0.2">
      <c r="C16" s="1203"/>
      <c r="D16" s="1203"/>
      <c r="E16" s="1203"/>
      <c r="F16" s="1203"/>
      <c r="G16" s="1204" t="s">
        <v>30</v>
      </c>
      <c r="H16" s="1235" t="s">
        <v>31</v>
      </c>
      <c r="I16" s="1240">
        <f>I15*P16</f>
        <v>335.8</v>
      </c>
      <c r="J16" s="1192"/>
      <c r="K16" s="1216"/>
      <c r="L16" s="1192"/>
      <c r="M16" s="1369"/>
      <c r="N16" s="1204" t="s">
        <v>32</v>
      </c>
      <c r="O16" s="1192"/>
      <c r="P16" s="1294">
        <v>365</v>
      </c>
      <c r="Q16" s="1192"/>
      <c r="R16" s="1192"/>
      <c r="S16" s="1369"/>
    </row>
    <row r="17" spans="3:19" x14ac:dyDescent="0.2">
      <c r="C17" s="1203"/>
      <c r="D17" s="1203"/>
      <c r="E17" s="1203"/>
      <c r="F17" s="1203"/>
      <c r="G17" s="1204" t="s">
        <v>33</v>
      </c>
      <c r="H17" s="1235" t="s">
        <v>34</v>
      </c>
      <c r="I17" s="1242">
        <f>I16*24</f>
        <v>8059.2000000000007</v>
      </c>
      <c r="J17" s="1192"/>
      <c r="K17" s="1216"/>
      <c r="L17" s="1192"/>
      <c r="M17" s="1369"/>
      <c r="N17" s="1204"/>
      <c r="O17" s="1192"/>
      <c r="P17" s="1192"/>
      <c r="Q17" s="1192"/>
      <c r="R17" s="1192"/>
      <c r="S17" s="1369"/>
    </row>
    <row r="18" spans="3:19" x14ac:dyDescent="0.2">
      <c r="C18" s="1203"/>
      <c r="D18" s="1203"/>
      <c r="E18" s="1203"/>
      <c r="F18" s="1203"/>
      <c r="G18" s="1204"/>
      <c r="H18" s="1235"/>
      <c r="I18" s="1242"/>
      <c r="J18" s="1192"/>
      <c r="K18" s="1216"/>
      <c r="L18" s="1192"/>
      <c r="M18" s="1369"/>
      <c r="N18" s="1204"/>
      <c r="O18" s="1192"/>
      <c r="P18" s="1192"/>
      <c r="Q18" s="1192"/>
      <c r="R18" s="1192"/>
      <c r="S18" s="1369"/>
    </row>
    <row r="19" spans="3:19" x14ac:dyDescent="0.2">
      <c r="C19" s="1203"/>
      <c r="D19" s="1203"/>
      <c r="E19" s="1203"/>
      <c r="F19" s="1203"/>
      <c r="G19" s="1220" t="s">
        <v>35</v>
      </c>
      <c r="H19" s="1243"/>
      <c r="I19" s="1192"/>
      <c r="J19" s="1192"/>
      <c r="K19" s="1216"/>
      <c r="L19" s="1192"/>
      <c r="M19" s="1369"/>
      <c r="N19" s="1192"/>
      <c r="O19" s="1192"/>
      <c r="P19" s="1192"/>
      <c r="Q19" s="1192"/>
      <c r="R19" s="1192"/>
      <c r="S19" s="1369"/>
    </row>
    <row r="20" spans="3:19" x14ac:dyDescent="0.2">
      <c r="C20" s="1203"/>
      <c r="D20" s="1203"/>
      <c r="E20" s="1203"/>
      <c r="F20" s="1203"/>
      <c r="G20" s="1204" t="s">
        <v>36</v>
      </c>
      <c r="H20" s="1235" t="s">
        <v>37</v>
      </c>
      <c r="I20" s="1244">
        <f>I14/I16*1000000</f>
        <v>297796.30732578918</v>
      </c>
      <c r="J20" s="1192"/>
      <c r="K20" s="1216"/>
      <c r="L20" s="1192"/>
      <c r="M20" s="1369"/>
      <c r="N20" s="1192"/>
      <c r="O20" s="1192"/>
      <c r="P20" s="1192"/>
      <c r="Q20" s="1192"/>
      <c r="R20" s="1192"/>
      <c r="S20" s="1369"/>
    </row>
    <row r="21" spans="3:19" x14ac:dyDescent="0.2">
      <c r="C21" s="1203"/>
      <c r="D21" s="1203"/>
      <c r="E21" s="1203"/>
      <c r="F21" s="1203"/>
      <c r="G21" s="1204" t="s">
        <v>38</v>
      </c>
      <c r="H21" s="1235" t="s">
        <v>39</v>
      </c>
      <c r="I21" s="1211">
        <f>I14*1000000/I17</f>
        <v>12408.179471907881</v>
      </c>
      <c r="J21" s="1192"/>
      <c r="K21" s="1216"/>
      <c r="L21" s="1192"/>
      <c r="M21" s="1369"/>
      <c r="N21" s="1192"/>
      <c r="O21" s="1192"/>
      <c r="P21" s="1192"/>
      <c r="Q21" s="1192"/>
      <c r="R21" s="1192"/>
      <c r="S21" s="1369"/>
    </row>
    <row r="22" spans="3:19" x14ac:dyDescent="0.2">
      <c r="C22" s="1203"/>
      <c r="D22" s="1203"/>
      <c r="E22" s="1203"/>
      <c r="F22" s="1203"/>
      <c r="G22" s="1220"/>
      <c r="H22" s="1235"/>
      <c r="I22" s="1211"/>
      <c r="J22" s="1192"/>
      <c r="K22" s="1216"/>
      <c r="L22" s="1192"/>
      <c r="M22" s="1369"/>
      <c r="N22" s="1192"/>
      <c r="O22" s="1192"/>
      <c r="P22" s="1192"/>
      <c r="Q22" s="1192"/>
      <c r="R22" s="1192"/>
      <c r="S22" s="1369"/>
    </row>
    <row r="23" spans="3:19" x14ac:dyDescent="0.2">
      <c r="C23" s="1203"/>
      <c r="D23" s="1203"/>
      <c r="E23" s="1203"/>
      <c r="F23" s="1203"/>
      <c r="G23" s="1220" t="s">
        <v>40</v>
      </c>
      <c r="H23" s="1243"/>
      <c r="I23" s="1192"/>
      <c r="J23" s="1192"/>
      <c r="K23" s="1216"/>
      <c r="L23" s="1192"/>
      <c r="M23" s="1369"/>
      <c r="O23" s="1192"/>
      <c r="P23" s="1192"/>
      <c r="Q23" s="1192"/>
      <c r="R23" s="1192"/>
      <c r="S23" s="1369"/>
    </row>
    <row r="24" spans="3:19" x14ac:dyDescent="0.2">
      <c r="C24" s="1203"/>
      <c r="D24" s="1203"/>
      <c r="E24" s="1203"/>
      <c r="F24" s="1203"/>
      <c r="G24" s="1204" t="s">
        <v>41</v>
      </c>
      <c r="H24" s="1235" t="s">
        <v>28</v>
      </c>
      <c r="I24" s="1257">
        <v>0.89</v>
      </c>
      <c r="J24" s="1192"/>
      <c r="K24" s="1216"/>
      <c r="L24" s="1192"/>
      <c r="M24" s="1369"/>
      <c r="N24" s="1204" t="s">
        <v>42</v>
      </c>
      <c r="O24" s="1192"/>
      <c r="P24" s="1192"/>
      <c r="Q24" s="1192"/>
      <c r="R24" s="1192"/>
      <c r="S24" s="1369"/>
    </row>
    <row r="25" spans="3:19" x14ac:dyDescent="0.2">
      <c r="C25" s="1203"/>
      <c r="D25" s="1203"/>
      <c r="E25" s="1203"/>
      <c r="F25" s="1203"/>
      <c r="G25" s="1204" t="s">
        <v>43</v>
      </c>
      <c r="H25" s="1235" t="s">
        <v>28</v>
      </c>
      <c r="I25" s="1257">
        <v>0.98499999999999999</v>
      </c>
      <c r="J25" s="1192"/>
      <c r="K25" s="1216"/>
      <c r="L25" s="1192"/>
      <c r="M25" s="1369"/>
      <c r="N25" s="1192"/>
      <c r="O25" s="1192"/>
      <c r="P25" s="1192"/>
      <c r="Q25" s="1192"/>
      <c r="R25" s="1192"/>
      <c r="S25" s="1369"/>
    </row>
    <row r="26" spans="3:19" x14ac:dyDescent="0.2">
      <c r="C26" s="1203"/>
      <c r="D26" s="1203"/>
      <c r="E26" s="1203"/>
      <c r="F26" s="1203"/>
      <c r="G26" s="1245" t="s">
        <v>44</v>
      </c>
      <c r="H26" s="1245" t="s">
        <v>28</v>
      </c>
      <c r="I26" s="1214">
        <f>I25*I24</f>
        <v>0.87665000000000004</v>
      </c>
      <c r="J26" s="1192"/>
      <c r="K26" s="1216"/>
      <c r="L26" s="1192"/>
      <c r="M26" s="1369"/>
      <c r="N26" s="1192"/>
      <c r="O26" s="1192"/>
      <c r="P26" s="1192"/>
      <c r="Q26" s="1192"/>
      <c r="R26" s="1192"/>
      <c r="S26" s="1369"/>
    </row>
    <row r="27" spans="3:19" x14ac:dyDescent="0.2">
      <c r="C27" s="1203"/>
      <c r="D27" s="1203"/>
      <c r="E27" s="1203"/>
      <c r="F27" s="1203"/>
      <c r="G27" s="1204"/>
      <c r="H27" s="1235"/>
      <c r="I27" s="1259"/>
      <c r="J27" s="1192"/>
      <c r="K27" s="1216"/>
      <c r="L27" s="1192"/>
      <c r="M27" s="1369"/>
      <c r="N27" s="1192"/>
      <c r="O27" s="1192"/>
      <c r="P27" s="1192"/>
      <c r="Q27" s="1192"/>
      <c r="R27" s="1192"/>
      <c r="S27" s="1369"/>
    </row>
    <row r="28" spans="3:19" x14ac:dyDescent="0.2">
      <c r="C28" s="1203"/>
      <c r="D28" s="1203"/>
      <c r="E28" s="1203"/>
      <c r="F28" s="1203"/>
      <c r="G28" s="1220" t="s">
        <v>45</v>
      </c>
      <c r="H28" s="1235"/>
      <c r="I28" s="1259"/>
      <c r="J28" s="1192"/>
      <c r="K28" s="1216"/>
      <c r="L28" s="1192"/>
      <c r="M28" s="1369"/>
      <c r="N28" s="1192"/>
      <c r="O28" s="1192"/>
      <c r="P28" s="1192"/>
      <c r="Q28" s="1192"/>
      <c r="R28" s="1192"/>
      <c r="S28" s="1369"/>
    </row>
    <row r="29" spans="3:19" x14ac:dyDescent="0.2">
      <c r="C29" s="1203"/>
      <c r="D29" s="1203"/>
      <c r="E29" s="1203"/>
      <c r="F29" s="1203"/>
      <c r="G29" s="1204" t="s">
        <v>46</v>
      </c>
      <c r="H29" s="1235" t="s">
        <v>47</v>
      </c>
      <c r="I29" s="1260">
        <v>0.78900000000000003</v>
      </c>
      <c r="J29" s="1192"/>
      <c r="K29" s="1216"/>
      <c r="L29" s="1192"/>
      <c r="M29" s="1369"/>
      <c r="N29" s="1192"/>
      <c r="O29" s="1192"/>
      <c r="P29" s="1192"/>
      <c r="Q29" s="1192"/>
      <c r="R29" s="1192"/>
      <c r="S29" s="1369"/>
    </row>
    <row r="30" spans="3:19" x14ac:dyDescent="0.2">
      <c r="C30" s="1203"/>
      <c r="D30" s="1203"/>
      <c r="E30" s="1203"/>
      <c r="F30" s="1203"/>
      <c r="G30" s="1204" t="s">
        <v>48</v>
      </c>
      <c r="H30" s="1235" t="s">
        <v>28</v>
      </c>
      <c r="I30" s="1263">
        <v>0.51</v>
      </c>
      <c r="J30" s="1192"/>
      <c r="K30" s="1216"/>
      <c r="L30" s="1192"/>
      <c r="M30" s="1369"/>
      <c r="N30" s="1192"/>
      <c r="O30" s="1192"/>
      <c r="P30" s="1192"/>
      <c r="Q30" s="1192"/>
      <c r="R30" s="1192"/>
      <c r="S30" s="1369"/>
    </row>
    <row r="31" spans="3:19" x14ac:dyDescent="0.2">
      <c r="C31" s="1192"/>
      <c r="D31" s="1192"/>
      <c r="E31" s="1192"/>
      <c r="F31" s="1203"/>
      <c r="G31" s="1204"/>
      <c r="H31" s="1235"/>
      <c r="I31" s="1204"/>
      <c r="J31" s="1192"/>
      <c r="K31" s="1216"/>
      <c r="L31" s="1192"/>
      <c r="M31" s="1369"/>
      <c r="N31" s="1192"/>
      <c r="O31" s="1192"/>
      <c r="P31" s="1192"/>
      <c r="Q31" s="1192"/>
      <c r="R31" s="1192"/>
      <c r="S31" s="1369"/>
    </row>
    <row r="32" spans="3:19" x14ac:dyDescent="0.2">
      <c r="C32" s="1192"/>
      <c r="D32" s="1192"/>
      <c r="E32" s="1192"/>
      <c r="F32" s="1203"/>
      <c r="G32" s="1204" t="s">
        <v>49</v>
      </c>
      <c r="H32" s="1235" t="s">
        <v>50</v>
      </c>
      <c r="I32" s="1210">
        <f>I14*I29*1000/I30*(1-I30)</f>
        <v>75805.882352941175</v>
      </c>
      <c r="J32" s="1192"/>
      <c r="K32" s="1216"/>
      <c r="L32" s="1192"/>
      <c r="M32" s="1369"/>
      <c r="N32" s="1192"/>
      <c r="O32" s="1192"/>
      <c r="P32" s="1192"/>
      <c r="Q32" s="1192"/>
      <c r="R32" s="1192"/>
      <c r="S32" s="1369"/>
    </row>
    <row r="33" spans="3:19" x14ac:dyDescent="0.2">
      <c r="C33" s="1192"/>
      <c r="D33" s="1192"/>
      <c r="E33" s="1192"/>
      <c r="F33" s="1203"/>
      <c r="G33" s="1204"/>
      <c r="H33" s="1235"/>
      <c r="I33" s="1204"/>
      <c r="J33" s="1192"/>
      <c r="K33" s="1216"/>
      <c r="L33" s="1192"/>
      <c r="M33" s="1369"/>
      <c r="N33" s="1192"/>
      <c r="O33" s="1192"/>
      <c r="P33" s="1192"/>
      <c r="Q33" s="1192"/>
      <c r="R33" s="1192"/>
      <c r="S33" s="1369"/>
    </row>
    <row r="34" spans="3:19" x14ac:dyDescent="0.2">
      <c r="C34" s="1192"/>
      <c r="D34" s="1192"/>
      <c r="E34" s="1192"/>
      <c r="F34" s="1203"/>
      <c r="G34" s="1220" t="s">
        <v>51</v>
      </c>
      <c r="H34" s="1235"/>
      <c r="I34" s="1270" t="s">
        <v>52</v>
      </c>
      <c r="J34" s="1212" t="s">
        <v>53</v>
      </c>
      <c r="K34" s="1216"/>
      <c r="L34" s="1192"/>
      <c r="M34" s="1369"/>
      <c r="N34" s="1192"/>
      <c r="O34" s="1192"/>
      <c r="P34" s="1192"/>
      <c r="Q34" s="1192"/>
      <c r="R34" s="1192"/>
      <c r="S34" s="1369"/>
    </row>
    <row r="35" spans="3:19" x14ac:dyDescent="0.2">
      <c r="C35" s="1192"/>
      <c r="D35" s="1192"/>
      <c r="E35" s="1192"/>
      <c r="F35" s="1203"/>
      <c r="G35" s="1235" t="s">
        <v>8</v>
      </c>
      <c r="H35" s="1235" t="s">
        <v>54</v>
      </c>
      <c r="I35" s="1263">
        <v>0.12</v>
      </c>
      <c r="J35" s="1211">
        <f>I35*L5</f>
        <v>45639.812910317247</v>
      </c>
      <c r="K35" s="1216"/>
      <c r="L35" s="1192"/>
      <c r="M35" s="1369"/>
      <c r="N35" s="1192"/>
      <c r="O35" s="1192"/>
      <c r="P35" s="1192"/>
      <c r="Q35" s="1192"/>
      <c r="R35" s="1192"/>
      <c r="S35" s="1369"/>
    </row>
    <row r="36" spans="3:19" x14ac:dyDescent="0.2">
      <c r="C36" s="1192"/>
      <c r="D36" s="1192"/>
      <c r="E36" s="1192"/>
      <c r="F36" s="1203"/>
      <c r="G36" s="1235" t="s">
        <v>10</v>
      </c>
      <c r="H36" s="1235" t="s">
        <v>54</v>
      </c>
      <c r="I36" s="1263">
        <v>0.1</v>
      </c>
      <c r="J36" s="1211">
        <f>I36*L6</f>
        <v>0</v>
      </c>
      <c r="K36" s="1216"/>
      <c r="L36" s="1192"/>
      <c r="M36" s="1369"/>
      <c r="N36" s="1192"/>
      <c r="O36" s="1192"/>
      <c r="P36" s="1192"/>
      <c r="Q36" s="1192"/>
      <c r="R36" s="1192"/>
      <c r="S36" s="1369"/>
    </row>
    <row r="37" spans="3:19" x14ac:dyDescent="0.2">
      <c r="C37" s="1192"/>
      <c r="D37" s="1192"/>
      <c r="E37" s="1192"/>
      <c r="F37" s="1203"/>
      <c r="G37" s="1235" t="s">
        <v>12</v>
      </c>
      <c r="H37" s="1235" t="s">
        <v>54</v>
      </c>
      <c r="I37" s="1263">
        <v>0.05</v>
      </c>
      <c r="J37" s="1211">
        <f>I37*L7</f>
        <v>0</v>
      </c>
      <c r="K37" s="1216"/>
      <c r="L37" s="1192"/>
      <c r="M37" s="1369"/>
      <c r="N37" s="1192"/>
      <c r="O37" s="1192"/>
      <c r="P37" s="1192"/>
      <c r="Q37" s="1192"/>
      <c r="R37" s="1192"/>
      <c r="S37" s="1369"/>
    </row>
    <row r="38" spans="3:19" x14ac:dyDescent="0.2">
      <c r="C38" s="1192"/>
      <c r="D38" s="1192"/>
      <c r="E38" s="1192"/>
      <c r="F38" s="1203"/>
      <c r="G38" s="1235" t="s">
        <v>13</v>
      </c>
      <c r="H38" s="1235" t="s">
        <v>54</v>
      </c>
      <c r="I38" s="1263">
        <v>0.01</v>
      </c>
      <c r="J38" s="1211">
        <f>I38*L8</f>
        <v>0</v>
      </c>
      <c r="K38" s="1216"/>
      <c r="L38" s="1192"/>
      <c r="M38" s="1369"/>
      <c r="N38" s="1192"/>
      <c r="O38" s="1192"/>
      <c r="P38" s="1192"/>
      <c r="Q38" s="1192"/>
      <c r="R38" s="1192"/>
      <c r="S38" s="1369"/>
    </row>
    <row r="39" spans="3:19" x14ac:dyDescent="0.2">
      <c r="C39" s="1192"/>
      <c r="D39" s="1192"/>
      <c r="E39" s="1192"/>
      <c r="F39" s="1203"/>
      <c r="G39" s="1235" t="s">
        <v>14</v>
      </c>
      <c r="H39" s="1235"/>
      <c r="I39" s="1332"/>
      <c r="J39" s="1416">
        <f>SUM(J35:J38)</f>
        <v>45639.812910317247</v>
      </c>
      <c r="K39" s="1216"/>
      <c r="L39" s="1192"/>
      <c r="M39" s="1369"/>
      <c r="N39" s="1192"/>
      <c r="O39" s="1192"/>
      <c r="P39" s="1192"/>
      <c r="Q39" s="1192"/>
      <c r="R39" s="1192"/>
      <c r="S39" s="1369"/>
    </row>
    <row r="40" spans="3:19" x14ac:dyDescent="0.2">
      <c r="C40" s="1192"/>
      <c r="D40" s="1192"/>
      <c r="E40" s="1192"/>
      <c r="F40" s="1203"/>
      <c r="G40" s="1267" t="s">
        <v>55</v>
      </c>
      <c r="H40" s="1235" t="s">
        <v>56</v>
      </c>
      <c r="I40" s="1417">
        <f>SUM(I77:I79)/1000</f>
        <v>0.23250000000000001</v>
      </c>
      <c r="J40" s="1405">
        <f>J39*I40</f>
        <v>10611.256501648761</v>
      </c>
      <c r="K40" s="1216"/>
      <c r="L40" s="1192"/>
      <c r="M40" s="1369"/>
      <c r="N40" s="1192"/>
      <c r="O40" s="1192"/>
      <c r="P40" s="1192"/>
      <c r="Q40" s="1192"/>
      <c r="R40" s="1192"/>
      <c r="S40" s="1369"/>
    </row>
    <row r="41" spans="3:19" x14ac:dyDescent="0.2">
      <c r="C41" s="1192"/>
      <c r="D41" s="1192"/>
      <c r="E41" s="1192"/>
      <c r="F41" s="1203"/>
      <c r="G41" s="1267" t="s">
        <v>57</v>
      </c>
      <c r="H41" s="1235" t="s">
        <v>58</v>
      </c>
      <c r="I41" s="1332"/>
      <c r="J41" s="1416">
        <f>SUM(J39:J40)</f>
        <v>56251.069411966004</v>
      </c>
      <c r="K41" s="1216"/>
      <c r="L41" s="1192"/>
      <c r="M41" s="1369"/>
      <c r="N41" s="1192"/>
      <c r="O41" s="1192"/>
      <c r="P41" s="1192"/>
      <c r="Q41" s="1192"/>
      <c r="R41" s="1192"/>
      <c r="S41" s="1369"/>
    </row>
    <row r="42" spans="3:19" x14ac:dyDescent="0.2">
      <c r="C42" s="1192"/>
      <c r="D42" s="1192"/>
      <c r="E42" s="1192"/>
      <c r="F42" s="1203"/>
      <c r="G42" s="1267" t="s">
        <v>59</v>
      </c>
      <c r="H42" s="1235" t="s">
        <v>60</v>
      </c>
      <c r="I42" s="1263">
        <v>0.35</v>
      </c>
      <c r="J42" s="1210">
        <f>J41/I42</f>
        <v>160717.34117704575</v>
      </c>
      <c r="K42" s="1221"/>
      <c r="L42" s="1192"/>
      <c r="M42" s="1369"/>
      <c r="N42" s="1192"/>
      <c r="O42" s="1192"/>
      <c r="P42" s="1192"/>
      <c r="Q42" s="1192"/>
      <c r="R42" s="1192"/>
      <c r="S42" s="1369"/>
    </row>
    <row r="43" spans="3:19" x14ac:dyDescent="0.2">
      <c r="C43" s="1192"/>
      <c r="D43" s="1192"/>
      <c r="E43" s="1192"/>
      <c r="F43" s="1203"/>
      <c r="G43" s="1267" t="s">
        <v>61</v>
      </c>
      <c r="H43" s="1235" t="s">
        <v>62</v>
      </c>
      <c r="I43" s="1409">
        <v>1.1499999999999999</v>
      </c>
      <c r="J43" s="1238"/>
      <c r="K43" s="1245" t="s">
        <v>63</v>
      </c>
      <c r="L43" s="1245" t="s">
        <v>23</v>
      </c>
      <c r="M43" s="1369"/>
      <c r="N43" s="1192"/>
      <c r="O43" s="1192"/>
      <c r="P43" s="1192"/>
      <c r="Q43" s="1192"/>
      <c r="R43" s="1192"/>
      <c r="S43" s="1369"/>
    </row>
    <row r="44" spans="3:19" x14ac:dyDescent="0.2">
      <c r="C44" s="1192"/>
      <c r="D44" s="1192"/>
      <c r="E44" s="1192"/>
      <c r="F44" s="1203"/>
      <c r="G44" s="1266" t="s">
        <v>64</v>
      </c>
      <c r="H44" s="1245" t="s">
        <v>65</v>
      </c>
      <c r="I44" s="1220"/>
      <c r="J44" s="1238">
        <f>J42/I43</f>
        <v>139754.20971917023</v>
      </c>
      <c r="K44" s="1279">
        <v>170</v>
      </c>
      <c r="L44" s="1238">
        <f>J44*K44</f>
        <v>23758215.65225894</v>
      </c>
      <c r="M44" s="1369"/>
      <c r="N44" s="1204" t="s">
        <v>66</v>
      </c>
      <c r="O44" s="1192"/>
      <c r="P44" s="1192"/>
      <c r="Q44" s="1192"/>
      <c r="R44" s="1192"/>
      <c r="S44" s="1369"/>
    </row>
    <row r="45" spans="3:19" x14ac:dyDescent="0.2">
      <c r="C45" s="1192"/>
      <c r="D45" s="1192"/>
      <c r="E45" s="1192"/>
      <c r="F45" s="1203"/>
      <c r="G45" s="1235"/>
      <c r="H45" s="1245"/>
      <c r="I45" s="1220"/>
      <c r="J45" s="1238"/>
      <c r="K45" s="1216"/>
      <c r="L45" s="1192"/>
      <c r="M45" s="1369"/>
      <c r="N45" s="1192"/>
      <c r="O45" s="1192"/>
      <c r="P45" s="1192"/>
      <c r="Q45" s="1192"/>
      <c r="R45" s="1192"/>
      <c r="S45" s="1369"/>
    </row>
    <row r="46" spans="3:19" x14ac:dyDescent="0.2">
      <c r="F46" s="1203"/>
      <c r="G46" s="1220" t="s">
        <v>67</v>
      </c>
      <c r="H46" s="1245" t="s">
        <v>68</v>
      </c>
      <c r="I46" s="1265">
        <f>I20*I29/1000/I26/I30</f>
        <v>525.53288640031781</v>
      </c>
      <c r="J46" s="1192"/>
      <c r="K46" s="1216"/>
      <c r="L46" s="1192"/>
      <c r="M46" s="1369"/>
      <c r="N46" s="1192"/>
      <c r="O46" s="1192"/>
      <c r="P46" s="1192"/>
      <c r="Q46" s="1192"/>
      <c r="R46" s="1192"/>
      <c r="S46" s="1369"/>
    </row>
    <row r="47" spans="3:19" x14ac:dyDescent="0.2">
      <c r="F47" s="1224"/>
      <c r="G47" s="1225"/>
      <c r="H47" s="1226"/>
      <c r="I47" s="1225"/>
      <c r="J47" s="1225"/>
      <c r="K47" s="1227"/>
      <c r="L47" s="1225"/>
      <c r="M47" s="1386"/>
      <c r="N47" s="1225"/>
      <c r="O47" s="1225"/>
      <c r="P47" s="1225"/>
      <c r="Q47" s="1225"/>
      <c r="R47" s="1225"/>
      <c r="S47" s="1386"/>
    </row>
    <row r="48" spans="3:19" ht="25.5" x14ac:dyDescent="0.2">
      <c r="F48" s="1196" t="s">
        <v>69</v>
      </c>
      <c r="G48" s="1275" t="s">
        <v>70</v>
      </c>
      <c r="H48" s="1276" t="s">
        <v>20</v>
      </c>
      <c r="I48" s="1198" t="s">
        <v>71</v>
      </c>
      <c r="J48" s="1198" t="s">
        <v>72</v>
      </c>
      <c r="K48" s="1199" t="s">
        <v>73</v>
      </c>
      <c r="L48" s="1276" t="s">
        <v>74</v>
      </c>
      <c r="M48" s="1361" t="s">
        <v>75</v>
      </c>
      <c r="N48" s="1276" t="s">
        <v>76</v>
      </c>
      <c r="O48" s="1392"/>
      <c r="P48" s="1392"/>
      <c r="Q48" s="1392"/>
      <c r="R48" s="1392"/>
      <c r="S48" s="1413"/>
    </row>
    <row r="49" spans="1:19" x14ac:dyDescent="0.2">
      <c r="F49" s="1203"/>
      <c r="G49" s="1204" t="s">
        <v>8</v>
      </c>
      <c r="H49" s="1235" t="s">
        <v>77</v>
      </c>
      <c r="I49" s="1278">
        <f>L5/$I$14/1000</f>
        <v>3.8033177425264375</v>
      </c>
      <c r="J49" s="1211">
        <f>I49*$I$14*1000</f>
        <v>380331.77425264375</v>
      </c>
      <c r="K49" s="1279">
        <v>120</v>
      </c>
      <c r="L49" s="1244">
        <f>J49*K49</f>
        <v>45639812.91031725</v>
      </c>
      <c r="M49" s="1418">
        <v>1</v>
      </c>
      <c r="N49" s="1204" t="s">
        <v>78</v>
      </c>
      <c r="O49" s="1192"/>
      <c r="P49" s="1419">
        <v>20</v>
      </c>
      <c r="Q49" s="1204" t="s">
        <v>79</v>
      </c>
      <c r="R49" s="1192"/>
      <c r="S49" s="1369"/>
    </row>
    <row r="50" spans="1:19" x14ac:dyDescent="0.2">
      <c r="F50" s="1203"/>
      <c r="G50" s="1204" t="s">
        <v>10</v>
      </c>
      <c r="H50" s="1235" t="s">
        <v>77</v>
      </c>
      <c r="I50" s="1278">
        <f>L6/$I$14/1000</f>
        <v>0</v>
      </c>
      <c r="J50" s="1211">
        <f>I50*$I$14*1000</f>
        <v>0</v>
      </c>
      <c r="K50" s="1208">
        <f>((1-$M$50)*$P$53+$M$50*K49)*$I$6</f>
        <v>206.44114823529412</v>
      </c>
      <c r="L50" s="1244">
        <f>J50*K50</f>
        <v>0</v>
      </c>
      <c r="M50" s="1418">
        <f>1/(680*I6/(280*I5))</f>
        <v>0.36742081447963804</v>
      </c>
      <c r="N50" s="1204" t="s">
        <v>80</v>
      </c>
      <c r="O50" s="1192"/>
      <c r="P50" s="983">
        <f>Assumptions!$J$25</f>
        <v>0.75</v>
      </c>
      <c r="Q50" s="1192"/>
      <c r="R50" s="1192"/>
      <c r="S50" s="1369"/>
    </row>
    <row r="51" spans="1:19" x14ac:dyDescent="0.2">
      <c r="F51" s="1203"/>
      <c r="G51" s="1204" t="s">
        <v>12</v>
      </c>
      <c r="H51" s="1235" t="s">
        <v>77</v>
      </c>
      <c r="I51" s="1278">
        <f>L7/$I$14/1000</f>
        <v>0</v>
      </c>
      <c r="J51" s="1211">
        <f>I51*$I$14*1000</f>
        <v>0</v>
      </c>
      <c r="K51" s="1208">
        <f>((1-M51)*$P$53+M51*K49)*I7</f>
        <v>298.26734495726492</v>
      </c>
      <c r="L51" s="1244">
        <f>J51*K51</f>
        <v>0</v>
      </c>
      <c r="M51" s="1418">
        <f>1/(1560*I7/(280*I5))</f>
        <v>0.13880341880341882</v>
      </c>
      <c r="N51" s="1204" t="s">
        <v>81</v>
      </c>
      <c r="O51" s="1192"/>
      <c r="P51" s="1211">
        <f>P49/100*2204.6/P50</f>
        <v>587.89333333333332</v>
      </c>
      <c r="Q51" s="1192"/>
      <c r="R51" s="1192"/>
      <c r="S51" s="1369"/>
    </row>
    <row r="52" spans="1:19" x14ac:dyDescent="0.2">
      <c r="F52" s="1203"/>
      <c r="G52" s="1204" t="s">
        <v>13</v>
      </c>
      <c r="H52" s="1235" t="s">
        <v>77</v>
      </c>
      <c r="I52" s="1278">
        <f>L8/$I$14/1000</f>
        <v>0</v>
      </c>
      <c r="J52" s="1211">
        <f>I52*$I$14*1000</f>
        <v>0</v>
      </c>
      <c r="K52" s="1216"/>
      <c r="L52" s="1244">
        <f>J52*K52</f>
        <v>0</v>
      </c>
      <c r="M52" s="1369"/>
      <c r="N52" s="1204" t="s">
        <v>82</v>
      </c>
      <c r="O52" s="1192"/>
      <c r="P52" s="1411">
        <v>30</v>
      </c>
      <c r="Q52" s="1192"/>
      <c r="R52" s="1192"/>
      <c r="S52" s="1369"/>
    </row>
    <row r="53" spans="1:19" x14ac:dyDescent="0.2">
      <c r="F53" s="1203"/>
      <c r="G53" s="1204" t="s">
        <v>14</v>
      </c>
      <c r="H53" s="1235" t="s">
        <v>77</v>
      </c>
      <c r="I53" s="1278">
        <f>L9/$I$14/1000</f>
        <v>0</v>
      </c>
      <c r="J53" s="1211">
        <f>I53*$I$14*1000</f>
        <v>0</v>
      </c>
      <c r="K53" s="1216"/>
      <c r="L53" s="1244">
        <f>J53*K53</f>
        <v>0</v>
      </c>
      <c r="M53" s="1369"/>
      <c r="N53" s="1204" t="s">
        <v>83</v>
      </c>
      <c r="O53" s="1192"/>
      <c r="P53" s="1273">
        <f>P51-P52</f>
        <v>557.89333333333332</v>
      </c>
      <c r="Q53" s="1192"/>
      <c r="R53" s="1192"/>
      <c r="S53" s="1369"/>
    </row>
    <row r="54" spans="1:19" x14ac:dyDescent="0.2">
      <c r="A54" s="1107" t="s">
        <v>703</v>
      </c>
      <c r="B54" s="1107" t="s">
        <v>285</v>
      </c>
      <c r="F54" s="1203"/>
      <c r="G54" s="1212" t="s">
        <v>84</v>
      </c>
      <c r="H54" s="1235"/>
      <c r="I54" s="1278"/>
      <c r="J54" s="1211"/>
      <c r="K54" s="1211"/>
      <c r="L54" s="1256">
        <f>SUM(L49:L53)</f>
        <v>45639812.91031725</v>
      </c>
      <c r="M54" s="1369"/>
      <c r="N54" s="1204"/>
      <c r="O54" s="1192"/>
      <c r="P54" s="1265"/>
      <c r="Q54" s="1192"/>
      <c r="R54" s="1192"/>
      <c r="S54" s="1369"/>
    </row>
    <row r="55" spans="1:19" x14ac:dyDescent="0.2">
      <c r="F55" s="1224"/>
      <c r="G55" s="1225"/>
      <c r="H55" s="1420"/>
      <c r="I55" s="1420"/>
      <c r="J55" s="1420"/>
      <c r="K55" s="1421"/>
      <c r="L55" s="1420"/>
      <c r="M55" s="1386"/>
      <c r="N55" s="1422"/>
      <c r="O55" s="1225"/>
      <c r="P55" s="1225"/>
      <c r="Q55" s="1225"/>
      <c r="R55" s="1225"/>
      <c r="S55" s="1386"/>
    </row>
    <row r="56" spans="1:19" ht="25.5" x14ac:dyDescent="0.2">
      <c r="C56" s="1203"/>
      <c r="D56" s="1203"/>
      <c r="E56" s="1203"/>
      <c r="F56" s="1196" t="s">
        <v>85</v>
      </c>
      <c r="G56" s="1275" t="s">
        <v>86</v>
      </c>
      <c r="H56" s="1276" t="s">
        <v>20</v>
      </c>
      <c r="I56" s="1198" t="s">
        <v>71</v>
      </c>
      <c r="J56" s="1198" t="s">
        <v>72</v>
      </c>
      <c r="K56" s="1199" t="s">
        <v>73</v>
      </c>
      <c r="L56" s="1276" t="s">
        <v>74</v>
      </c>
      <c r="M56" s="1413"/>
      <c r="N56" s="1276" t="s">
        <v>76</v>
      </c>
      <c r="O56" s="1392"/>
      <c r="P56" s="1392"/>
      <c r="Q56" s="1392"/>
      <c r="R56" s="1392"/>
      <c r="S56" s="1413"/>
    </row>
    <row r="57" spans="1:19" x14ac:dyDescent="0.2">
      <c r="C57" s="1203"/>
      <c r="D57" s="1203"/>
      <c r="E57" s="1203"/>
      <c r="F57" s="1230"/>
      <c r="G57" s="1220" t="s">
        <v>87</v>
      </c>
      <c r="H57" s="1232"/>
      <c r="I57" s="1254"/>
      <c r="J57" s="1254"/>
      <c r="K57" s="1289"/>
      <c r="L57" s="1232"/>
      <c r="M57" s="1369"/>
      <c r="N57" s="1232"/>
      <c r="O57" s="1192"/>
      <c r="P57" s="1192"/>
      <c r="Q57" s="1192"/>
      <c r="R57" s="1192"/>
      <c r="S57" s="1369"/>
    </row>
    <row r="58" spans="1:19" x14ac:dyDescent="0.2">
      <c r="C58" s="1203"/>
      <c r="D58" s="1203"/>
      <c r="E58" s="1203"/>
      <c r="F58" s="1203"/>
      <c r="G58" s="1204" t="s">
        <v>88</v>
      </c>
      <c r="H58" s="1235" t="s">
        <v>89</v>
      </c>
      <c r="I58" s="1294">
        <v>0.8</v>
      </c>
      <c r="J58" s="1211">
        <f>I58*$I$14*1000</f>
        <v>80000</v>
      </c>
      <c r="K58" s="1279">
        <v>2</v>
      </c>
      <c r="L58" s="1244">
        <f t="shared" ref="L58:L66" si="0">J58*K58</f>
        <v>160000</v>
      </c>
      <c r="M58" s="1369"/>
      <c r="N58" s="1192"/>
      <c r="O58" s="1192"/>
      <c r="P58" s="1192"/>
      <c r="Q58" s="1192"/>
      <c r="R58" s="1192"/>
      <c r="S58" s="1369"/>
    </row>
    <row r="59" spans="1:19" x14ac:dyDescent="0.2">
      <c r="C59" s="1203"/>
      <c r="D59" s="1203"/>
      <c r="E59" s="1203"/>
      <c r="F59" s="1203"/>
      <c r="G59" s="1204" t="s">
        <v>90</v>
      </c>
      <c r="H59" s="1235" t="s">
        <v>89</v>
      </c>
      <c r="I59" s="1294">
        <v>3</v>
      </c>
      <c r="J59" s="1211">
        <f>I59*$I$14*1000</f>
        <v>300000</v>
      </c>
      <c r="K59" s="1279">
        <v>0.45</v>
      </c>
      <c r="L59" s="1244">
        <f t="shared" si="0"/>
        <v>135000</v>
      </c>
      <c r="M59" s="1369"/>
      <c r="N59" s="1192"/>
      <c r="O59" s="1192"/>
      <c r="P59" s="1192"/>
      <c r="Q59" s="1192"/>
      <c r="R59" s="1192"/>
      <c r="S59" s="1369"/>
    </row>
    <row r="60" spans="1:19" x14ac:dyDescent="0.2">
      <c r="C60" s="1203"/>
      <c r="D60" s="1203"/>
      <c r="E60" s="1203"/>
      <c r="F60" s="1203"/>
      <c r="G60" s="1204" t="s">
        <v>91</v>
      </c>
      <c r="H60" s="1235" t="s">
        <v>89</v>
      </c>
      <c r="I60" s="1294">
        <v>3</v>
      </c>
      <c r="J60" s="1211">
        <f>I60*$I$14*1000</f>
        <v>300000</v>
      </c>
      <c r="K60" s="1279">
        <v>0.23499999999999999</v>
      </c>
      <c r="L60" s="1244">
        <f t="shared" si="0"/>
        <v>70500</v>
      </c>
      <c r="M60" s="1369"/>
      <c r="N60" s="1192"/>
      <c r="O60" s="1192"/>
      <c r="P60" s="1192"/>
      <c r="Q60" s="1192"/>
      <c r="R60" s="1192"/>
      <c r="S60" s="1369"/>
    </row>
    <row r="61" spans="1:19" x14ac:dyDescent="0.2">
      <c r="C61" s="1203"/>
      <c r="D61" s="1203"/>
      <c r="E61" s="1203"/>
      <c r="F61" s="1203"/>
      <c r="G61" s="1192" t="s">
        <v>88</v>
      </c>
      <c r="H61" s="1235" t="s">
        <v>89</v>
      </c>
      <c r="I61" s="1294">
        <v>0.5</v>
      </c>
      <c r="J61" s="1211">
        <f>I61*$I$14*1000</f>
        <v>50000</v>
      </c>
      <c r="K61" s="1279">
        <f>K58</f>
        <v>2</v>
      </c>
      <c r="L61" s="1244">
        <f t="shared" si="0"/>
        <v>100000</v>
      </c>
      <c r="M61" s="1369"/>
      <c r="N61" s="1204" t="s">
        <v>92</v>
      </c>
      <c r="O61" s="1192"/>
      <c r="P61" s="1192"/>
      <c r="Q61" s="1192"/>
      <c r="R61" s="1192"/>
      <c r="S61" s="1369"/>
    </row>
    <row r="62" spans="1:19" x14ac:dyDescent="0.2">
      <c r="C62" s="1203"/>
      <c r="D62" s="1203"/>
      <c r="E62" s="1203"/>
      <c r="F62" s="1203"/>
      <c r="G62" s="1204" t="s">
        <v>93</v>
      </c>
      <c r="H62" s="1235" t="s">
        <v>89</v>
      </c>
      <c r="I62" s="1294">
        <v>0.5</v>
      </c>
      <c r="J62" s="1211">
        <f>I62*$I$14*1000</f>
        <v>50000</v>
      </c>
      <c r="K62" s="1279">
        <v>1</v>
      </c>
      <c r="L62" s="1244">
        <f t="shared" si="0"/>
        <v>50000</v>
      </c>
      <c r="M62" s="1369"/>
      <c r="N62" s="1204" t="s">
        <v>94</v>
      </c>
      <c r="O62" s="1192"/>
      <c r="P62" s="1192"/>
      <c r="Q62" s="1192"/>
      <c r="R62" s="1192"/>
      <c r="S62" s="1369"/>
    </row>
    <row r="63" spans="1:19" x14ac:dyDescent="0.2">
      <c r="C63" s="1203"/>
      <c r="D63" s="1203"/>
      <c r="E63" s="1203"/>
      <c r="F63" s="1203"/>
      <c r="G63" s="1204" t="s">
        <v>95</v>
      </c>
      <c r="H63" s="1235" t="s">
        <v>96</v>
      </c>
      <c r="I63" s="1294">
        <v>300</v>
      </c>
      <c r="J63" s="1211">
        <f>I63*$I$16</f>
        <v>100740</v>
      </c>
      <c r="K63" s="1279">
        <v>0.65</v>
      </c>
      <c r="L63" s="1244">
        <f t="shared" si="0"/>
        <v>65481</v>
      </c>
      <c r="M63" s="1369"/>
      <c r="N63" s="1204" t="s">
        <v>97</v>
      </c>
      <c r="O63" s="1192"/>
      <c r="P63" s="1192"/>
      <c r="Q63" s="1192"/>
      <c r="R63" s="1192"/>
      <c r="S63" s="1369"/>
    </row>
    <row r="64" spans="1:19" x14ac:dyDescent="0.2">
      <c r="C64" s="1203"/>
      <c r="D64" s="1203"/>
      <c r="E64" s="1203"/>
      <c r="F64" s="1203"/>
      <c r="G64" s="1204" t="s">
        <v>98</v>
      </c>
      <c r="H64" s="1235" t="s">
        <v>96</v>
      </c>
      <c r="I64" s="1294">
        <v>50</v>
      </c>
      <c r="J64" s="1211">
        <f>I64*$I$16</f>
        <v>16790</v>
      </c>
      <c r="K64" s="1279">
        <v>0.65</v>
      </c>
      <c r="L64" s="1244">
        <f t="shared" si="0"/>
        <v>10913.5</v>
      </c>
      <c r="M64" s="1369"/>
      <c r="N64" s="1204" t="s">
        <v>99</v>
      </c>
      <c r="O64" s="1192"/>
      <c r="P64" s="1192"/>
      <c r="Q64" s="1192"/>
      <c r="R64" s="1192"/>
      <c r="S64" s="1369"/>
    </row>
    <row r="65" spans="1:19" x14ac:dyDescent="0.2">
      <c r="C65" s="1203"/>
      <c r="D65" s="1203"/>
      <c r="E65" s="1203"/>
      <c r="F65" s="1203"/>
      <c r="G65" s="1204" t="s">
        <v>100</v>
      </c>
      <c r="H65" s="1235" t="s">
        <v>101</v>
      </c>
      <c r="I65" s="1294">
        <v>50</v>
      </c>
      <c r="J65" s="1211">
        <f>P65*I65</f>
        <v>1500</v>
      </c>
      <c r="K65" s="1279">
        <v>100</v>
      </c>
      <c r="L65" s="1244">
        <f t="shared" si="0"/>
        <v>150000</v>
      </c>
      <c r="M65" s="1369"/>
      <c r="N65" s="1204" t="s">
        <v>102</v>
      </c>
      <c r="O65" s="1192"/>
      <c r="P65" s="1294">
        <v>30</v>
      </c>
      <c r="Q65" s="1204" t="s">
        <v>103</v>
      </c>
      <c r="R65" s="1192"/>
      <c r="S65" s="1369"/>
    </row>
    <row r="66" spans="1:19" x14ac:dyDescent="0.2">
      <c r="C66" s="1203"/>
      <c r="D66" s="1203"/>
      <c r="E66" s="1203"/>
      <c r="F66" s="1203"/>
      <c r="G66" s="1204" t="s">
        <v>104</v>
      </c>
      <c r="H66" s="1100" t="s">
        <v>483</v>
      </c>
      <c r="I66" s="1294">
        <v>5</v>
      </c>
      <c r="J66" s="1211">
        <f>I66*$I$14*1000</f>
        <v>500000</v>
      </c>
      <c r="K66" s="1279">
        <v>1</v>
      </c>
      <c r="L66" s="1244">
        <f t="shared" si="0"/>
        <v>500000</v>
      </c>
      <c r="M66" s="1369"/>
      <c r="N66" s="1192"/>
      <c r="O66" s="1192"/>
      <c r="P66" s="1192"/>
      <c r="Q66" s="1192"/>
      <c r="R66" s="1192"/>
      <c r="S66" s="1369"/>
    </row>
    <row r="67" spans="1:19" x14ac:dyDescent="0.2">
      <c r="C67" s="1203"/>
      <c r="D67" s="1203"/>
      <c r="E67" s="1203"/>
      <c r="F67" s="1203"/>
      <c r="G67" s="1204"/>
      <c r="H67" s="1235"/>
      <c r="I67" s="1204"/>
      <c r="J67" s="1204"/>
      <c r="K67" s="1204"/>
      <c r="L67" s="1244"/>
      <c r="M67" s="1369"/>
      <c r="N67" s="1192"/>
      <c r="O67" s="1192"/>
      <c r="P67" s="1192"/>
      <c r="Q67" s="1192"/>
      <c r="R67" s="1192"/>
      <c r="S67" s="1369"/>
    </row>
    <row r="68" spans="1:19" x14ac:dyDescent="0.2">
      <c r="C68" s="1203"/>
      <c r="D68" s="1203"/>
      <c r="E68" s="1203"/>
      <c r="F68" s="1203"/>
      <c r="G68" s="1220" t="s">
        <v>105</v>
      </c>
      <c r="H68" s="1235"/>
      <c r="I68" s="1204"/>
      <c r="J68" s="1204"/>
      <c r="K68" s="1204"/>
      <c r="L68" s="1204"/>
      <c r="M68" s="1369"/>
      <c r="N68" s="1204" t="s">
        <v>106</v>
      </c>
      <c r="O68" s="1192"/>
      <c r="P68" s="1192"/>
      <c r="Q68" s="1192"/>
      <c r="R68" s="1192"/>
      <c r="S68" s="1369"/>
    </row>
    <row r="69" spans="1:19" x14ac:dyDescent="0.2">
      <c r="C69" s="1203"/>
      <c r="D69" s="1203"/>
      <c r="E69" s="1203"/>
      <c r="F69" s="1203"/>
      <c r="G69" s="1204" t="s">
        <v>107</v>
      </c>
      <c r="H69" s="1235" t="s">
        <v>89</v>
      </c>
      <c r="I69" s="1295">
        <v>0.06</v>
      </c>
      <c r="J69" s="1211">
        <f t="shared" ref="J69:J74" si="1">I69*$I$14*1000</f>
        <v>6000</v>
      </c>
      <c r="K69" s="1296">
        <v>1</v>
      </c>
      <c r="L69" s="1244">
        <f t="shared" ref="L69:L74" si="2">J69*K69</f>
        <v>6000</v>
      </c>
      <c r="M69" s="1369"/>
      <c r="N69" s="1204" t="s">
        <v>106</v>
      </c>
      <c r="O69" s="1192"/>
      <c r="P69" s="1192"/>
      <c r="Q69" s="1192"/>
      <c r="R69" s="1192"/>
      <c r="S69" s="1369"/>
    </row>
    <row r="70" spans="1:19" x14ac:dyDescent="0.2">
      <c r="C70" s="1203"/>
      <c r="D70" s="1203"/>
      <c r="E70" s="1203"/>
      <c r="F70" s="1203"/>
      <c r="G70" s="1204" t="s">
        <v>95</v>
      </c>
      <c r="H70" s="1235" t="s">
        <v>89</v>
      </c>
      <c r="I70" s="1294"/>
      <c r="J70" s="1211">
        <f t="shared" si="1"/>
        <v>0</v>
      </c>
      <c r="K70" s="1296">
        <f>K63</f>
        <v>0.65</v>
      </c>
      <c r="L70" s="1244">
        <f t="shared" si="2"/>
        <v>0</v>
      </c>
      <c r="M70" s="1369"/>
      <c r="N70" s="1204" t="s">
        <v>106</v>
      </c>
      <c r="O70" s="1192"/>
      <c r="P70" s="1192"/>
      <c r="Q70" s="1192"/>
      <c r="R70" s="1192"/>
      <c r="S70" s="1369"/>
    </row>
    <row r="71" spans="1:19" x14ac:dyDescent="0.2">
      <c r="C71" s="1203"/>
      <c r="D71" s="1203"/>
      <c r="E71" s="1203"/>
      <c r="F71" s="1203"/>
      <c r="G71" s="1204" t="s">
        <v>108</v>
      </c>
      <c r="H71" s="1235" t="s">
        <v>89</v>
      </c>
      <c r="I71" s="1295">
        <v>0.34</v>
      </c>
      <c r="J71" s="1211">
        <f t="shared" si="1"/>
        <v>34000</v>
      </c>
      <c r="K71" s="1296">
        <f>K59</f>
        <v>0.45</v>
      </c>
      <c r="L71" s="1244">
        <f t="shared" si="2"/>
        <v>15300</v>
      </c>
      <c r="M71" s="1369"/>
      <c r="N71" s="1204" t="s">
        <v>106</v>
      </c>
      <c r="O71" s="1192"/>
      <c r="P71" s="1192"/>
      <c r="Q71" s="1192"/>
      <c r="R71" s="1192"/>
      <c r="S71" s="1369"/>
    </row>
    <row r="72" spans="1:19" x14ac:dyDescent="0.2">
      <c r="C72" s="1203"/>
      <c r="D72" s="1203"/>
      <c r="E72" s="1203"/>
      <c r="F72" s="1203"/>
      <c r="G72" s="1204" t="s">
        <v>109</v>
      </c>
      <c r="H72" s="1235" t="s">
        <v>110</v>
      </c>
      <c r="I72" s="1295"/>
      <c r="J72" s="1211">
        <f t="shared" si="1"/>
        <v>0</v>
      </c>
      <c r="K72" s="1296">
        <v>1</v>
      </c>
      <c r="L72" s="1244">
        <f t="shared" si="2"/>
        <v>0</v>
      </c>
      <c r="M72" s="1369"/>
      <c r="N72" s="1204" t="s">
        <v>106</v>
      </c>
      <c r="O72" s="1192"/>
      <c r="P72" s="1192"/>
      <c r="Q72" s="1192"/>
      <c r="R72" s="1192"/>
      <c r="S72" s="1369"/>
    </row>
    <row r="73" spans="1:19" x14ac:dyDescent="0.2">
      <c r="C73" s="1203"/>
      <c r="D73" s="1203"/>
      <c r="E73" s="1203"/>
      <c r="F73" s="1203"/>
      <c r="G73" s="1204" t="s">
        <v>111</v>
      </c>
      <c r="H73" s="1235" t="s">
        <v>110</v>
      </c>
      <c r="I73" s="1296"/>
      <c r="J73" s="1211">
        <f t="shared" si="1"/>
        <v>0</v>
      </c>
      <c r="K73" s="1296">
        <v>2.5</v>
      </c>
      <c r="L73" s="1244">
        <f t="shared" si="2"/>
        <v>0</v>
      </c>
      <c r="M73" s="1369"/>
      <c r="N73" s="1204" t="s">
        <v>106</v>
      </c>
      <c r="O73" s="1192"/>
      <c r="P73" s="1192"/>
      <c r="Q73" s="1192"/>
      <c r="R73" s="1192"/>
      <c r="S73" s="1369"/>
    </row>
    <row r="74" spans="1:19" x14ac:dyDescent="0.2">
      <c r="C74" s="1203"/>
      <c r="D74" s="1203"/>
      <c r="E74" s="1203"/>
      <c r="F74" s="1203"/>
      <c r="G74" s="1204" t="s">
        <v>112</v>
      </c>
      <c r="H74" s="1235" t="s">
        <v>89</v>
      </c>
      <c r="I74" s="1296"/>
      <c r="J74" s="1211">
        <f t="shared" si="1"/>
        <v>0</v>
      </c>
      <c r="K74" s="1296">
        <f>K61</f>
        <v>2</v>
      </c>
      <c r="L74" s="1244">
        <f t="shared" si="2"/>
        <v>0</v>
      </c>
      <c r="M74" s="1369"/>
      <c r="N74" s="1192"/>
      <c r="O74" s="1192"/>
      <c r="P74" s="1192"/>
      <c r="Q74" s="1192"/>
      <c r="R74" s="1192"/>
      <c r="S74" s="1369"/>
    </row>
    <row r="75" spans="1:19" x14ac:dyDescent="0.2">
      <c r="C75" s="1203"/>
      <c r="D75" s="1203"/>
      <c r="E75" s="1203"/>
      <c r="F75" s="1203"/>
      <c r="G75" s="1204"/>
      <c r="H75" s="1235"/>
      <c r="I75" s="1204"/>
      <c r="J75" s="1204"/>
      <c r="K75" s="1204"/>
      <c r="L75" s="1204"/>
      <c r="M75" s="1369"/>
      <c r="N75" s="1192"/>
      <c r="O75" s="1192"/>
      <c r="P75" s="1192"/>
      <c r="Q75" s="1192"/>
      <c r="R75" s="1220" t="s">
        <v>113</v>
      </c>
      <c r="S75" s="1369"/>
    </row>
    <row r="76" spans="1:19" x14ac:dyDescent="0.2">
      <c r="C76" s="1203"/>
      <c r="D76" s="1203"/>
      <c r="E76" s="1203"/>
      <c r="F76" s="1203"/>
      <c r="G76" s="1220" t="s">
        <v>114</v>
      </c>
      <c r="H76" s="1243"/>
      <c r="I76" s="1192"/>
      <c r="J76" s="1192"/>
      <c r="K76" s="1216"/>
      <c r="L76" s="1204"/>
      <c r="M76" s="1369"/>
      <c r="N76" s="1245" t="s">
        <v>115</v>
      </c>
      <c r="O76" s="1245" t="s">
        <v>116</v>
      </c>
      <c r="P76" s="1245" t="s">
        <v>117</v>
      </c>
      <c r="Q76" s="1245" t="s">
        <v>118</v>
      </c>
      <c r="R76" s="1245" t="s">
        <v>119</v>
      </c>
      <c r="S76" s="1423" t="s">
        <v>120</v>
      </c>
    </row>
    <row r="77" spans="1:19" x14ac:dyDescent="0.2">
      <c r="C77" s="1203"/>
      <c r="D77" s="1203"/>
      <c r="E77" s="1203"/>
      <c r="F77" s="1203"/>
      <c r="G77" s="1204" t="s">
        <v>115</v>
      </c>
      <c r="H77" s="1235" t="s">
        <v>121</v>
      </c>
      <c r="I77" s="1296">
        <v>145</v>
      </c>
      <c r="J77" s="1211">
        <f>I77*$J$39</f>
        <v>6617772.8719960004</v>
      </c>
      <c r="K77" s="1279">
        <f>K60</f>
        <v>0.23499999999999999</v>
      </c>
      <c r="L77" s="1244">
        <f>J77*K77</f>
        <v>1555176.6249190599</v>
      </c>
      <c r="M77" s="1424" t="s">
        <v>122</v>
      </c>
      <c r="N77" s="1270">
        <v>0.49</v>
      </c>
      <c r="O77" s="1425">
        <v>0.21</v>
      </c>
      <c r="P77" s="1425">
        <v>0.18</v>
      </c>
      <c r="Q77" s="1426">
        <v>4.7999999999999996E-3</v>
      </c>
      <c r="R77" s="1204">
        <v>7.39</v>
      </c>
      <c r="S77" s="1427">
        <f>(SUM($I$77*N77,$I$78*O77,$I$79*P77)+1000*Q77)/(SUM($I$77:$I$79)+1000)</f>
        <v>7.5294117647058817E-2</v>
      </c>
    </row>
    <row r="78" spans="1:19" s="1297" customFormat="1" x14ac:dyDescent="0.2">
      <c r="C78" s="1298"/>
      <c r="D78" s="1298"/>
      <c r="E78" s="1298"/>
      <c r="F78" s="1298"/>
      <c r="G78" s="1204" t="s">
        <v>123</v>
      </c>
      <c r="H78" s="1235" t="s">
        <v>121</v>
      </c>
      <c r="I78" s="1296">
        <v>40</v>
      </c>
      <c r="J78" s="1211">
        <f>I78*$J$39</f>
        <v>1825592.5164126898</v>
      </c>
      <c r="K78" s="1299">
        <f>K71</f>
        <v>0.45</v>
      </c>
      <c r="L78" s="1244">
        <f>J78*K78</f>
        <v>821516.63238571049</v>
      </c>
      <c r="M78" s="1424" t="s">
        <v>124</v>
      </c>
      <c r="N78" s="1220"/>
      <c r="O78" s="1426"/>
      <c r="P78" s="1425">
        <v>0.2</v>
      </c>
      <c r="Q78" s="1426">
        <v>1E-4</v>
      </c>
      <c r="R78" s="1204">
        <v>0.79</v>
      </c>
      <c r="S78" s="1427">
        <f>(SUM($I$77*N78,$I$78*O78,$I$79*P78)+1000*Q78)/(SUM($I$77:$I$79)+1000)</f>
        <v>7.7890466531440163E-3</v>
      </c>
    </row>
    <row r="79" spans="1:19" s="1297" customFormat="1" x14ac:dyDescent="0.2">
      <c r="C79" s="1298"/>
      <c r="D79" s="1298"/>
      <c r="E79" s="1298"/>
      <c r="F79" s="1298"/>
      <c r="G79" s="1204" t="s">
        <v>117</v>
      </c>
      <c r="H79" s="1235" t="s">
        <v>121</v>
      </c>
      <c r="I79" s="1296">
        <v>47.5</v>
      </c>
      <c r="J79" s="1211">
        <f>I79*$J$39</f>
        <v>2167891.1132400692</v>
      </c>
      <c r="K79" s="1299">
        <f>K59</f>
        <v>0.45</v>
      </c>
      <c r="L79" s="1244">
        <f>J79*K79</f>
        <v>975551.00095803116</v>
      </c>
      <c r="M79" s="1424" t="s">
        <v>125</v>
      </c>
      <c r="N79" s="1220"/>
      <c r="O79" s="1425"/>
      <c r="P79" s="1296"/>
      <c r="Q79" s="1426">
        <v>5.8999999999999999E-3</v>
      </c>
      <c r="R79" s="1204">
        <v>0.51</v>
      </c>
      <c r="S79" s="1427">
        <f>(SUM($I$77*N79,$I$78*O79,$I$79*P79)+1000*Q79)/(SUM($I$77:$I$79)+1000)</f>
        <v>4.7870182555780931E-3</v>
      </c>
    </row>
    <row r="80" spans="1:19" s="1297" customFormat="1" x14ac:dyDescent="0.2">
      <c r="A80" s="1107" t="s">
        <v>704</v>
      </c>
      <c r="B80" s="1107" t="s">
        <v>86</v>
      </c>
      <c r="C80" s="1298"/>
      <c r="D80" s="1298"/>
      <c r="E80" s="1298"/>
      <c r="F80" s="1298"/>
      <c r="G80" s="1212" t="s">
        <v>126</v>
      </c>
      <c r="H80" s="1235"/>
      <c r="I80" s="1278"/>
      <c r="J80" s="1256"/>
      <c r="K80" s="1211"/>
      <c r="L80" s="1256">
        <f>SUM(L58:L79)</f>
        <v>4615438.758262801</v>
      </c>
      <c r="M80" s="1424" t="s">
        <v>127</v>
      </c>
      <c r="N80" s="1220"/>
      <c r="O80" s="1425">
        <v>0.24</v>
      </c>
      <c r="P80" s="1426">
        <v>1.4999999999999999E-2</v>
      </c>
      <c r="Q80" s="1426">
        <v>2.8999999999999998E-3</v>
      </c>
      <c r="R80" s="1204">
        <v>1.03</v>
      </c>
      <c r="S80" s="1427">
        <f>(SUM($I$77*N80,$I$78*O80,$I$79*P80)+1000*Q80)/(SUM($I$77:$I$79)+1000)</f>
        <v>1.0720081135902637E-2</v>
      </c>
    </row>
    <row r="81" spans="1:19" s="1297" customFormat="1" x14ac:dyDescent="0.2">
      <c r="C81" s="1298"/>
      <c r="D81" s="1298"/>
      <c r="E81" s="1298"/>
      <c r="F81" s="1301"/>
      <c r="G81" s="1302"/>
      <c r="H81" s="1303"/>
      <c r="I81" s="1302"/>
      <c r="J81" s="1302"/>
      <c r="K81" s="1283"/>
      <c r="L81" s="1302"/>
      <c r="M81" s="1428"/>
      <c r="N81" s="1302"/>
      <c r="O81" s="1302"/>
      <c r="P81" s="1302"/>
      <c r="Q81" s="1302"/>
      <c r="R81" s="1302"/>
      <c r="S81" s="1428"/>
    </row>
    <row r="82" spans="1:19" ht="25.5" x14ac:dyDescent="0.2">
      <c r="C82" s="1203"/>
      <c r="D82" s="1203"/>
      <c r="E82" s="1203"/>
      <c r="F82" s="1230" t="s">
        <v>128</v>
      </c>
      <c r="G82" s="1231" t="s">
        <v>129</v>
      </c>
      <c r="H82" s="1232" t="s">
        <v>20</v>
      </c>
      <c r="I82" s="1254" t="s">
        <v>71</v>
      </c>
      <c r="J82" s="1254" t="s">
        <v>72</v>
      </c>
      <c r="K82" s="1289" t="s">
        <v>73</v>
      </c>
      <c r="L82" s="1254" t="s">
        <v>130</v>
      </c>
      <c r="M82" s="1369"/>
      <c r="N82" s="1232" t="s">
        <v>76</v>
      </c>
      <c r="O82" s="1192"/>
      <c r="P82" s="1192"/>
      <c r="Q82" s="1192"/>
      <c r="R82" s="1192"/>
      <c r="S82" s="1369"/>
    </row>
    <row r="83" spans="1:19" x14ac:dyDescent="0.2">
      <c r="C83" s="1203"/>
      <c r="D83" s="1203"/>
      <c r="E83" s="1203"/>
      <c r="F83" s="1230"/>
      <c r="G83" s="1220" t="s">
        <v>131</v>
      </c>
      <c r="H83" s="1232"/>
      <c r="I83" s="1254"/>
      <c r="J83" s="1254"/>
      <c r="K83" s="1289"/>
      <c r="L83" s="1232"/>
      <c r="M83" s="1369"/>
      <c r="N83" s="1232"/>
      <c r="O83" s="1192"/>
      <c r="P83" s="1192"/>
      <c r="Q83" s="1192"/>
      <c r="R83" s="1192"/>
      <c r="S83" s="1369"/>
    </row>
    <row r="84" spans="1:19" x14ac:dyDescent="0.2">
      <c r="C84" s="1203"/>
      <c r="D84" s="1203"/>
      <c r="E84" s="1203"/>
      <c r="F84" s="1203"/>
      <c r="G84" s="1204" t="s">
        <v>132</v>
      </c>
      <c r="H84" s="1235" t="s">
        <v>133</v>
      </c>
      <c r="I84" s="1294">
        <v>1.9</v>
      </c>
      <c r="J84" s="1211">
        <f>I84*$I$14*1000</f>
        <v>190000</v>
      </c>
      <c r="K84" s="1279">
        <v>5</v>
      </c>
      <c r="L84" s="1244">
        <f>J84*K84</f>
        <v>950000</v>
      </c>
      <c r="M84" s="1369"/>
      <c r="N84" s="1204" t="s">
        <v>134</v>
      </c>
      <c r="O84" s="1192"/>
      <c r="P84" s="1192"/>
      <c r="Q84" s="1192"/>
      <c r="R84" s="1192"/>
      <c r="S84" s="1369"/>
    </row>
    <row r="85" spans="1:19" x14ac:dyDescent="0.2">
      <c r="C85" s="1203"/>
      <c r="D85" s="1203"/>
      <c r="E85" s="1203"/>
      <c r="F85" s="1203"/>
      <c r="G85" s="1204" t="s">
        <v>135</v>
      </c>
      <c r="H85" s="1235" t="s">
        <v>133</v>
      </c>
      <c r="I85" s="1294">
        <v>0.63</v>
      </c>
      <c r="J85" s="1211">
        <f>I85*$I$14*1000</f>
        <v>63000</v>
      </c>
      <c r="K85" s="1216">
        <f>K84</f>
        <v>5</v>
      </c>
      <c r="L85" s="1244">
        <f>J85*K85</f>
        <v>315000</v>
      </c>
      <c r="M85" s="1369"/>
      <c r="N85" s="1204" t="s">
        <v>136</v>
      </c>
      <c r="O85" s="1192"/>
      <c r="P85" s="1192"/>
      <c r="Q85" s="1192"/>
      <c r="R85" s="1192"/>
      <c r="S85" s="1369"/>
    </row>
    <row r="86" spans="1:19" x14ac:dyDescent="0.2">
      <c r="A86" s="1107" t="s">
        <v>705</v>
      </c>
      <c r="B86" s="1107" t="s">
        <v>131</v>
      </c>
      <c r="C86" s="1203"/>
      <c r="D86" s="1203"/>
      <c r="E86" s="1203"/>
      <c r="F86" s="1203"/>
      <c r="G86" s="1212" t="s">
        <v>137</v>
      </c>
      <c r="H86" s="1235"/>
      <c r="I86" s="1204"/>
      <c r="J86" s="1256">
        <f>SUM(J81:J85)</f>
        <v>253000</v>
      </c>
      <c r="K86" s="1216"/>
      <c r="L86" s="1256">
        <f>SUM(L81:L85)</f>
        <v>1265000</v>
      </c>
      <c r="M86" s="1369"/>
      <c r="N86" s="1204" t="s">
        <v>138</v>
      </c>
      <c r="O86" s="1192"/>
      <c r="P86" s="1192"/>
      <c r="Q86" s="1192"/>
      <c r="R86" s="1192"/>
      <c r="S86" s="1369"/>
    </row>
    <row r="87" spans="1:19" x14ac:dyDescent="0.2">
      <c r="C87" s="1203"/>
      <c r="D87" s="1203"/>
      <c r="E87" s="1203"/>
      <c r="F87" s="1203"/>
      <c r="G87" s="1266" t="s">
        <v>139</v>
      </c>
      <c r="H87" s="1235"/>
      <c r="I87" s="1204"/>
      <c r="J87" s="1211"/>
      <c r="K87" s="1216"/>
      <c r="L87" s="1244"/>
      <c r="M87" s="1369"/>
      <c r="N87" s="1204"/>
      <c r="O87" s="1192"/>
      <c r="P87" s="1192"/>
      <c r="Q87" s="1192"/>
      <c r="R87" s="1192"/>
      <c r="S87" s="1369"/>
    </row>
    <row r="88" spans="1:19" x14ac:dyDescent="0.2">
      <c r="C88" s="1203"/>
      <c r="D88" s="1203"/>
      <c r="E88" s="1203"/>
      <c r="F88" s="1203"/>
      <c r="G88" s="1220" t="s">
        <v>140</v>
      </c>
      <c r="H88" s="1235"/>
      <c r="I88" s="1204"/>
      <c r="J88" s="1211"/>
      <c r="K88" s="1216"/>
      <c r="L88" s="1244"/>
      <c r="M88" s="1369"/>
      <c r="N88" s="1204"/>
      <c r="O88" s="1192"/>
      <c r="P88" s="1192"/>
      <c r="Q88" s="1192"/>
      <c r="R88" s="1192"/>
      <c r="S88" s="1369"/>
    </row>
    <row r="89" spans="1:19" x14ac:dyDescent="0.2">
      <c r="C89" s="1203"/>
      <c r="D89" s="1203"/>
      <c r="E89" s="1203"/>
      <c r="F89" s="1203"/>
      <c r="G89" s="1204" t="s">
        <v>141</v>
      </c>
      <c r="H89" s="1235" t="s">
        <v>133</v>
      </c>
      <c r="I89" s="1294">
        <v>1.9</v>
      </c>
      <c r="J89" s="1211">
        <f>I89*$I$14*1000</f>
        <v>190000</v>
      </c>
      <c r="K89" s="1216"/>
      <c r="L89" s="1244">
        <f>J89*K89</f>
        <v>0</v>
      </c>
      <c r="M89" s="1369"/>
      <c r="N89" s="1204" t="s">
        <v>142</v>
      </c>
      <c r="O89" s="1192"/>
      <c r="P89" s="1192"/>
      <c r="Q89" s="1192"/>
      <c r="R89" s="1192"/>
      <c r="S89" s="1369"/>
    </row>
    <row r="90" spans="1:19" x14ac:dyDescent="0.2">
      <c r="C90" s="1203"/>
      <c r="D90" s="1203"/>
      <c r="E90" s="1203"/>
      <c r="F90" s="1203"/>
      <c r="G90" s="1204" t="s">
        <v>143</v>
      </c>
      <c r="H90" s="1235" t="s">
        <v>133</v>
      </c>
      <c r="I90" s="1294">
        <v>0.63</v>
      </c>
      <c r="J90" s="1211">
        <f>I90*$I$14*1000</f>
        <v>63000</v>
      </c>
      <c r="K90" s="1216"/>
      <c r="L90" s="1244">
        <f>J90*K90</f>
        <v>0</v>
      </c>
      <c r="M90" s="1369"/>
      <c r="N90" s="1204" t="s">
        <v>142</v>
      </c>
      <c r="O90" s="1192"/>
      <c r="P90" s="1192"/>
      <c r="Q90" s="1192"/>
      <c r="R90" s="1192"/>
      <c r="S90" s="1369"/>
    </row>
    <row r="91" spans="1:19" x14ac:dyDescent="0.2">
      <c r="C91" s="1203"/>
      <c r="D91" s="1203"/>
      <c r="E91" s="1203"/>
      <c r="F91" s="1203"/>
      <c r="G91" s="1204" t="s">
        <v>144</v>
      </c>
      <c r="H91" s="1235" t="s">
        <v>133</v>
      </c>
      <c r="I91" s="1294">
        <v>4.0999999999999996</v>
      </c>
      <c r="J91" s="1211">
        <f>I91*$I$14*1000</f>
        <v>409999.99999999994</v>
      </c>
      <c r="K91" s="1279">
        <v>3</v>
      </c>
      <c r="L91" s="1244">
        <f>J91*K91</f>
        <v>1229999.9999999998</v>
      </c>
      <c r="M91" s="1369"/>
      <c r="N91" s="1204" t="s">
        <v>145</v>
      </c>
      <c r="O91" s="1192"/>
      <c r="P91" s="1192"/>
      <c r="Q91" s="1192"/>
      <c r="R91" s="1192"/>
      <c r="S91" s="1369"/>
    </row>
    <row r="92" spans="1:19" x14ac:dyDescent="0.2">
      <c r="C92" s="1203"/>
      <c r="D92" s="1203"/>
      <c r="E92" s="1203"/>
      <c r="F92" s="1203"/>
      <c r="G92" s="1192"/>
      <c r="H92" s="1243"/>
      <c r="I92" s="1192"/>
      <c r="J92" s="1256">
        <f>SUM(J87:J91)</f>
        <v>663000</v>
      </c>
      <c r="K92" s="1216"/>
      <c r="L92" s="1192"/>
      <c r="M92" s="1369"/>
      <c r="N92" s="1192"/>
      <c r="O92" s="1192"/>
      <c r="P92" s="1192"/>
      <c r="Q92" s="1192"/>
      <c r="R92" s="1192"/>
      <c r="S92" s="1369"/>
    </row>
    <row r="93" spans="1:19" x14ac:dyDescent="0.2">
      <c r="C93" s="1203"/>
      <c r="D93" s="1203"/>
      <c r="E93" s="1203"/>
      <c r="F93" s="1203"/>
      <c r="G93" s="1220" t="s">
        <v>146</v>
      </c>
      <c r="H93" s="1243"/>
      <c r="I93" s="1192"/>
      <c r="J93" s="1192"/>
      <c r="K93" s="1216"/>
      <c r="L93" s="1192"/>
      <c r="M93" s="1369"/>
      <c r="N93" s="1192"/>
      <c r="O93" s="1192"/>
      <c r="P93" s="1221" t="s">
        <v>147</v>
      </c>
      <c r="Q93" s="1221" t="s">
        <v>148</v>
      </c>
      <c r="R93" s="1192"/>
      <c r="S93" s="1369"/>
    </row>
    <row r="94" spans="1:19" x14ac:dyDescent="0.2">
      <c r="C94" s="1203"/>
      <c r="D94" s="1203"/>
      <c r="E94" s="1203"/>
      <c r="F94" s="1203"/>
      <c r="G94" s="1204" t="s">
        <v>149</v>
      </c>
      <c r="H94" s="1235" t="s">
        <v>150</v>
      </c>
      <c r="I94" s="1294">
        <v>4</v>
      </c>
      <c r="J94" s="1211">
        <f>I94*$I$14*1000</f>
        <v>400000</v>
      </c>
      <c r="K94" s="1279">
        <v>1</v>
      </c>
      <c r="L94" s="1244">
        <f>K94*J94</f>
        <v>400000</v>
      </c>
      <c r="M94" s="1369"/>
      <c r="N94" s="1204" t="s">
        <v>151</v>
      </c>
      <c r="O94" s="1192"/>
      <c r="P94" s="1294">
        <v>26</v>
      </c>
      <c r="Q94" s="1192"/>
      <c r="R94" s="1424" t="s">
        <v>152</v>
      </c>
      <c r="S94" s="1369"/>
    </row>
    <row r="95" spans="1:19" x14ac:dyDescent="0.2">
      <c r="C95" s="1203"/>
      <c r="D95" s="1203"/>
      <c r="E95" s="1203"/>
      <c r="F95" s="1203"/>
      <c r="G95" s="1204" t="s">
        <v>153</v>
      </c>
      <c r="H95" s="1235" t="s">
        <v>150</v>
      </c>
      <c r="I95" s="1294">
        <v>90</v>
      </c>
      <c r="J95" s="1211">
        <f>I95*$I$14*1000</f>
        <v>9000000</v>
      </c>
      <c r="K95" s="1216"/>
      <c r="L95" s="1244">
        <f>K95*J95</f>
        <v>0</v>
      </c>
      <c r="M95" s="1369"/>
      <c r="N95" s="1204" t="s">
        <v>151</v>
      </c>
      <c r="O95" s="1192"/>
      <c r="P95" s="1294">
        <v>26</v>
      </c>
      <c r="Q95" s="1294">
        <v>30</v>
      </c>
      <c r="R95" s="1424" t="s">
        <v>152</v>
      </c>
      <c r="S95" s="1369"/>
    </row>
    <row r="96" spans="1:19" x14ac:dyDescent="0.2">
      <c r="C96" s="1203"/>
      <c r="D96" s="1203"/>
      <c r="E96" s="1203"/>
      <c r="F96" s="1203"/>
      <c r="G96" s="1204" t="s">
        <v>154</v>
      </c>
      <c r="H96" s="1235" t="s">
        <v>150</v>
      </c>
      <c r="I96" s="1294">
        <v>50</v>
      </c>
      <c r="J96" s="1211">
        <f>I96*$I$14*1000</f>
        <v>5000000</v>
      </c>
      <c r="K96" s="1216"/>
      <c r="L96" s="1244">
        <f>K96*J96</f>
        <v>0</v>
      </c>
      <c r="M96" s="1369"/>
      <c r="N96" s="1204" t="s">
        <v>151</v>
      </c>
      <c r="O96" s="1192"/>
      <c r="P96" s="1294">
        <v>26</v>
      </c>
      <c r="Q96" s="1294">
        <v>30</v>
      </c>
      <c r="R96" s="1424" t="s">
        <v>152</v>
      </c>
      <c r="S96" s="1369"/>
    </row>
    <row r="97" spans="1:19" x14ac:dyDescent="0.2">
      <c r="C97" s="1203"/>
      <c r="D97" s="1203"/>
      <c r="E97" s="1203"/>
      <c r="F97" s="1203"/>
      <c r="G97" s="1204" t="s">
        <v>155</v>
      </c>
      <c r="H97" s="1235" t="s">
        <v>150</v>
      </c>
      <c r="I97" s="1294">
        <v>10</v>
      </c>
      <c r="J97" s="1211">
        <f>I97*$I$14*1000</f>
        <v>1000000</v>
      </c>
      <c r="K97" s="1216"/>
      <c r="L97" s="1244">
        <f>K97*J97</f>
        <v>0</v>
      </c>
      <c r="M97" s="1369"/>
      <c r="N97" s="1204" t="s">
        <v>151</v>
      </c>
      <c r="O97" s="1192"/>
      <c r="P97" s="1294">
        <v>26</v>
      </c>
      <c r="Q97" s="1294">
        <v>30</v>
      </c>
      <c r="R97" s="1424" t="s">
        <v>152</v>
      </c>
      <c r="S97" s="1369"/>
    </row>
    <row r="98" spans="1:19" x14ac:dyDescent="0.2">
      <c r="C98" s="1203"/>
      <c r="D98" s="1203"/>
      <c r="E98" s="1203"/>
      <c r="F98" s="1203"/>
      <c r="G98" s="1245" t="s">
        <v>156</v>
      </c>
      <c r="H98" s="1245" t="s">
        <v>65</v>
      </c>
      <c r="I98" s="1220"/>
      <c r="J98" s="1311">
        <f>SUM(J95:J97)</f>
        <v>15000000</v>
      </c>
      <c r="K98" s="1212"/>
      <c r="L98" s="1312">
        <f>SUM(L94:L97)</f>
        <v>400000</v>
      </c>
      <c r="M98" s="1369"/>
      <c r="N98" s="1204"/>
      <c r="O98" s="1192"/>
      <c r="P98" s="1192"/>
      <c r="Q98" s="1192"/>
      <c r="R98" s="1192"/>
      <c r="S98" s="1369"/>
    </row>
    <row r="99" spans="1:19" x14ac:dyDescent="0.2">
      <c r="C99" s="1203"/>
      <c r="D99" s="1203"/>
      <c r="E99" s="1203"/>
      <c r="F99" s="1203"/>
      <c r="G99" s="1313" t="s">
        <v>855</v>
      </c>
      <c r="H99" s="1235" t="s">
        <v>157</v>
      </c>
      <c r="I99" s="1263">
        <v>0.1</v>
      </c>
      <c r="J99" s="1211">
        <f>I99*J98</f>
        <v>1500000</v>
      </c>
      <c r="K99" s="1216">
        <f>K94</f>
        <v>1</v>
      </c>
      <c r="L99" s="1244">
        <f>K99*J99</f>
        <v>1500000</v>
      </c>
      <c r="M99" s="1369"/>
      <c r="N99" s="1204"/>
      <c r="O99" s="1192"/>
      <c r="P99" s="1192"/>
      <c r="Q99" s="1192"/>
      <c r="R99" s="1192"/>
      <c r="S99" s="1369"/>
    </row>
    <row r="100" spans="1:19" x14ac:dyDescent="0.2">
      <c r="A100" s="1107" t="s">
        <v>706</v>
      </c>
      <c r="B100" s="1107" t="s">
        <v>139</v>
      </c>
      <c r="C100" s="1203"/>
      <c r="D100" s="1203"/>
      <c r="E100" s="1203"/>
      <c r="F100" s="1203"/>
      <c r="G100" s="1212" t="s">
        <v>158</v>
      </c>
      <c r="H100" s="1235"/>
      <c r="I100" s="1204"/>
      <c r="J100" s="1211"/>
      <c r="K100" s="1216"/>
      <c r="L100" s="1256">
        <f>SUM(L98:L99,L91)</f>
        <v>3130000</v>
      </c>
      <c r="M100" s="1369"/>
      <c r="N100" s="1204"/>
      <c r="O100" s="1192"/>
      <c r="P100" s="1192"/>
      <c r="Q100" s="1192"/>
      <c r="R100" s="1192"/>
      <c r="S100" s="1369"/>
    </row>
    <row r="101" spans="1:19" x14ac:dyDescent="0.2">
      <c r="C101" s="1203"/>
      <c r="D101" s="1203"/>
      <c r="E101" s="1203"/>
      <c r="F101" s="1203"/>
      <c r="G101" s="1192"/>
      <c r="H101" s="1243"/>
      <c r="I101" s="1192"/>
      <c r="J101" s="1192"/>
      <c r="K101" s="1216"/>
      <c r="M101" s="1369"/>
      <c r="N101" s="1192"/>
      <c r="O101" s="1192"/>
      <c r="P101" s="1192"/>
      <c r="Q101" s="1192"/>
      <c r="R101" s="1192"/>
      <c r="S101" s="1369"/>
    </row>
    <row r="102" spans="1:19" x14ac:dyDescent="0.2">
      <c r="C102" s="1203"/>
      <c r="D102" s="1203"/>
      <c r="E102" s="1203"/>
      <c r="F102" s="1203"/>
      <c r="G102" s="1220" t="s">
        <v>159</v>
      </c>
      <c r="H102" s="1243"/>
      <c r="I102" s="1192"/>
      <c r="J102" s="1204"/>
      <c r="K102" s="1216"/>
      <c r="L102" s="1192"/>
      <c r="M102" s="1369"/>
      <c r="N102" s="1192"/>
      <c r="O102" s="1192"/>
      <c r="P102" s="1192"/>
      <c r="Q102" s="1204"/>
      <c r="R102" s="1192"/>
      <c r="S102" s="1369"/>
    </row>
    <row r="103" spans="1:19" x14ac:dyDescent="0.2">
      <c r="C103" s="1203"/>
      <c r="D103" s="1203"/>
      <c r="E103" s="1203"/>
      <c r="F103" s="1203"/>
      <c r="G103" s="1204" t="s">
        <v>160</v>
      </c>
      <c r="H103" s="1235" t="s">
        <v>161</v>
      </c>
      <c r="I103" s="1294">
        <v>45</v>
      </c>
      <c r="J103" s="1211">
        <f t="shared" ref="J103:J108" si="3">I103*$I$14*1000</f>
        <v>4500000</v>
      </c>
      <c r="K103" s="1315"/>
      <c r="L103" s="1244"/>
      <c r="M103" s="1369"/>
      <c r="N103" s="1192"/>
      <c r="O103" s="1192"/>
      <c r="P103" s="1192"/>
      <c r="Q103" s="1192"/>
      <c r="R103" s="1192"/>
      <c r="S103" s="1369"/>
    </row>
    <row r="104" spans="1:19" x14ac:dyDescent="0.2">
      <c r="C104" s="1203"/>
      <c r="D104" s="1203"/>
      <c r="E104" s="1203"/>
      <c r="F104" s="1203"/>
      <c r="G104" s="1204" t="s">
        <v>162</v>
      </c>
      <c r="H104" s="1235" t="s">
        <v>161</v>
      </c>
      <c r="I104" s="1294">
        <v>24</v>
      </c>
      <c r="J104" s="1211">
        <f t="shared" si="3"/>
        <v>2400000</v>
      </c>
      <c r="K104" s="1315"/>
      <c r="L104" s="1244"/>
      <c r="M104" s="1369"/>
      <c r="N104" s="1192"/>
      <c r="O104" s="1192"/>
      <c r="P104" s="1192"/>
      <c r="Q104" s="1192"/>
      <c r="R104" s="1192"/>
      <c r="S104" s="1369"/>
    </row>
    <row r="105" spans="1:19" x14ac:dyDescent="0.2">
      <c r="C105" s="1203"/>
      <c r="D105" s="1203"/>
      <c r="E105" s="1203"/>
      <c r="F105" s="1203"/>
      <c r="G105" s="1204" t="s">
        <v>163</v>
      </c>
      <c r="H105" s="1235" t="s">
        <v>161</v>
      </c>
      <c r="I105" s="1294">
        <v>9</v>
      </c>
      <c r="J105" s="1211">
        <f t="shared" si="3"/>
        <v>900000</v>
      </c>
      <c r="K105" s="1315"/>
      <c r="L105" s="1244"/>
      <c r="M105" s="1369"/>
      <c r="N105" s="1192"/>
      <c r="O105" s="1192"/>
      <c r="P105" s="1192"/>
      <c r="Q105" s="1192"/>
      <c r="R105" s="1192"/>
      <c r="S105" s="1369"/>
    </row>
    <row r="106" spans="1:19" x14ac:dyDescent="0.2">
      <c r="C106" s="1203"/>
      <c r="D106" s="1203"/>
      <c r="E106" s="1203"/>
      <c r="F106" s="1203"/>
      <c r="G106" s="1204" t="s">
        <v>164</v>
      </c>
      <c r="H106" s="1235" t="s">
        <v>165</v>
      </c>
      <c r="I106" s="1294">
        <v>20</v>
      </c>
      <c r="J106" s="1211">
        <f t="shared" si="3"/>
        <v>2000000</v>
      </c>
      <c r="K106" s="1315"/>
      <c r="L106" s="1244"/>
      <c r="M106" s="1369"/>
      <c r="N106" s="1192"/>
      <c r="O106" s="1192"/>
      <c r="P106" s="1192"/>
      <c r="Q106" s="1192"/>
      <c r="R106" s="1192"/>
      <c r="S106" s="1369"/>
    </row>
    <row r="107" spans="1:19" x14ac:dyDescent="0.2">
      <c r="C107" s="1203"/>
      <c r="D107" s="1203"/>
      <c r="E107" s="1203"/>
      <c r="F107" s="1203"/>
      <c r="G107" s="1204" t="s">
        <v>166</v>
      </c>
      <c r="H107" s="1235" t="s">
        <v>165</v>
      </c>
      <c r="I107" s="1294">
        <v>10</v>
      </c>
      <c r="J107" s="1211">
        <f t="shared" si="3"/>
        <v>1000000</v>
      </c>
      <c r="K107" s="1315"/>
      <c r="L107" s="1244"/>
      <c r="M107" s="1369"/>
      <c r="N107" s="1192"/>
      <c r="O107" s="1192"/>
      <c r="P107" s="1192"/>
      <c r="Q107" s="1192"/>
      <c r="R107" s="1192"/>
      <c r="S107" s="1369"/>
    </row>
    <row r="108" spans="1:19" x14ac:dyDescent="0.2">
      <c r="C108" s="1203"/>
      <c r="D108" s="1203"/>
      <c r="E108" s="1203"/>
      <c r="F108" s="1203"/>
      <c r="G108" s="1204" t="s">
        <v>167</v>
      </c>
      <c r="H108" s="1235" t="s">
        <v>168</v>
      </c>
      <c r="I108" s="1294">
        <v>60</v>
      </c>
      <c r="J108" s="1211">
        <f t="shared" si="3"/>
        <v>6000000</v>
      </c>
      <c r="K108" s="1315"/>
      <c r="L108" s="1244"/>
      <c r="M108" s="1369"/>
      <c r="N108" s="1192"/>
      <c r="O108" s="1192"/>
      <c r="P108" s="1192"/>
      <c r="Q108" s="1192"/>
      <c r="R108" s="1192"/>
      <c r="S108" s="1369"/>
    </row>
    <row r="109" spans="1:19" x14ac:dyDescent="0.2">
      <c r="C109" s="1203"/>
      <c r="D109" s="1203"/>
      <c r="E109" s="1203"/>
      <c r="F109" s="1203"/>
      <c r="G109" s="1204" t="s">
        <v>169</v>
      </c>
      <c r="H109" s="1235" t="s">
        <v>170</v>
      </c>
      <c r="I109" s="1294">
        <v>350</v>
      </c>
      <c r="J109" s="1211">
        <f>I109*I16*24</f>
        <v>2820720</v>
      </c>
      <c r="K109" s="1315"/>
      <c r="L109" s="1244"/>
      <c r="M109" s="1369"/>
      <c r="N109" s="1204" t="s">
        <v>171</v>
      </c>
      <c r="O109" s="1192"/>
      <c r="P109" s="1192"/>
      <c r="Q109" s="1192"/>
      <c r="R109" s="1192"/>
      <c r="S109" s="1369"/>
    </row>
    <row r="110" spans="1:19" x14ac:dyDescent="0.2">
      <c r="A110" s="1107" t="s">
        <v>707</v>
      </c>
      <c r="B110" s="1107" t="s">
        <v>594</v>
      </c>
      <c r="C110" s="1203"/>
      <c r="D110" s="1203"/>
      <c r="E110" s="1203"/>
      <c r="F110" s="1203"/>
      <c r="G110" s="1212" t="s">
        <v>172</v>
      </c>
      <c r="H110" s="1235" t="s">
        <v>173</v>
      </c>
      <c r="I110" s="1192"/>
      <c r="J110" s="1256">
        <f>SUM(J103:J109)</f>
        <v>19620720</v>
      </c>
      <c r="K110" s="1317">
        <v>0.04</v>
      </c>
      <c r="L110" s="1273">
        <f>K110*J110</f>
        <v>784828.8</v>
      </c>
      <c r="M110" s="1369"/>
      <c r="N110" s="1204" t="s">
        <v>138</v>
      </c>
      <c r="O110" s="1192"/>
      <c r="P110" s="1192"/>
      <c r="Q110" s="1192"/>
      <c r="R110" s="1192"/>
      <c r="S110" s="1369"/>
    </row>
    <row r="111" spans="1:19" x14ac:dyDescent="0.2">
      <c r="C111" s="1203"/>
      <c r="D111" s="1203"/>
      <c r="E111" s="1203"/>
      <c r="F111" s="1203"/>
      <c r="G111" s="1212" t="s">
        <v>174</v>
      </c>
      <c r="H111" s="1235" t="s">
        <v>175</v>
      </c>
      <c r="I111" s="1192"/>
      <c r="J111" s="1244">
        <f>J110/I17</f>
        <v>2434.5741512805239</v>
      </c>
      <c r="K111" s="1216"/>
      <c r="L111" s="1192"/>
      <c r="M111" s="1369"/>
      <c r="N111" s="1192"/>
      <c r="O111" s="1192"/>
      <c r="P111" s="1192"/>
      <c r="Q111" s="1192"/>
      <c r="R111" s="1192"/>
      <c r="S111" s="1369"/>
    </row>
    <row r="112" spans="1:19" x14ac:dyDescent="0.2">
      <c r="C112" s="1203"/>
      <c r="D112" s="1203"/>
      <c r="E112" s="1203"/>
      <c r="F112" s="1224"/>
      <c r="G112" s="1283"/>
      <c r="H112" s="1284"/>
      <c r="I112" s="1225"/>
      <c r="J112" s="1429"/>
      <c r="K112" s="1227"/>
      <c r="L112" s="1225"/>
      <c r="M112" s="1386"/>
      <c r="N112" s="1225"/>
      <c r="O112" s="1225"/>
      <c r="P112" s="1225"/>
      <c r="Q112" s="1225"/>
      <c r="R112" s="1225"/>
      <c r="S112" s="1386"/>
    </row>
    <row r="113" spans="1:19" ht="25.5" x14ac:dyDescent="0.2">
      <c r="C113" s="1203"/>
      <c r="D113" s="1203"/>
      <c r="E113" s="1203"/>
      <c r="F113" s="1196" t="s">
        <v>176</v>
      </c>
      <c r="G113" s="1275" t="s">
        <v>177</v>
      </c>
      <c r="H113" s="1276" t="s">
        <v>20</v>
      </c>
      <c r="I113" s="1198" t="s">
        <v>71</v>
      </c>
      <c r="J113" s="1198" t="s">
        <v>72</v>
      </c>
      <c r="K113" s="1199" t="s">
        <v>73</v>
      </c>
      <c r="L113" s="1198" t="s">
        <v>130</v>
      </c>
      <c r="M113" s="1413"/>
      <c r="N113" s="1276" t="s">
        <v>76</v>
      </c>
      <c r="O113" s="1392"/>
      <c r="P113" s="1392"/>
      <c r="Q113" s="1392"/>
      <c r="R113" s="1392"/>
      <c r="S113" s="1413"/>
    </row>
    <row r="114" spans="1:19" x14ac:dyDescent="0.2">
      <c r="C114" s="1203"/>
      <c r="D114" s="1203"/>
      <c r="E114" s="1203"/>
      <c r="F114" s="1203"/>
      <c r="G114" s="1204" t="s">
        <v>178</v>
      </c>
      <c r="H114" s="1235" t="s">
        <v>179</v>
      </c>
      <c r="I114" s="1294">
        <v>8.35</v>
      </c>
      <c r="J114" s="1211">
        <f>I114*$I$14*1000</f>
        <v>835000</v>
      </c>
      <c r="K114" s="1216"/>
      <c r="L114" s="1192"/>
      <c r="M114" s="1369"/>
      <c r="N114" s="1204" t="s">
        <v>180</v>
      </c>
      <c r="O114" s="1263">
        <v>0.1</v>
      </c>
      <c r="P114" s="1192"/>
      <c r="Q114" s="1192"/>
      <c r="R114" s="1192"/>
      <c r="S114" s="1369"/>
    </row>
    <row r="115" spans="1:19" x14ac:dyDescent="0.2">
      <c r="C115" s="1203"/>
      <c r="D115" s="1203"/>
      <c r="E115" s="1203"/>
      <c r="F115" s="1203"/>
      <c r="G115" s="1204" t="s">
        <v>181</v>
      </c>
      <c r="H115" s="1430" t="s">
        <v>182</v>
      </c>
      <c r="I115" s="1431">
        <v>0</v>
      </c>
      <c r="J115" s="1432">
        <f>L44</f>
        <v>23758215.65225894</v>
      </c>
      <c r="K115" s="1433">
        <f>I115*J115/J44</f>
        <v>0</v>
      </c>
      <c r="L115" s="1211">
        <f>I115*J115</f>
        <v>0</v>
      </c>
      <c r="M115" s="1369"/>
      <c r="N115" s="1204" t="s">
        <v>180</v>
      </c>
      <c r="O115" s="1263">
        <v>0.35</v>
      </c>
      <c r="P115" s="1204" t="s">
        <v>183</v>
      </c>
      <c r="Q115" s="1263">
        <v>0.9</v>
      </c>
      <c r="R115" s="1192"/>
      <c r="S115" s="1369"/>
    </row>
    <row r="116" spans="1:19" x14ac:dyDescent="0.2">
      <c r="C116" s="1203"/>
      <c r="D116" s="1203"/>
      <c r="E116" s="1203"/>
      <c r="F116" s="1203"/>
      <c r="G116" s="1204" t="s">
        <v>184</v>
      </c>
      <c r="H116" s="1235" t="s">
        <v>185</v>
      </c>
      <c r="I116" s="943">
        <v>1</v>
      </c>
      <c r="J116" s="1405">
        <f>O116*O118</f>
        <v>3006000</v>
      </c>
      <c r="K116" s="1279">
        <v>2.1</v>
      </c>
      <c r="L116" s="1244">
        <f>J116*K116*I116</f>
        <v>6312600</v>
      </c>
      <c r="M116" s="1369"/>
      <c r="N116" s="1204" t="s">
        <v>186</v>
      </c>
      <c r="O116" s="1294">
        <v>40</v>
      </c>
      <c r="P116" s="1204" t="s">
        <v>187</v>
      </c>
      <c r="Q116" s="1192"/>
      <c r="R116" s="1192"/>
      <c r="S116" s="1369"/>
    </row>
    <row r="117" spans="1:19" x14ac:dyDescent="0.2">
      <c r="A117" s="1107" t="s">
        <v>708</v>
      </c>
      <c r="B117" s="1107" t="s">
        <v>713</v>
      </c>
      <c r="C117" s="1203"/>
      <c r="D117" s="1203"/>
      <c r="E117" s="1203"/>
      <c r="F117" s="1203"/>
      <c r="G117" s="1212" t="s">
        <v>188</v>
      </c>
      <c r="H117" s="1235"/>
      <c r="I117" s="1192"/>
      <c r="J117" s="1256"/>
      <c r="K117" s="1204"/>
      <c r="L117" s="1256">
        <f>SUM(L115:L116)</f>
        <v>6312600</v>
      </c>
      <c r="M117" s="1369"/>
      <c r="N117" s="1235" t="s">
        <v>133</v>
      </c>
      <c r="O117" s="1278">
        <f>Q115*O114*I114</f>
        <v>0.75150000000000006</v>
      </c>
      <c r="Q117" s="1192"/>
      <c r="R117" s="1192"/>
      <c r="S117" s="1369"/>
    </row>
    <row r="118" spans="1:19" x14ac:dyDescent="0.2">
      <c r="C118" s="1203"/>
      <c r="D118" s="1203"/>
      <c r="E118" s="1203"/>
      <c r="F118" s="1203"/>
      <c r="G118" s="1204"/>
      <c r="H118" s="1235"/>
      <c r="I118" s="1204"/>
      <c r="J118" s="1204"/>
      <c r="K118" s="1204"/>
      <c r="L118" s="1244"/>
      <c r="M118" s="1369"/>
      <c r="N118" s="1204"/>
      <c r="O118" s="1211">
        <f>O117*$I$14*1000</f>
        <v>75150</v>
      </c>
      <c r="P118" s="1204"/>
      <c r="Q118" s="1192"/>
      <c r="R118" s="1192"/>
      <c r="S118" s="1369"/>
    </row>
    <row r="119" spans="1:19" x14ac:dyDescent="0.2">
      <c r="C119" s="1203"/>
      <c r="D119" s="1203"/>
      <c r="E119" s="1203"/>
      <c r="F119" s="1224"/>
      <c r="G119" s="1225"/>
      <c r="H119" s="1284"/>
      <c r="I119" s="1225"/>
      <c r="J119" s="1225"/>
      <c r="K119" s="1227"/>
      <c r="L119" s="1225"/>
      <c r="M119" s="1386"/>
      <c r="N119" s="1225"/>
      <c r="O119" s="1225"/>
      <c r="P119" s="1225"/>
      <c r="Q119" s="1225"/>
      <c r="R119" s="1225"/>
      <c r="S119" s="1386"/>
    </row>
    <row r="120" spans="1:19" ht="25.5" x14ac:dyDescent="0.2">
      <c r="C120" s="1203"/>
      <c r="D120" s="1203"/>
      <c r="E120" s="1203"/>
      <c r="F120" s="1196" t="s">
        <v>189</v>
      </c>
      <c r="G120" s="1275" t="s">
        <v>190</v>
      </c>
      <c r="H120" s="1276" t="s">
        <v>20</v>
      </c>
      <c r="I120" s="1198" t="s">
        <v>71</v>
      </c>
      <c r="J120" s="1198" t="s">
        <v>72</v>
      </c>
      <c r="K120" s="1199" t="s">
        <v>73</v>
      </c>
      <c r="L120" s="1198" t="s">
        <v>130</v>
      </c>
      <c r="M120" s="1413"/>
      <c r="N120" s="1276" t="s">
        <v>76</v>
      </c>
      <c r="O120" s="1392"/>
      <c r="P120" s="1392"/>
      <c r="Q120" s="1392"/>
      <c r="R120" s="1392"/>
      <c r="S120" s="1413"/>
    </row>
    <row r="121" spans="1:19" x14ac:dyDescent="0.2">
      <c r="C121" s="1203"/>
      <c r="D121" s="1203"/>
      <c r="E121" s="1203"/>
      <c r="F121" s="1203"/>
      <c r="G121" s="1204" t="s">
        <v>191</v>
      </c>
      <c r="H121" s="1235" t="s">
        <v>192</v>
      </c>
      <c r="I121" s="1294">
        <v>1</v>
      </c>
      <c r="J121" s="1192">
        <f t="shared" ref="J121:J129" si="4">I121</f>
        <v>1</v>
      </c>
      <c r="K121" s="1434">
        <v>185000</v>
      </c>
      <c r="L121" s="1244">
        <f t="shared" ref="L121:L131" si="5">K121*J121</f>
        <v>185000</v>
      </c>
      <c r="M121" s="1369"/>
      <c r="N121" s="1192"/>
      <c r="O121" s="1192"/>
      <c r="P121" s="1192"/>
      <c r="Q121" s="1192"/>
      <c r="R121" s="1192"/>
      <c r="S121" s="1369"/>
    </row>
    <row r="122" spans="1:19" x14ac:dyDescent="0.2">
      <c r="C122" s="1203"/>
      <c r="D122" s="1203"/>
      <c r="E122" s="1203"/>
      <c r="F122" s="1203"/>
      <c r="G122" s="1204" t="s">
        <v>193</v>
      </c>
      <c r="H122" s="1235" t="s">
        <v>192</v>
      </c>
      <c r="I122" s="1294">
        <v>1</v>
      </c>
      <c r="J122" s="1192">
        <f t="shared" si="4"/>
        <v>1</v>
      </c>
      <c r="K122" s="1434">
        <v>145000</v>
      </c>
      <c r="L122" s="1244">
        <f t="shared" si="5"/>
        <v>145000</v>
      </c>
      <c r="M122" s="1369"/>
      <c r="N122" s="1192"/>
      <c r="O122" s="1192"/>
      <c r="P122" s="1192"/>
      <c r="Q122" s="1192"/>
      <c r="R122" s="1192"/>
      <c r="S122" s="1369"/>
    </row>
    <row r="123" spans="1:19" x14ac:dyDescent="0.2">
      <c r="C123" s="1203"/>
      <c r="D123" s="1203"/>
      <c r="E123" s="1203"/>
      <c r="F123" s="1203"/>
      <c r="G123" s="1204" t="s">
        <v>194</v>
      </c>
      <c r="H123" s="1235" t="s">
        <v>192</v>
      </c>
      <c r="I123" s="1294">
        <v>1</v>
      </c>
      <c r="J123" s="1192">
        <f t="shared" si="4"/>
        <v>1</v>
      </c>
      <c r="K123" s="1434">
        <v>155000</v>
      </c>
      <c r="L123" s="1244">
        <f t="shared" si="5"/>
        <v>155000</v>
      </c>
      <c r="M123" s="1369"/>
      <c r="N123" s="1192"/>
      <c r="O123" s="1192"/>
      <c r="P123" s="1192"/>
      <c r="Q123" s="1192"/>
      <c r="R123" s="1192"/>
      <c r="S123" s="1369"/>
    </row>
    <row r="124" spans="1:19" x14ac:dyDescent="0.2">
      <c r="C124" s="1203"/>
      <c r="D124" s="1203"/>
      <c r="E124" s="1203"/>
      <c r="F124" s="1203"/>
      <c r="G124" s="1204" t="s">
        <v>195</v>
      </c>
      <c r="H124" s="1235" t="s">
        <v>192</v>
      </c>
      <c r="I124" s="1294">
        <v>3</v>
      </c>
      <c r="J124" s="1192">
        <f t="shared" si="4"/>
        <v>3</v>
      </c>
      <c r="K124" s="1434">
        <v>75000</v>
      </c>
      <c r="L124" s="1244">
        <f t="shared" si="5"/>
        <v>225000</v>
      </c>
      <c r="M124" s="1369"/>
      <c r="N124" s="1204" t="s">
        <v>196</v>
      </c>
      <c r="O124" s="1192"/>
      <c r="P124" s="1192"/>
      <c r="Q124" s="1192"/>
      <c r="R124" s="1192"/>
      <c r="S124" s="1369"/>
    </row>
    <row r="125" spans="1:19" x14ac:dyDescent="0.2">
      <c r="C125" s="1203"/>
      <c r="D125" s="1203"/>
      <c r="E125" s="1203"/>
      <c r="F125" s="1203"/>
      <c r="G125" s="1204" t="s">
        <v>197</v>
      </c>
      <c r="H125" s="1235" t="s">
        <v>192</v>
      </c>
      <c r="I125" s="1294">
        <v>1</v>
      </c>
      <c r="J125" s="1192">
        <f t="shared" si="4"/>
        <v>1</v>
      </c>
      <c r="K125" s="1434">
        <v>145000</v>
      </c>
      <c r="L125" s="1244">
        <f t="shared" si="5"/>
        <v>145000</v>
      </c>
      <c r="M125" s="1369"/>
      <c r="N125" s="1192"/>
      <c r="O125" s="1192"/>
      <c r="P125" s="1192"/>
      <c r="Q125" s="1192"/>
      <c r="R125" s="1192"/>
      <c r="S125" s="1369"/>
    </row>
    <row r="126" spans="1:19" x14ac:dyDescent="0.2">
      <c r="C126" s="1203"/>
      <c r="D126" s="1203"/>
      <c r="E126" s="1203"/>
      <c r="F126" s="1203"/>
      <c r="G126" s="1204" t="s">
        <v>198</v>
      </c>
      <c r="H126" s="1235" t="s">
        <v>192</v>
      </c>
      <c r="I126" s="1294">
        <v>3</v>
      </c>
      <c r="J126" s="1192">
        <f t="shared" si="4"/>
        <v>3</v>
      </c>
      <c r="K126" s="1434">
        <v>145000</v>
      </c>
      <c r="L126" s="1244">
        <f t="shared" si="5"/>
        <v>435000</v>
      </c>
      <c r="M126" s="1369"/>
      <c r="N126" s="1192"/>
      <c r="O126" s="1192"/>
      <c r="P126" s="1192"/>
      <c r="Q126" s="1192"/>
      <c r="R126" s="1192"/>
      <c r="S126" s="1369"/>
    </row>
    <row r="127" spans="1:19" x14ac:dyDescent="0.2">
      <c r="C127" s="1203"/>
      <c r="D127" s="1203"/>
      <c r="E127" s="1203"/>
      <c r="F127" s="1203"/>
      <c r="G127" s="1204" t="s">
        <v>199</v>
      </c>
      <c r="H127" s="1235" t="s">
        <v>192</v>
      </c>
      <c r="I127" s="1294">
        <v>5</v>
      </c>
      <c r="J127" s="1192">
        <f t="shared" si="4"/>
        <v>5</v>
      </c>
      <c r="K127" s="1434">
        <v>75000</v>
      </c>
      <c r="L127" s="1244">
        <f t="shared" si="5"/>
        <v>375000</v>
      </c>
      <c r="M127" s="1369"/>
      <c r="N127" s="1192"/>
      <c r="O127" s="1192"/>
      <c r="P127" s="1192"/>
      <c r="Q127" s="1192"/>
      <c r="R127" s="1192"/>
      <c r="S127" s="1369"/>
    </row>
    <row r="128" spans="1:19" x14ac:dyDescent="0.2">
      <c r="C128" s="1203"/>
      <c r="D128" s="1203"/>
      <c r="E128" s="1203"/>
      <c r="F128" s="1203"/>
      <c r="G128" s="1204" t="s">
        <v>200</v>
      </c>
      <c r="H128" s="1235" t="s">
        <v>192</v>
      </c>
      <c r="I128" s="1294">
        <v>1</v>
      </c>
      <c r="J128" s="1192">
        <f t="shared" si="4"/>
        <v>1</v>
      </c>
      <c r="K128" s="1434">
        <v>55000</v>
      </c>
      <c r="L128" s="1244">
        <f t="shared" si="5"/>
        <v>55000</v>
      </c>
      <c r="M128" s="1369"/>
      <c r="N128" s="1192"/>
      <c r="O128" s="1192"/>
      <c r="P128" s="1192"/>
      <c r="Q128" s="1192"/>
      <c r="R128" s="1192"/>
      <c r="S128" s="1369"/>
    </row>
    <row r="129" spans="1:19" x14ac:dyDescent="0.2">
      <c r="C129" s="1203"/>
      <c r="D129" s="1203"/>
      <c r="E129" s="1203"/>
      <c r="F129" s="1203"/>
      <c r="G129" s="1204" t="s">
        <v>201</v>
      </c>
      <c r="H129" s="1235" t="s">
        <v>192</v>
      </c>
      <c r="I129" s="1294">
        <v>1</v>
      </c>
      <c r="J129" s="1192">
        <f t="shared" si="4"/>
        <v>1</v>
      </c>
      <c r="K129" s="1434">
        <v>65000</v>
      </c>
      <c r="L129" s="1244">
        <f t="shared" si="5"/>
        <v>65000</v>
      </c>
      <c r="M129" s="1369"/>
      <c r="N129" s="1204"/>
      <c r="O129" s="1192"/>
      <c r="P129" s="1192"/>
      <c r="Q129" s="1192"/>
      <c r="R129" s="1192"/>
      <c r="S129" s="1369"/>
    </row>
    <row r="130" spans="1:19" x14ac:dyDescent="0.2">
      <c r="C130" s="1203"/>
      <c r="D130" s="1203"/>
      <c r="E130" s="1203"/>
      <c r="F130" s="1203"/>
      <c r="G130" s="1204" t="s">
        <v>202</v>
      </c>
      <c r="H130" s="1235" t="s">
        <v>192</v>
      </c>
      <c r="I130" s="1294">
        <v>2</v>
      </c>
      <c r="J130" s="1192">
        <f>I130*O130</f>
        <v>6</v>
      </c>
      <c r="K130" s="1434">
        <v>50000</v>
      </c>
      <c r="L130" s="1244">
        <f t="shared" si="5"/>
        <v>300000</v>
      </c>
      <c r="M130" s="1369"/>
      <c r="N130" s="1204" t="s">
        <v>206</v>
      </c>
      <c r="O130" s="1294">
        <v>3</v>
      </c>
      <c r="P130" s="1192"/>
      <c r="Q130" s="1435" t="s">
        <v>496</v>
      </c>
      <c r="R130" s="1192"/>
      <c r="S130" s="1369"/>
    </row>
    <row r="131" spans="1:19" x14ac:dyDescent="0.2">
      <c r="C131" s="1203"/>
      <c r="D131" s="1203"/>
      <c r="E131" s="1203"/>
      <c r="F131" s="1203"/>
      <c r="G131" s="1204" t="s">
        <v>204</v>
      </c>
      <c r="H131" s="1235" t="s">
        <v>205</v>
      </c>
      <c r="I131" s="1294">
        <v>3</v>
      </c>
      <c r="J131" s="1192">
        <f>I131*O131</f>
        <v>12</v>
      </c>
      <c r="K131" s="1434">
        <v>65000</v>
      </c>
      <c r="L131" s="1244">
        <f t="shared" si="5"/>
        <v>780000</v>
      </c>
      <c r="M131" s="1369"/>
      <c r="N131" s="1204" t="s">
        <v>206</v>
      </c>
      <c r="O131" s="1294">
        <v>4</v>
      </c>
      <c r="P131" s="1192"/>
      <c r="Q131" s="1192"/>
      <c r="R131" s="1192"/>
      <c r="S131" s="1369"/>
    </row>
    <row r="132" spans="1:19" x14ac:dyDescent="0.2">
      <c r="C132" s="1203"/>
      <c r="D132" s="1203"/>
      <c r="E132" s="1203"/>
      <c r="F132" s="1203"/>
      <c r="G132" s="1245" t="s">
        <v>207</v>
      </c>
      <c r="H132" s="1243"/>
      <c r="I132" s="1192"/>
      <c r="J132" s="1436">
        <f>SUM(J121:J131)</f>
        <v>35</v>
      </c>
      <c r="K132" s="1216"/>
      <c r="L132" s="1312">
        <f>SUM(L121:L131)</f>
        <v>2865000</v>
      </c>
      <c r="M132" s="1369"/>
      <c r="N132" s="1192"/>
      <c r="O132" s="1192"/>
      <c r="P132" s="1192"/>
      <c r="Q132" s="1192"/>
      <c r="R132" s="1192"/>
      <c r="S132" s="1369"/>
    </row>
    <row r="133" spans="1:19" x14ac:dyDescent="0.2">
      <c r="C133" s="1203"/>
      <c r="D133" s="1203"/>
      <c r="E133" s="1203"/>
      <c r="F133" s="1203"/>
      <c r="G133" s="1245" t="s">
        <v>208</v>
      </c>
      <c r="H133" s="1235" t="s">
        <v>209</v>
      </c>
      <c r="I133" s="1332">
        <v>0.2</v>
      </c>
      <c r="J133" s="1238">
        <f>L132</f>
        <v>2865000</v>
      </c>
      <c r="K133" s="1216"/>
      <c r="L133" s="1244">
        <f>J133*I133</f>
        <v>573000</v>
      </c>
      <c r="M133" s="1369"/>
      <c r="N133" s="1192"/>
      <c r="O133" s="1192"/>
      <c r="P133" s="1192"/>
      <c r="Q133" s="1192"/>
      <c r="R133" s="1192"/>
      <c r="S133" s="1369"/>
    </row>
    <row r="134" spans="1:19" x14ac:dyDescent="0.2">
      <c r="A134" s="1107" t="s">
        <v>709</v>
      </c>
      <c r="B134" s="1107" t="s">
        <v>190</v>
      </c>
      <c r="C134" s="1203"/>
      <c r="D134" s="1203"/>
      <c r="E134" s="1203"/>
      <c r="F134" s="1203"/>
      <c r="G134" s="1212" t="s">
        <v>210</v>
      </c>
      <c r="H134" s="1243"/>
      <c r="I134" s="1192"/>
      <c r="J134" s="1220"/>
      <c r="K134" s="1216"/>
      <c r="L134" s="1256">
        <f>SUM(L132:L133)</f>
        <v>3438000</v>
      </c>
      <c r="M134" s="1369"/>
      <c r="N134" s="1192"/>
      <c r="O134" s="1192"/>
      <c r="P134" s="1192"/>
      <c r="Q134" s="1192"/>
      <c r="R134" s="1192"/>
      <c r="S134" s="1369"/>
    </row>
    <row r="135" spans="1:19" x14ac:dyDescent="0.2">
      <c r="C135" s="1203"/>
      <c r="D135" s="1203"/>
      <c r="E135" s="1203"/>
      <c r="F135" s="1224"/>
      <c r="G135" s="1303"/>
      <c r="H135" s="1226"/>
      <c r="I135" s="1225"/>
      <c r="J135" s="1302"/>
      <c r="K135" s="1227"/>
      <c r="L135" s="1225"/>
      <c r="M135" s="1386"/>
      <c r="N135" s="1225"/>
      <c r="O135" s="1225"/>
      <c r="P135" s="1225"/>
      <c r="Q135" s="1225"/>
      <c r="R135" s="1225"/>
      <c r="S135" s="1386"/>
    </row>
    <row r="136" spans="1:19" ht="25.5" x14ac:dyDescent="0.2">
      <c r="C136" s="1203"/>
      <c r="D136" s="1203"/>
      <c r="E136" s="1203"/>
      <c r="F136" s="1196" t="s">
        <v>211</v>
      </c>
      <c r="G136" s="1275" t="s">
        <v>212</v>
      </c>
      <c r="H136" s="1276" t="s">
        <v>20</v>
      </c>
      <c r="I136" s="1198" t="s">
        <v>213</v>
      </c>
      <c r="J136" s="1198" t="s">
        <v>72</v>
      </c>
      <c r="K136" s="1199" t="s">
        <v>73</v>
      </c>
      <c r="L136" s="1198" t="s">
        <v>130</v>
      </c>
      <c r="M136" s="1413"/>
      <c r="N136" s="1366" t="s">
        <v>1017</v>
      </c>
      <c r="O136" s="1366" t="s">
        <v>248</v>
      </c>
      <c r="P136" s="1392"/>
      <c r="Q136" s="1392"/>
      <c r="R136" s="1392"/>
      <c r="S136" s="1413"/>
    </row>
    <row r="137" spans="1:19" x14ac:dyDescent="0.2">
      <c r="C137" s="1203"/>
      <c r="D137" s="1203"/>
      <c r="E137" s="1203"/>
      <c r="F137" s="1203"/>
      <c r="G137" s="1267" t="s">
        <v>214</v>
      </c>
      <c r="H137" s="1235" t="s">
        <v>363</v>
      </c>
      <c r="I137" s="1236">
        <f>Assumptions!$F$19*O137</f>
        <v>2056</v>
      </c>
      <c r="J137" s="1210">
        <f>I14*1000*I29</f>
        <v>78900</v>
      </c>
      <c r="K137" s="1279">
        <f>2.2/32</f>
        <v>6.8750000000000006E-2</v>
      </c>
      <c r="L137" s="1211">
        <f>K137*J137*I137</f>
        <v>11152515</v>
      </c>
      <c r="M137" s="1369"/>
      <c r="N137" s="1211" t="s">
        <v>324</v>
      </c>
      <c r="O137" s="1211">
        <f>IF(N137="yes",1,2)</f>
        <v>1</v>
      </c>
      <c r="P137" s="1192"/>
      <c r="Q137" s="1192"/>
      <c r="R137" s="1192"/>
      <c r="S137" s="1369"/>
    </row>
    <row r="138" spans="1:19" x14ac:dyDescent="0.2">
      <c r="C138" s="1203"/>
      <c r="D138" s="1203"/>
      <c r="E138" s="1203"/>
      <c r="F138" s="1203"/>
      <c r="G138" s="1245"/>
      <c r="H138" s="1243"/>
      <c r="I138" s="1192"/>
      <c r="J138" s="1220"/>
      <c r="K138" s="1216"/>
      <c r="L138" s="1192"/>
      <c r="M138" s="1369"/>
      <c r="N138" s="1192"/>
      <c r="O138" s="1192"/>
      <c r="P138" s="1192"/>
      <c r="Q138" s="1192"/>
      <c r="R138" s="1192"/>
      <c r="S138" s="1369"/>
    </row>
    <row r="139" spans="1:19" x14ac:dyDescent="0.2">
      <c r="A139" s="1107" t="s">
        <v>710</v>
      </c>
      <c r="B139" s="1107" t="s">
        <v>184</v>
      </c>
      <c r="C139" s="1203"/>
      <c r="D139" s="1203"/>
      <c r="E139" s="1203"/>
      <c r="F139" s="1203"/>
      <c r="G139" s="1212" t="s">
        <v>216</v>
      </c>
      <c r="H139" s="1243"/>
      <c r="I139" s="1192"/>
      <c r="J139" s="1220"/>
      <c r="K139" s="1216"/>
      <c r="L139" s="1238">
        <f>L137</f>
        <v>11152515</v>
      </c>
      <c r="M139" s="1369"/>
      <c r="N139" s="1192"/>
      <c r="O139" s="1192"/>
      <c r="P139" s="1192"/>
      <c r="Q139" s="1192"/>
      <c r="R139" s="1192"/>
      <c r="S139" s="1369"/>
    </row>
    <row r="140" spans="1:19" x14ac:dyDescent="0.2">
      <c r="C140" s="1203"/>
      <c r="D140" s="1203"/>
      <c r="E140" s="1203"/>
      <c r="F140" s="1203"/>
      <c r="G140" s="1245"/>
      <c r="H140" s="1243"/>
      <c r="I140" s="1192"/>
      <c r="J140" s="1220"/>
      <c r="K140" s="1216"/>
      <c r="L140" s="1192"/>
      <c r="M140" s="1369"/>
      <c r="N140" s="1192"/>
      <c r="O140" s="1192"/>
      <c r="P140" s="1192"/>
      <c r="Q140" s="1192"/>
      <c r="R140" s="1192"/>
      <c r="S140" s="1369"/>
    </row>
    <row r="141" spans="1:19" ht="34.5" customHeight="1" x14ac:dyDescent="0.2">
      <c r="C141" s="1203"/>
      <c r="D141" s="1203"/>
      <c r="E141" s="1203"/>
      <c r="F141" s="1196" t="s">
        <v>217</v>
      </c>
      <c r="G141" s="1197" t="s">
        <v>218</v>
      </c>
      <c r="H141" s="1276" t="s">
        <v>20</v>
      </c>
      <c r="I141" s="1198" t="s">
        <v>213</v>
      </c>
      <c r="J141" s="1198" t="s">
        <v>72</v>
      </c>
      <c r="K141" s="1199" t="s">
        <v>73</v>
      </c>
      <c r="L141" s="1198" t="s">
        <v>130</v>
      </c>
      <c r="M141" s="1413"/>
      <c r="N141" s="1437" t="s">
        <v>76</v>
      </c>
      <c r="O141" s="1392"/>
      <c r="P141" s="1392"/>
      <c r="Q141" s="1392"/>
      <c r="R141" s="1392"/>
      <c r="S141" s="1413"/>
    </row>
    <row r="142" spans="1:19" x14ac:dyDescent="0.2">
      <c r="C142" s="1203"/>
      <c r="D142" s="1203"/>
      <c r="E142" s="1203"/>
      <c r="F142" s="1230"/>
      <c r="G142" s="1204" t="s">
        <v>219</v>
      </c>
      <c r="H142" s="1235" t="s">
        <v>220</v>
      </c>
      <c r="I142" s="1263">
        <v>0.03</v>
      </c>
      <c r="J142" s="1204">
        <f>SUM(H206:H209)</f>
        <v>56</v>
      </c>
      <c r="K142" s="1216"/>
      <c r="L142" s="1211">
        <f>I142*J142*1000000</f>
        <v>1680000</v>
      </c>
      <c r="M142" s="1369"/>
      <c r="N142" s="1203"/>
      <c r="O142" s="1192"/>
      <c r="P142" s="1192"/>
      <c r="Q142" s="1192"/>
      <c r="R142" s="1192"/>
      <c r="S142" s="1369"/>
    </row>
    <row r="143" spans="1:19" x14ac:dyDescent="0.2">
      <c r="C143" s="1203"/>
      <c r="D143" s="1203"/>
      <c r="E143" s="1203"/>
      <c r="F143" s="1230"/>
      <c r="G143" s="1204" t="s">
        <v>164</v>
      </c>
      <c r="H143" s="1235" t="s">
        <v>220</v>
      </c>
      <c r="I143" s="1263">
        <v>0.03</v>
      </c>
      <c r="J143" s="1204">
        <f>SUM(H210)</f>
        <v>17</v>
      </c>
      <c r="K143" s="1216"/>
      <c r="L143" s="1211">
        <f>I143*J143*1000000</f>
        <v>510000</v>
      </c>
      <c r="M143" s="1369"/>
      <c r="N143" s="1203"/>
      <c r="O143" s="1192"/>
      <c r="P143" s="1192"/>
      <c r="Q143" s="1192"/>
      <c r="R143" s="1192"/>
      <c r="S143" s="1369"/>
    </row>
    <row r="144" spans="1:19" x14ac:dyDescent="0.2">
      <c r="C144" s="1203"/>
      <c r="D144" s="1203"/>
      <c r="E144" s="1203"/>
      <c r="F144" s="1230"/>
      <c r="G144" s="1204" t="s">
        <v>221</v>
      </c>
      <c r="H144" s="1235" t="s">
        <v>220</v>
      </c>
      <c r="I144" s="1263">
        <v>0.03</v>
      </c>
      <c r="J144" s="1204">
        <f>SUM(H211)</f>
        <v>11</v>
      </c>
      <c r="K144" s="1216"/>
      <c r="L144" s="1211">
        <f>I144*J144*1000000</f>
        <v>329999.99999999994</v>
      </c>
      <c r="M144" s="1369"/>
      <c r="N144" s="1203"/>
      <c r="O144" s="1192"/>
      <c r="P144" s="1192"/>
      <c r="Q144" s="1192"/>
      <c r="R144" s="1192"/>
      <c r="S144" s="1369"/>
    </row>
    <row r="145" spans="1:19" x14ac:dyDescent="0.2">
      <c r="C145" s="1203"/>
      <c r="D145" s="1203"/>
      <c r="E145" s="1203"/>
      <c r="F145" s="1230"/>
      <c r="G145" s="1204" t="s">
        <v>222</v>
      </c>
      <c r="H145" s="1235" t="s">
        <v>220</v>
      </c>
      <c r="I145" s="1263">
        <v>0.03</v>
      </c>
      <c r="J145" s="1204">
        <f>H212</f>
        <v>7.5</v>
      </c>
      <c r="K145" s="1216"/>
      <c r="L145" s="1211">
        <f>I145*J145*1000000</f>
        <v>224999.99999999997</v>
      </c>
      <c r="M145" s="1369"/>
      <c r="N145" s="1203"/>
      <c r="O145" s="1192"/>
      <c r="P145" s="1192"/>
      <c r="Q145" s="1192"/>
      <c r="R145" s="1192"/>
      <c r="S145" s="1369"/>
    </row>
    <row r="146" spans="1:19" x14ac:dyDescent="0.2">
      <c r="A146" s="1107" t="s">
        <v>711</v>
      </c>
      <c r="B146" s="1107" t="s">
        <v>218</v>
      </c>
      <c r="C146" s="1203"/>
      <c r="D146" s="1203"/>
      <c r="E146" s="1203"/>
      <c r="F146" s="1230"/>
      <c r="G146" s="1212" t="s">
        <v>445</v>
      </c>
      <c r="H146" s="1243"/>
      <c r="I146" s="1192"/>
      <c r="J146" s="1220"/>
      <c r="K146" s="1216"/>
      <c r="L146" s="1273">
        <f>SUM(L142:L145)</f>
        <v>2745000</v>
      </c>
      <c r="M146" s="1369"/>
      <c r="N146" s="1203"/>
      <c r="O146" s="1192"/>
      <c r="P146" s="1192"/>
      <c r="Q146" s="1192"/>
      <c r="R146" s="1192"/>
      <c r="S146" s="1369"/>
    </row>
    <row r="147" spans="1:19" x14ac:dyDescent="0.2">
      <c r="A147" s="1107" t="s">
        <v>715</v>
      </c>
      <c r="B147" s="1107" t="s">
        <v>692</v>
      </c>
      <c r="C147" s="1203"/>
      <c r="D147" s="1203"/>
      <c r="E147" s="1203"/>
      <c r="F147" s="1230"/>
      <c r="G147" s="1438" t="s">
        <v>692</v>
      </c>
      <c r="H147" s="1243"/>
      <c r="I147" s="1192"/>
      <c r="J147" s="1220"/>
      <c r="K147" s="1216"/>
      <c r="L147" s="1439">
        <f>-L202</f>
        <v>1478606.2500000002</v>
      </c>
      <c r="M147" s="1369"/>
      <c r="N147" s="1224"/>
      <c r="O147" s="1225"/>
      <c r="P147" s="1225"/>
      <c r="Q147" s="1225"/>
      <c r="R147" s="1225"/>
      <c r="S147" s="1386"/>
    </row>
    <row r="148" spans="1:19" ht="25.5" x14ac:dyDescent="0.2">
      <c r="C148" s="1203"/>
      <c r="D148" s="1203"/>
      <c r="E148" s="1203"/>
      <c r="F148" s="1196">
        <v>10</v>
      </c>
      <c r="G148" s="1197" t="s">
        <v>223</v>
      </c>
      <c r="H148" s="1276" t="s">
        <v>20</v>
      </c>
      <c r="I148" s="1198" t="s">
        <v>213</v>
      </c>
      <c r="J148" s="1198" t="s">
        <v>72</v>
      </c>
      <c r="K148" s="1199" t="s">
        <v>73</v>
      </c>
      <c r="L148" s="1198" t="s">
        <v>130</v>
      </c>
      <c r="M148" s="1413"/>
      <c r="N148" s="1437" t="s">
        <v>76</v>
      </c>
      <c r="O148" s="1392"/>
      <c r="P148" s="1392"/>
      <c r="Q148" s="1392"/>
      <c r="R148" s="1392"/>
      <c r="S148" s="1413"/>
    </row>
    <row r="149" spans="1:19" x14ac:dyDescent="0.2">
      <c r="C149" s="1203"/>
      <c r="D149" s="1203"/>
      <c r="E149" s="1203"/>
      <c r="F149" s="1203"/>
      <c r="G149" s="1204" t="s">
        <v>224</v>
      </c>
      <c r="H149" s="1235" t="s">
        <v>225</v>
      </c>
      <c r="I149" s="1294">
        <v>20</v>
      </c>
      <c r="J149" s="1192">
        <f>I149</f>
        <v>20</v>
      </c>
      <c r="K149" s="1274">
        <v>2000</v>
      </c>
      <c r="L149" s="1211">
        <f>K149*J149</f>
        <v>40000</v>
      </c>
      <c r="M149" s="1369"/>
      <c r="N149" s="1203"/>
      <c r="O149" s="1192"/>
      <c r="P149" s="1192"/>
      <c r="Q149" s="1192"/>
      <c r="R149" s="1192"/>
      <c r="S149" s="1369"/>
    </row>
    <row r="150" spans="1:19" x14ac:dyDescent="0.2">
      <c r="C150" s="1203"/>
      <c r="D150" s="1203"/>
      <c r="E150" s="1203"/>
      <c r="F150" s="1203"/>
      <c r="G150" s="1204" t="s">
        <v>226</v>
      </c>
      <c r="H150" s="1235" t="s">
        <v>227</v>
      </c>
      <c r="I150" s="1294"/>
      <c r="J150" s="1192"/>
      <c r="K150" s="1208"/>
      <c r="L150" s="1211">
        <f>K150*J150</f>
        <v>0</v>
      </c>
      <c r="M150" s="1369"/>
      <c r="N150" s="1339" t="s">
        <v>228</v>
      </c>
      <c r="O150" s="1192"/>
      <c r="P150" s="1192"/>
      <c r="Q150" s="1192"/>
      <c r="R150" s="1192"/>
      <c r="S150" s="1369"/>
    </row>
    <row r="151" spans="1:19" x14ac:dyDescent="0.2">
      <c r="C151" s="1203"/>
      <c r="D151" s="1203"/>
      <c r="E151" s="1203"/>
      <c r="F151" s="1203"/>
      <c r="G151" s="1204" t="s">
        <v>229</v>
      </c>
      <c r="H151" s="1235" t="s">
        <v>227</v>
      </c>
      <c r="I151" s="1236">
        <v>1</v>
      </c>
      <c r="J151" s="1211">
        <f>I151</f>
        <v>1</v>
      </c>
      <c r="K151" s="1274">
        <v>150000</v>
      </c>
      <c r="L151" s="1211">
        <f>K151*J151</f>
        <v>150000</v>
      </c>
      <c r="M151" s="1369"/>
      <c r="N151" s="1203"/>
      <c r="O151" s="1192"/>
      <c r="P151" s="1192"/>
      <c r="Q151" s="1192"/>
      <c r="R151" s="1192"/>
      <c r="S151" s="1369"/>
    </row>
    <row r="152" spans="1:19" x14ac:dyDescent="0.2">
      <c r="C152" s="1203"/>
      <c r="D152" s="1203"/>
      <c r="E152" s="1203"/>
      <c r="F152" s="1203"/>
      <c r="G152" s="1204" t="s">
        <v>230</v>
      </c>
      <c r="H152" s="1235" t="s">
        <v>227</v>
      </c>
      <c r="I152" s="1236">
        <v>1</v>
      </c>
      <c r="J152" s="1211">
        <f>I152</f>
        <v>1</v>
      </c>
      <c r="K152" s="1274">
        <v>1000000</v>
      </c>
      <c r="L152" s="1211">
        <f>K152*J152</f>
        <v>1000000</v>
      </c>
      <c r="M152" s="1369"/>
      <c r="N152" s="1203"/>
      <c r="O152" s="1192"/>
      <c r="P152" s="1192"/>
      <c r="Q152" s="1192"/>
      <c r="R152" s="1192"/>
      <c r="S152" s="1369"/>
    </row>
    <row r="153" spans="1:19" x14ac:dyDescent="0.2">
      <c r="C153" s="1203"/>
      <c r="D153" s="1203"/>
      <c r="E153" s="1203"/>
      <c r="F153" s="1203"/>
      <c r="G153" s="1204" t="s">
        <v>231</v>
      </c>
      <c r="H153" s="1235" t="s">
        <v>220</v>
      </c>
      <c r="I153" s="1333">
        <v>3.0000000000000001E-3</v>
      </c>
      <c r="J153" s="1440">
        <f>SUM(I220:J220)</f>
        <v>147.860625</v>
      </c>
      <c r="K153" s="1208">
        <f>J153*I153*1000000</f>
        <v>443581.875</v>
      </c>
      <c r="L153" s="1211">
        <f>K153</f>
        <v>443581.875</v>
      </c>
      <c r="M153" s="1369"/>
      <c r="N153" s="1203"/>
      <c r="O153" s="1192"/>
      <c r="P153" s="1192"/>
      <c r="Q153" s="1192"/>
      <c r="R153" s="1192"/>
      <c r="S153" s="1369"/>
    </row>
    <row r="154" spans="1:19" x14ac:dyDescent="0.2">
      <c r="C154" s="1203"/>
      <c r="D154" s="1203"/>
      <c r="E154" s="1203"/>
      <c r="F154" s="1203"/>
      <c r="G154" s="1204" t="s">
        <v>232</v>
      </c>
      <c r="H154" s="1235" t="s">
        <v>233</v>
      </c>
      <c r="I154" s="1335">
        <v>75</v>
      </c>
      <c r="J154" s="1244">
        <f>I154</f>
        <v>75</v>
      </c>
      <c r="K154" s="1274">
        <v>1000</v>
      </c>
      <c r="L154" s="1211">
        <f>K154*J154</f>
        <v>75000</v>
      </c>
      <c r="M154" s="1369"/>
      <c r="N154" s="1203"/>
      <c r="O154" s="1192"/>
      <c r="P154" s="1192"/>
      <c r="Q154" s="1192"/>
      <c r="R154" s="1192"/>
      <c r="S154" s="1369"/>
    </row>
    <row r="155" spans="1:19" x14ac:dyDescent="0.2">
      <c r="C155" s="1203"/>
      <c r="D155" s="1203"/>
      <c r="E155" s="1203"/>
      <c r="F155" s="1203"/>
      <c r="G155" s="1204" t="s">
        <v>234</v>
      </c>
      <c r="H155" s="1235" t="s">
        <v>235</v>
      </c>
      <c r="I155" s="1294">
        <v>200</v>
      </c>
      <c r="J155" s="1240">
        <f>I16</f>
        <v>335.8</v>
      </c>
      <c r="K155" s="1208">
        <f>J155*I155</f>
        <v>67160</v>
      </c>
      <c r="L155" s="1211">
        <f>K155</f>
        <v>67160</v>
      </c>
      <c r="M155" s="1369"/>
      <c r="N155" s="1203"/>
      <c r="O155" s="1192"/>
      <c r="P155" s="1192"/>
      <c r="Q155" s="1192"/>
      <c r="R155" s="1192"/>
      <c r="S155" s="1369"/>
    </row>
    <row r="156" spans="1:19" x14ac:dyDescent="0.2">
      <c r="A156" s="1107" t="s">
        <v>712</v>
      </c>
      <c r="B156" s="1107" t="s">
        <v>223</v>
      </c>
      <c r="C156" s="1203"/>
      <c r="D156" s="1203"/>
      <c r="E156" s="1203"/>
      <c r="F156" s="1203"/>
      <c r="G156" s="1212" t="s">
        <v>364</v>
      </c>
      <c r="H156" s="1243"/>
      <c r="I156" s="1192"/>
      <c r="J156" s="1220"/>
      <c r="K156" s="1216"/>
      <c r="L156" s="1273">
        <f>SUM(L152:L155)</f>
        <v>1585741.875</v>
      </c>
      <c r="M156" s="1369"/>
      <c r="N156" s="1203"/>
      <c r="O156" s="1192"/>
      <c r="P156" s="1192"/>
      <c r="Q156" s="1192"/>
      <c r="R156" s="1192"/>
      <c r="S156" s="1369"/>
    </row>
    <row r="157" spans="1:19" x14ac:dyDescent="0.2">
      <c r="C157" s="1203"/>
      <c r="D157" s="1203"/>
      <c r="E157" s="1203"/>
      <c r="F157" s="1203"/>
      <c r="G157" s="1192"/>
      <c r="H157" s="1243"/>
      <c r="I157" s="1192"/>
      <c r="J157" s="1192"/>
      <c r="K157" s="1216"/>
      <c r="L157" s="1192"/>
      <c r="M157" s="1369"/>
      <c r="N157" s="1224"/>
      <c r="O157" s="1225"/>
      <c r="P157" s="1225"/>
      <c r="Q157" s="1225"/>
      <c r="R157" s="1225"/>
      <c r="S157" s="1386"/>
    </row>
    <row r="158" spans="1:19" ht="25.5" x14ac:dyDescent="0.2">
      <c r="C158" s="1203"/>
      <c r="D158" s="1203"/>
      <c r="E158" s="1203"/>
      <c r="F158" s="1196">
        <v>11</v>
      </c>
      <c r="G158" s="1197" t="s">
        <v>236</v>
      </c>
      <c r="H158" s="1276" t="s">
        <v>20</v>
      </c>
      <c r="I158" s="1198" t="s">
        <v>213</v>
      </c>
      <c r="J158" s="1198" t="s">
        <v>72</v>
      </c>
      <c r="K158" s="1199" t="s">
        <v>73</v>
      </c>
      <c r="L158" s="1198" t="s">
        <v>130</v>
      </c>
      <c r="M158" s="1392"/>
      <c r="N158" s="1437" t="s">
        <v>76</v>
      </c>
      <c r="O158" s="1336"/>
      <c r="P158" s="1392"/>
      <c r="Q158" s="1392"/>
      <c r="R158" s="1392"/>
      <c r="S158" s="1413"/>
    </row>
    <row r="159" spans="1:19" x14ac:dyDescent="0.2">
      <c r="C159" s="1203"/>
      <c r="D159" s="1203"/>
      <c r="E159" s="1203"/>
      <c r="F159" s="1203"/>
      <c r="G159" s="1204" t="s">
        <v>237</v>
      </c>
      <c r="H159" s="1235" t="s">
        <v>238</v>
      </c>
      <c r="I159" s="1294"/>
      <c r="J159" s="1192"/>
      <c r="K159" s="1299"/>
      <c r="L159" s="1192"/>
      <c r="M159" s="1192"/>
      <c r="N159" s="1203"/>
      <c r="O159" s="1332"/>
      <c r="P159" s="1192"/>
      <c r="Q159" s="1192"/>
      <c r="R159" s="1192"/>
      <c r="S159" s="1369"/>
    </row>
    <row r="160" spans="1:19" ht="14.25" x14ac:dyDescent="0.2">
      <c r="C160" s="1203"/>
      <c r="D160" s="1203"/>
      <c r="E160" s="1203"/>
      <c r="F160" s="1203"/>
      <c r="G160" s="1204" t="s">
        <v>221</v>
      </c>
      <c r="H160" s="1235" t="s">
        <v>239</v>
      </c>
      <c r="I160" s="1335">
        <v>4000</v>
      </c>
      <c r="J160" s="1192"/>
      <c r="K160" s="1279"/>
      <c r="L160" s="1192"/>
      <c r="M160" s="1192"/>
      <c r="N160" s="1339" t="s">
        <v>240</v>
      </c>
      <c r="O160" s="1192"/>
      <c r="P160" s="1263">
        <v>0.6</v>
      </c>
      <c r="Q160" s="1204" t="s">
        <v>241</v>
      </c>
      <c r="R160" s="1294">
        <v>37</v>
      </c>
      <c r="S160" s="1424" t="s">
        <v>242</v>
      </c>
    </row>
    <row r="161" spans="3:26" x14ac:dyDescent="0.2">
      <c r="C161" s="1203"/>
      <c r="D161" s="1203"/>
      <c r="E161" s="1203"/>
      <c r="F161" s="1203"/>
      <c r="G161" s="1192"/>
      <c r="H161" s="1235" t="s">
        <v>243</v>
      </c>
      <c r="I161" s="1335">
        <f>I160*P160*R160</f>
        <v>88800</v>
      </c>
      <c r="J161" s="1240">
        <f>I16</f>
        <v>335.8</v>
      </c>
      <c r="K161" s="1279">
        <f>7/1000</f>
        <v>7.0000000000000001E-3</v>
      </c>
      <c r="L161" s="1441"/>
      <c r="M161" s="1192"/>
      <c r="N161" s="1203"/>
      <c r="O161" s="1192"/>
      <c r="P161" s="1192"/>
      <c r="Q161" s="1192"/>
      <c r="R161" s="1192"/>
      <c r="S161" s="1369"/>
    </row>
    <row r="162" spans="3:26" x14ac:dyDescent="0.2">
      <c r="C162" s="1203"/>
      <c r="D162" s="1203"/>
      <c r="E162" s="1203"/>
      <c r="F162" s="1203"/>
      <c r="G162" s="1204" t="s">
        <v>244</v>
      </c>
      <c r="H162" s="1235" t="s">
        <v>245</v>
      </c>
      <c r="I162" s="1338">
        <f>J110/1000</f>
        <v>19620.72</v>
      </c>
      <c r="J162" s="1338">
        <f>I16*24*J111/1000</f>
        <v>19620.72</v>
      </c>
      <c r="K162" s="1294">
        <v>80</v>
      </c>
      <c r="L162" s="1211">
        <f>K162*J162</f>
        <v>1569657.6</v>
      </c>
      <c r="M162" s="1192"/>
      <c r="N162" s="1339" t="s">
        <v>246</v>
      </c>
      <c r="O162" s="1192"/>
      <c r="P162" s="1192"/>
      <c r="Q162" s="1192"/>
      <c r="R162" s="1192"/>
      <c r="S162" s="1369"/>
    </row>
    <row r="163" spans="3:26" x14ac:dyDescent="0.2">
      <c r="C163" s="1203"/>
      <c r="D163" s="1203"/>
      <c r="E163" s="1203"/>
      <c r="F163" s="1203"/>
      <c r="G163" s="1204" t="s">
        <v>247</v>
      </c>
      <c r="H163" s="1235"/>
      <c r="I163" s="1192"/>
      <c r="J163" s="1192"/>
      <c r="K163" s="1192"/>
      <c r="L163" s="1192"/>
      <c r="M163" s="1192"/>
      <c r="N163" s="1339"/>
      <c r="O163" s="1192"/>
      <c r="P163" s="1192"/>
      <c r="Q163" s="1192"/>
      <c r="R163" s="1192"/>
      <c r="S163" s="1369"/>
    </row>
    <row r="164" spans="3:26" x14ac:dyDescent="0.2">
      <c r="C164" s="1203"/>
      <c r="D164" s="1203"/>
      <c r="E164" s="1203"/>
      <c r="F164" s="1203"/>
      <c r="G164" s="1212" t="s">
        <v>365</v>
      </c>
      <c r="H164" s="1235"/>
      <c r="I164" s="1192"/>
      <c r="J164" s="1192"/>
      <c r="K164" s="1192"/>
      <c r="L164" s="1265">
        <f>SUM(L159:L162)</f>
        <v>1569657.6</v>
      </c>
      <c r="M164" s="1192"/>
      <c r="N164" s="1442"/>
      <c r="O164" s="1225"/>
      <c r="P164" s="1225"/>
      <c r="Q164" s="1225"/>
      <c r="R164" s="1225"/>
      <c r="S164" s="1386"/>
    </row>
    <row r="165" spans="3:26" x14ac:dyDescent="0.2">
      <c r="C165" s="1203"/>
      <c r="D165" s="1203"/>
      <c r="E165" s="1203"/>
      <c r="F165" s="1203"/>
      <c r="G165" s="1212"/>
      <c r="H165" s="1235"/>
      <c r="I165" s="1192"/>
      <c r="J165" s="1192"/>
      <c r="K165" s="1192"/>
      <c r="L165" s="1192"/>
      <c r="M165" s="1192"/>
      <c r="N165" s="1325"/>
      <c r="O165" s="1225"/>
      <c r="P165" s="1225"/>
      <c r="Q165" s="1225"/>
      <c r="R165" s="1225"/>
      <c r="S165" s="1225"/>
    </row>
    <row r="166" spans="3:26" x14ac:dyDescent="0.2">
      <c r="C166" s="1203"/>
      <c r="D166" s="1203"/>
      <c r="E166" s="1203"/>
      <c r="F166" s="1203"/>
      <c r="G166" s="1204"/>
      <c r="H166" s="1235"/>
      <c r="I166" s="1340">
        <v>0</v>
      </c>
      <c r="J166" s="1341">
        <v>1</v>
      </c>
      <c r="K166" s="1341">
        <v>2</v>
      </c>
      <c r="L166" s="1341">
        <v>3</v>
      </c>
      <c r="M166" s="1341">
        <v>4</v>
      </c>
      <c r="N166" s="1341">
        <v>5</v>
      </c>
      <c r="O166" s="1341">
        <v>6</v>
      </c>
      <c r="P166" s="1341">
        <v>7</v>
      </c>
      <c r="Q166" s="1341">
        <v>8</v>
      </c>
      <c r="R166" s="1341">
        <v>9</v>
      </c>
      <c r="S166" s="1341">
        <v>10</v>
      </c>
      <c r="T166" s="1341">
        <v>11</v>
      </c>
      <c r="U166" s="1341">
        <v>12</v>
      </c>
      <c r="V166" s="1341">
        <v>13</v>
      </c>
      <c r="W166" s="1341">
        <v>14</v>
      </c>
      <c r="X166" s="1341">
        <v>15</v>
      </c>
      <c r="Y166" s="1342">
        <v>16</v>
      </c>
      <c r="Z166" s="1192"/>
    </row>
    <row r="167" spans="3:26" x14ac:dyDescent="0.2">
      <c r="C167" s="1203"/>
      <c r="D167" s="1203"/>
      <c r="E167" s="1203"/>
      <c r="F167" s="1196">
        <v>12</v>
      </c>
      <c r="G167" s="1343" t="s">
        <v>248</v>
      </c>
      <c r="H167" s="1344"/>
      <c r="I167" s="1198" t="s">
        <v>249</v>
      </c>
      <c r="J167" s="1199" t="s">
        <v>250</v>
      </c>
      <c r="K167" s="1199" t="s">
        <v>251</v>
      </c>
      <c r="L167" s="1199" t="s">
        <v>252</v>
      </c>
      <c r="M167" s="1199" t="s">
        <v>253</v>
      </c>
      <c r="N167" s="1199" t="s">
        <v>254</v>
      </c>
      <c r="O167" s="1199" t="s">
        <v>255</v>
      </c>
      <c r="P167" s="1199" t="s">
        <v>256</v>
      </c>
      <c r="Q167" s="1199" t="s">
        <v>257</v>
      </c>
      <c r="R167" s="1199" t="s">
        <v>258</v>
      </c>
      <c r="S167" s="1199" t="s">
        <v>259</v>
      </c>
      <c r="T167" s="1199" t="s">
        <v>260</v>
      </c>
      <c r="U167" s="1199" t="s">
        <v>261</v>
      </c>
      <c r="V167" s="1199" t="s">
        <v>262</v>
      </c>
      <c r="W167" s="1199" t="s">
        <v>263</v>
      </c>
      <c r="X167" s="1199" t="s">
        <v>264</v>
      </c>
      <c r="Y167" s="1443" t="s">
        <v>265</v>
      </c>
    </row>
    <row r="168" spans="3:26" x14ac:dyDescent="0.2">
      <c r="C168" s="1203"/>
      <c r="D168" s="1203"/>
      <c r="E168" s="1203"/>
      <c r="F168" s="1203"/>
      <c r="G168" s="1204" t="s">
        <v>266</v>
      </c>
      <c r="H168" s="1235"/>
      <c r="I168" s="1347">
        <v>0</v>
      </c>
      <c r="J168" s="1348">
        <f t="shared" ref="J168:Y169" si="6">I168</f>
        <v>0</v>
      </c>
      <c r="K168" s="1348">
        <f t="shared" si="6"/>
        <v>0</v>
      </c>
      <c r="L168" s="1348">
        <f t="shared" si="6"/>
        <v>0</v>
      </c>
      <c r="M168" s="1348">
        <f t="shared" si="6"/>
        <v>0</v>
      </c>
      <c r="N168" s="1444">
        <f t="shared" si="6"/>
        <v>0</v>
      </c>
      <c r="O168" s="1348">
        <f t="shared" si="6"/>
        <v>0</v>
      </c>
      <c r="P168" s="1348">
        <f t="shared" si="6"/>
        <v>0</v>
      </c>
      <c r="Q168" s="1348">
        <f t="shared" si="6"/>
        <v>0</v>
      </c>
      <c r="R168" s="1348">
        <f t="shared" si="6"/>
        <v>0</v>
      </c>
      <c r="S168" s="1348">
        <f t="shared" si="6"/>
        <v>0</v>
      </c>
      <c r="T168" s="1348">
        <f t="shared" si="6"/>
        <v>0</v>
      </c>
      <c r="U168" s="1348">
        <f t="shared" si="6"/>
        <v>0</v>
      </c>
      <c r="V168" s="1348">
        <f t="shared" si="6"/>
        <v>0</v>
      </c>
      <c r="W168" s="1348">
        <f t="shared" si="6"/>
        <v>0</v>
      </c>
      <c r="X168" s="1348">
        <f t="shared" si="6"/>
        <v>0</v>
      </c>
      <c r="Y168" s="1445">
        <f t="shared" si="6"/>
        <v>0</v>
      </c>
      <c r="Z168" s="1351"/>
    </row>
    <row r="169" spans="3:26" x14ac:dyDescent="0.2">
      <c r="C169" s="1203"/>
      <c r="D169" s="1203"/>
      <c r="E169" s="1203"/>
      <c r="F169" s="1203"/>
      <c r="G169" s="1204" t="s">
        <v>267</v>
      </c>
      <c r="H169" s="1235"/>
      <c r="I169" s="1347">
        <v>0</v>
      </c>
      <c r="J169" s="1348">
        <f t="shared" si="6"/>
        <v>0</v>
      </c>
      <c r="K169" s="1348">
        <f t="shared" si="6"/>
        <v>0</v>
      </c>
      <c r="L169" s="1348">
        <f t="shared" si="6"/>
        <v>0</v>
      </c>
      <c r="M169" s="1348">
        <f t="shared" si="6"/>
        <v>0</v>
      </c>
      <c r="N169" s="1444">
        <f t="shared" si="6"/>
        <v>0</v>
      </c>
      <c r="O169" s="1348">
        <f t="shared" si="6"/>
        <v>0</v>
      </c>
      <c r="P169" s="1348">
        <f t="shared" si="6"/>
        <v>0</v>
      </c>
      <c r="Q169" s="1348">
        <f t="shared" si="6"/>
        <v>0</v>
      </c>
      <c r="R169" s="1348">
        <f t="shared" si="6"/>
        <v>0</v>
      </c>
      <c r="S169" s="1348">
        <f t="shared" si="6"/>
        <v>0</v>
      </c>
      <c r="T169" s="1348">
        <f t="shared" si="6"/>
        <v>0</v>
      </c>
      <c r="U169" s="1348">
        <f t="shared" si="6"/>
        <v>0</v>
      </c>
      <c r="V169" s="1348">
        <f t="shared" si="6"/>
        <v>0</v>
      </c>
      <c r="W169" s="1348">
        <f t="shared" si="6"/>
        <v>0</v>
      </c>
      <c r="X169" s="1348">
        <f t="shared" si="6"/>
        <v>0</v>
      </c>
      <c r="Y169" s="1445">
        <f t="shared" si="6"/>
        <v>0</v>
      </c>
      <c r="Z169" s="1351"/>
    </row>
    <row r="170" spans="3:26" x14ac:dyDescent="0.2">
      <c r="C170" s="1203"/>
      <c r="D170" s="1203"/>
      <c r="E170" s="1203"/>
      <c r="F170" s="1203"/>
      <c r="G170" s="1204" t="s">
        <v>268</v>
      </c>
      <c r="H170" s="1235"/>
      <c r="I170" s="1352">
        <v>1</v>
      </c>
      <c r="J170" s="1348"/>
      <c r="K170" s="1348"/>
      <c r="L170" s="1348"/>
      <c r="M170" s="1348"/>
      <c r="N170" s="1444"/>
      <c r="O170" s="1348"/>
      <c r="P170" s="1348"/>
      <c r="Q170" s="1348"/>
      <c r="R170" s="1348"/>
      <c r="S170" s="1348"/>
      <c r="T170" s="1348"/>
      <c r="U170" s="1348"/>
      <c r="V170" s="1348"/>
      <c r="W170" s="1348"/>
      <c r="X170" s="1348"/>
      <c r="Y170" s="1445"/>
      <c r="Z170" s="1351"/>
    </row>
    <row r="171" spans="3:26" x14ac:dyDescent="0.2">
      <c r="C171" s="1203"/>
      <c r="D171" s="1203"/>
      <c r="E171" s="1203"/>
      <c r="F171" s="1203"/>
      <c r="G171" s="1204" t="s">
        <v>269</v>
      </c>
      <c r="H171" s="1235"/>
      <c r="I171" s="1352">
        <v>1</v>
      </c>
      <c r="J171" s="1204"/>
      <c r="K171" s="1192"/>
      <c r="L171" s="1192"/>
      <c r="M171" s="1192"/>
      <c r="N171" s="1204"/>
      <c r="O171" s="1192"/>
      <c r="P171" s="1192"/>
      <c r="Q171" s="1192"/>
      <c r="R171" s="1192"/>
      <c r="S171" s="1192"/>
      <c r="T171" s="1192"/>
      <c r="U171" s="1192"/>
      <c r="V171" s="1192"/>
      <c r="W171" s="1192"/>
      <c r="X171" s="1192"/>
      <c r="Y171" s="1369"/>
    </row>
    <row r="172" spans="3:26" x14ac:dyDescent="0.2">
      <c r="C172" s="1203"/>
      <c r="D172" s="1203"/>
      <c r="E172" s="1203"/>
      <c r="F172" s="1203"/>
      <c r="G172" s="1204" t="s">
        <v>270</v>
      </c>
      <c r="H172" s="1235"/>
      <c r="I172" s="1294">
        <v>0</v>
      </c>
      <c r="J172" s="983">
        <v>0</v>
      </c>
      <c r="K172" s="1250">
        <v>0.75</v>
      </c>
      <c r="L172" s="1250">
        <v>1</v>
      </c>
      <c r="M172" s="1332">
        <f t="shared" ref="M172:Y172" si="7">L172</f>
        <v>1</v>
      </c>
      <c r="N172" s="1332">
        <f t="shared" si="7"/>
        <v>1</v>
      </c>
      <c r="O172" s="1332">
        <f t="shared" si="7"/>
        <v>1</v>
      </c>
      <c r="P172" s="1332">
        <f t="shared" si="7"/>
        <v>1</v>
      </c>
      <c r="Q172" s="1332">
        <f t="shared" si="7"/>
        <v>1</v>
      </c>
      <c r="R172" s="1332">
        <f t="shared" si="7"/>
        <v>1</v>
      </c>
      <c r="S172" s="1332">
        <f t="shared" si="7"/>
        <v>1</v>
      </c>
      <c r="T172" s="1332">
        <f t="shared" si="7"/>
        <v>1</v>
      </c>
      <c r="U172" s="1332">
        <f t="shared" si="7"/>
        <v>1</v>
      </c>
      <c r="V172" s="1332">
        <f t="shared" si="7"/>
        <v>1</v>
      </c>
      <c r="W172" s="1332">
        <f t="shared" si="7"/>
        <v>1</v>
      </c>
      <c r="X172" s="1332">
        <f t="shared" si="7"/>
        <v>1</v>
      </c>
      <c r="Y172" s="1446">
        <f t="shared" si="7"/>
        <v>1</v>
      </c>
      <c r="Z172" s="1332"/>
    </row>
    <row r="173" spans="3:26" x14ac:dyDescent="0.2">
      <c r="C173" s="1203"/>
      <c r="D173" s="1203"/>
      <c r="E173" s="1203"/>
      <c r="F173" s="1203"/>
      <c r="G173" s="1355" t="s">
        <v>271</v>
      </c>
      <c r="H173" s="1235"/>
      <c r="I173" s="1308">
        <f t="shared" ref="I173:Y173" si="8">(1+I168)^I166</f>
        <v>1</v>
      </c>
      <c r="J173" s="1308">
        <f t="shared" si="8"/>
        <v>1</v>
      </c>
      <c r="K173" s="1308">
        <f t="shared" si="8"/>
        <v>1</v>
      </c>
      <c r="L173" s="1308">
        <f t="shared" si="8"/>
        <v>1</v>
      </c>
      <c r="M173" s="1308">
        <f t="shared" si="8"/>
        <v>1</v>
      </c>
      <c r="N173" s="1308">
        <f t="shared" si="8"/>
        <v>1</v>
      </c>
      <c r="O173" s="1308">
        <f t="shared" si="8"/>
        <v>1</v>
      </c>
      <c r="P173" s="1308">
        <f t="shared" si="8"/>
        <v>1</v>
      </c>
      <c r="Q173" s="1308">
        <f t="shared" si="8"/>
        <v>1</v>
      </c>
      <c r="R173" s="1308">
        <f t="shared" si="8"/>
        <v>1</v>
      </c>
      <c r="S173" s="1308">
        <f t="shared" si="8"/>
        <v>1</v>
      </c>
      <c r="T173" s="1308">
        <f t="shared" si="8"/>
        <v>1</v>
      </c>
      <c r="U173" s="1308">
        <f t="shared" si="8"/>
        <v>1</v>
      </c>
      <c r="V173" s="1308">
        <f t="shared" si="8"/>
        <v>1</v>
      </c>
      <c r="W173" s="1308">
        <f t="shared" si="8"/>
        <v>1</v>
      </c>
      <c r="X173" s="1308">
        <f t="shared" si="8"/>
        <v>1</v>
      </c>
      <c r="Y173" s="1447">
        <f t="shared" si="8"/>
        <v>1</v>
      </c>
      <c r="Z173" s="1308"/>
    </row>
    <row r="174" spans="3:26" x14ac:dyDescent="0.2">
      <c r="C174" s="1203"/>
      <c r="D174" s="1203"/>
      <c r="E174" s="1203"/>
      <c r="F174" s="1203"/>
      <c r="G174" s="1355" t="s">
        <v>272</v>
      </c>
      <c r="H174" s="1235"/>
      <c r="I174" s="1308">
        <f t="shared" ref="I174:Y174" si="9">(1+I169)^I166</f>
        <v>1</v>
      </c>
      <c r="J174" s="1308">
        <f t="shared" si="9"/>
        <v>1</v>
      </c>
      <c r="K174" s="1308">
        <f t="shared" si="9"/>
        <v>1</v>
      </c>
      <c r="L174" s="1308">
        <f t="shared" si="9"/>
        <v>1</v>
      </c>
      <c r="M174" s="1308">
        <f t="shared" si="9"/>
        <v>1</v>
      </c>
      <c r="N174" s="1308">
        <f t="shared" si="9"/>
        <v>1</v>
      </c>
      <c r="O174" s="1308">
        <f t="shared" si="9"/>
        <v>1</v>
      </c>
      <c r="P174" s="1308">
        <f t="shared" si="9"/>
        <v>1</v>
      </c>
      <c r="Q174" s="1308">
        <f t="shared" si="9"/>
        <v>1</v>
      </c>
      <c r="R174" s="1308">
        <f t="shared" si="9"/>
        <v>1</v>
      </c>
      <c r="S174" s="1308">
        <f t="shared" si="9"/>
        <v>1</v>
      </c>
      <c r="T174" s="1308">
        <f t="shared" si="9"/>
        <v>1</v>
      </c>
      <c r="U174" s="1308">
        <f t="shared" si="9"/>
        <v>1</v>
      </c>
      <c r="V174" s="1308">
        <f t="shared" si="9"/>
        <v>1</v>
      </c>
      <c r="W174" s="1308">
        <f t="shared" si="9"/>
        <v>1</v>
      </c>
      <c r="X174" s="1308">
        <f t="shared" si="9"/>
        <v>1</v>
      </c>
      <c r="Y174" s="1447">
        <f t="shared" si="9"/>
        <v>1</v>
      </c>
      <c r="Z174" s="1308"/>
    </row>
    <row r="175" spans="3:26" x14ac:dyDescent="0.2">
      <c r="C175" s="1203"/>
      <c r="D175" s="1203"/>
      <c r="E175" s="1203"/>
      <c r="F175" s="1203"/>
      <c r="G175" s="1355" t="s">
        <v>547</v>
      </c>
      <c r="H175" s="1235"/>
      <c r="I175" s="1308">
        <v>100</v>
      </c>
      <c r="J175" s="1308"/>
      <c r="K175" s="1308"/>
      <c r="L175" s="1308"/>
      <c r="M175" s="1308"/>
      <c r="N175" s="1308"/>
      <c r="O175" s="1308"/>
      <c r="P175" s="1308"/>
      <c r="Q175" s="1308"/>
      <c r="R175" s="1308"/>
      <c r="S175" s="1308"/>
      <c r="T175" s="1308"/>
      <c r="U175" s="1308"/>
      <c r="V175" s="1308"/>
      <c r="W175" s="1308"/>
      <c r="X175" s="1308"/>
      <c r="Y175" s="1447"/>
      <c r="Z175" s="1308"/>
    </row>
    <row r="176" spans="3:26" x14ac:dyDescent="0.2">
      <c r="C176" s="1203"/>
      <c r="D176" s="1203"/>
      <c r="E176" s="1203"/>
      <c r="F176" s="1203"/>
      <c r="G176" s="1355" t="s">
        <v>548</v>
      </c>
      <c r="H176" s="1235"/>
      <c r="I176" s="1308">
        <v>0.66</v>
      </c>
      <c r="J176" s="1308"/>
      <c r="K176" s="1308"/>
      <c r="L176" s="1308"/>
      <c r="M176" s="1308"/>
      <c r="N176" s="1308"/>
      <c r="O176" s="1308"/>
      <c r="P176" s="1308"/>
      <c r="Q176" s="1308"/>
      <c r="R176" s="1308"/>
      <c r="S176" s="1308"/>
      <c r="T176" s="1308"/>
      <c r="U176" s="1308"/>
      <c r="V176" s="1308"/>
      <c r="W176" s="1308"/>
      <c r="X176" s="1308"/>
      <c r="Y176" s="1447"/>
      <c r="Z176" s="1308"/>
    </row>
    <row r="177" spans="3:27" x14ac:dyDescent="0.2">
      <c r="C177" s="1203"/>
      <c r="D177" s="1203"/>
      <c r="E177" s="1203"/>
      <c r="F177" s="1203"/>
      <c r="G177" s="1357" t="s">
        <v>273</v>
      </c>
      <c r="H177" s="1235"/>
      <c r="I177" s="1358">
        <v>1</v>
      </c>
      <c r="J177" s="1308"/>
      <c r="K177" s="1308"/>
      <c r="L177" s="1308"/>
      <c r="M177" s="1308"/>
      <c r="N177" s="1308"/>
      <c r="O177" s="1308"/>
      <c r="P177" s="1308"/>
      <c r="Q177" s="1308"/>
      <c r="R177" s="1308"/>
      <c r="S177" s="1308"/>
      <c r="T177" s="1308"/>
      <c r="U177" s="1308"/>
      <c r="V177" s="1308"/>
      <c r="W177" s="1308"/>
      <c r="X177" s="1308"/>
      <c r="Y177" s="1447"/>
      <c r="Z177" s="1308"/>
    </row>
    <row r="178" spans="3:27" x14ac:dyDescent="0.2">
      <c r="C178" s="1203"/>
      <c r="D178" s="1203"/>
      <c r="E178" s="1203"/>
      <c r="F178" s="1203"/>
      <c r="G178" s="1357" t="s">
        <v>274</v>
      </c>
      <c r="H178" s="1235"/>
      <c r="I178" s="1358">
        <v>0.4</v>
      </c>
      <c r="J178" s="1358">
        <v>0.6</v>
      </c>
      <c r="K178" s="1308"/>
      <c r="L178" s="1308"/>
      <c r="M178" s="1308"/>
      <c r="N178" s="1308"/>
      <c r="O178" s="1308"/>
      <c r="P178" s="1308"/>
      <c r="Q178" s="1308"/>
      <c r="R178" s="1308"/>
      <c r="S178" s="1308"/>
      <c r="T178" s="1308"/>
      <c r="U178" s="1308"/>
      <c r="V178" s="1308"/>
      <c r="W178" s="1308"/>
      <c r="X178" s="1308"/>
      <c r="Y178" s="1447"/>
      <c r="Z178" s="1308"/>
    </row>
    <row r="179" spans="3:27" x14ac:dyDescent="0.2">
      <c r="C179" s="1203"/>
      <c r="D179" s="1203"/>
      <c r="E179" s="1203"/>
      <c r="F179" s="1203"/>
      <c r="G179" s="1357" t="s">
        <v>275</v>
      </c>
      <c r="H179" s="1235"/>
      <c r="I179" s="1333">
        <v>0.01</v>
      </c>
      <c r="J179" s="1359">
        <f t="shared" ref="J179:Y179" si="10">I179</f>
        <v>0.01</v>
      </c>
      <c r="K179" s="1359">
        <f t="shared" si="10"/>
        <v>0.01</v>
      </c>
      <c r="L179" s="1359">
        <f t="shared" si="10"/>
        <v>0.01</v>
      </c>
      <c r="M179" s="1359">
        <f t="shared" si="10"/>
        <v>0.01</v>
      </c>
      <c r="N179" s="1359">
        <f t="shared" si="10"/>
        <v>0.01</v>
      </c>
      <c r="O179" s="1359">
        <f t="shared" si="10"/>
        <v>0.01</v>
      </c>
      <c r="P179" s="1359">
        <f t="shared" si="10"/>
        <v>0.01</v>
      </c>
      <c r="Q179" s="1359">
        <f t="shared" si="10"/>
        <v>0.01</v>
      </c>
      <c r="R179" s="1359">
        <f t="shared" si="10"/>
        <v>0.01</v>
      </c>
      <c r="S179" s="1359">
        <f t="shared" si="10"/>
        <v>0.01</v>
      </c>
      <c r="T179" s="1359">
        <f t="shared" si="10"/>
        <v>0.01</v>
      </c>
      <c r="U179" s="1359">
        <f t="shared" si="10"/>
        <v>0.01</v>
      </c>
      <c r="V179" s="1359">
        <f t="shared" si="10"/>
        <v>0.01</v>
      </c>
      <c r="W179" s="1359">
        <f t="shared" si="10"/>
        <v>0.01</v>
      </c>
      <c r="X179" s="1359">
        <f t="shared" si="10"/>
        <v>0.01</v>
      </c>
      <c r="Y179" s="1448">
        <f t="shared" si="10"/>
        <v>0.01</v>
      </c>
      <c r="Z179" s="1359"/>
    </row>
    <row r="180" spans="3:27" x14ac:dyDescent="0.2">
      <c r="C180" s="1203"/>
      <c r="D180" s="1203"/>
      <c r="E180" s="1203"/>
      <c r="F180" s="1203"/>
      <c r="G180" s="1204" t="s">
        <v>276</v>
      </c>
      <c r="H180" s="1235"/>
      <c r="I180" s="1263">
        <v>0.2</v>
      </c>
      <c r="J180" s="1204" t="s">
        <v>277</v>
      </c>
      <c r="K180" s="1192"/>
      <c r="L180" s="1192"/>
      <c r="M180" s="1192"/>
      <c r="N180" s="1204"/>
      <c r="O180" s="1192"/>
      <c r="P180" s="1192"/>
      <c r="Q180" s="1192"/>
      <c r="R180" s="1192"/>
      <c r="S180" s="1192"/>
      <c r="T180" s="1192"/>
      <c r="U180" s="1192"/>
      <c r="V180" s="1192"/>
      <c r="W180" s="1192"/>
      <c r="X180" s="1192"/>
      <c r="Y180" s="1369"/>
    </row>
    <row r="181" spans="3:27" x14ac:dyDescent="0.2">
      <c r="C181" s="1203"/>
      <c r="D181" s="1203"/>
      <c r="E181" s="1203"/>
      <c r="F181" s="1203"/>
      <c r="G181" s="1192"/>
      <c r="H181" s="1243"/>
      <c r="I181" s="1192"/>
      <c r="J181" s="1192"/>
      <c r="K181" s="1216"/>
      <c r="L181" s="1192"/>
      <c r="M181" s="1192"/>
      <c r="N181" s="1192"/>
      <c r="O181" s="1192"/>
      <c r="P181" s="1192"/>
      <c r="Q181" s="1192"/>
      <c r="R181" s="1192"/>
      <c r="S181" s="1192"/>
      <c r="T181" s="1192"/>
      <c r="U181" s="1192"/>
      <c r="V181" s="1192"/>
      <c r="W181" s="1192"/>
      <c r="X181" s="1192"/>
      <c r="Y181" s="1369"/>
    </row>
    <row r="182" spans="3:27" x14ac:dyDescent="0.2">
      <c r="C182" s="1203"/>
      <c r="D182" s="1203"/>
      <c r="E182" s="1203"/>
      <c r="F182" s="1196">
        <v>13</v>
      </c>
      <c r="G182" s="1275" t="s">
        <v>278</v>
      </c>
      <c r="H182" s="1276"/>
      <c r="I182" s="1360" t="s">
        <v>249</v>
      </c>
      <c r="J182" s="1361" t="s">
        <v>250</v>
      </c>
      <c r="K182" s="1198" t="s">
        <v>251</v>
      </c>
      <c r="L182" s="1198" t="s">
        <v>252</v>
      </c>
      <c r="M182" s="1198" t="s">
        <v>253</v>
      </c>
      <c r="N182" s="1198" t="s">
        <v>254</v>
      </c>
      <c r="O182" s="1198" t="s">
        <v>255</v>
      </c>
      <c r="P182" s="1198" t="s">
        <v>256</v>
      </c>
      <c r="Q182" s="1198" t="s">
        <v>257</v>
      </c>
      <c r="R182" s="1198" t="s">
        <v>258</v>
      </c>
      <c r="S182" s="1198" t="s">
        <v>259</v>
      </c>
      <c r="T182" s="1198" t="s">
        <v>260</v>
      </c>
      <c r="U182" s="1198" t="s">
        <v>261</v>
      </c>
      <c r="V182" s="1198" t="s">
        <v>262</v>
      </c>
      <c r="W182" s="1198" t="s">
        <v>263</v>
      </c>
      <c r="X182" s="1198" t="s">
        <v>264</v>
      </c>
      <c r="Y182" s="1361" t="s">
        <v>265</v>
      </c>
      <c r="AA182" s="1198"/>
    </row>
    <row r="183" spans="3:27" x14ac:dyDescent="0.2">
      <c r="C183" s="1203"/>
      <c r="D183" s="1203"/>
      <c r="E183" s="1203"/>
      <c r="F183" s="1230"/>
      <c r="G183" s="1220" t="s">
        <v>279</v>
      </c>
      <c r="H183" s="1232"/>
      <c r="I183" s="1364"/>
      <c r="J183" s="1365"/>
      <c r="K183" s="1254"/>
      <c r="L183" s="1254"/>
      <c r="M183" s="1254"/>
      <c r="N183" s="1254"/>
      <c r="O183" s="1254"/>
      <c r="P183" s="1254"/>
      <c r="Q183" s="1254"/>
      <c r="R183" s="1254"/>
      <c r="S183" s="1254"/>
      <c r="T183" s="1254"/>
      <c r="U183" s="1254"/>
      <c r="V183" s="1254"/>
      <c r="W183" s="1254"/>
      <c r="X183" s="1254"/>
      <c r="Y183" s="1365"/>
      <c r="Z183" s="1254"/>
      <c r="AA183" s="1254"/>
    </row>
    <row r="184" spans="3:27" x14ac:dyDescent="0.2">
      <c r="C184" s="1203"/>
      <c r="D184" s="1203"/>
      <c r="E184" s="1203"/>
      <c r="F184" s="1203"/>
      <c r="G184" s="1204" t="s">
        <v>280</v>
      </c>
      <c r="H184" s="1235"/>
      <c r="I184" s="1339"/>
      <c r="J184" s="1369"/>
      <c r="K184" s="1309">
        <f t="shared" ref="K184:Y184" si="11">K172*$I$170*K173*$L$14</f>
        <v>67500000</v>
      </c>
      <c r="L184" s="1309">
        <f t="shared" si="11"/>
        <v>90000000</v>
      </c>
      <c r="M184" s="1309">
        <f t="shared" si="11"/>
        <v>90000000</v>
      </c>
      <c r="N184" s="1309">
        <f t="shared" si="11"/>
        <v>90000000</v>
      </c>
      <c r="O184" s="1309">
        <f t="shared" si="11"/>
        <v>90000000</v>
      </c>
      <c r="P184" s="1309">
        <f t="shared" si="11"/>
        <v>90000000</v>
      </c>
      <c r="Q184" s="1309">
        <f t="shared" si="11"/>
        <v>90000000</v>
      </c>
      <c r="R184" s="1309">
        <f t="shared" si="11"/>
        <v>90000000</v>
      </c>
      <c r="S184" s="1309">
        <f t="shared" si="11"/>
        <v>90000000</v>
      </c>
      <c r="T184" s="1309">
        <f t="shared" si="11"/>
        <v>90000000</v>
      </c>
      <c r="U184" s="1309">
        <f t="shared" si="11"/>
        <v>90000000</v>
      </c>
      <c r="V184" s="1309">
        <f t="shared" si="11"/>
        <v>90000000</v>
      </c>
      <c r="W184" s="1309">
        <f t="shared" si="11"/>
        <v>90000000</v>
      </c>
      <c r="X184" s="1309">
        <f t="shared" si="11"/>
        <v>90000000</v>
      </c>
      <c r="Y184" s="1375">
        <f t="shared" si="11"/>
        <v>90000000</v>
      </c>
      <c r="Z184" s="1208"/>
    </row>
    <row r="185" spans="3:27" x14ac:dyDescent="0.2">
      <c r="C185" s="1449">
        <v>8</v>
      </c>
      <c r="D185" s="1449" t="s">
        <v>631</v>
      </c>
      <c r="E185" s="1203"/>
      <c r="F185" s="1203"/>
      <c r="G185" s="1204" t="s">
        <v>281</v>
      </c>
      <c r="H185" s="1235"/>
      <c r="I185" s="1339"/>
      <c r="J185" s="1369"/>
      <c r="K185" s="1309">
        <f t="shared" ref="K185:Y185" si="12">K172*$I$170*K173*$L$162</f>
        <v>1177243.2000000002</v>
      </c>
      <c r="L185" s="1309">
        <f t="shared" si="12"/>
        <v>1569657.6</v>
      </c>
      <c r="M185" s="1309">
        <f t="shared" si="12"/>
        <v>1569657.6</v>
      </c>
      <c r="N185" s="1309">
        <f t="shared" si="12"/>
        <v>1569657.6</v>
      </c>
      <c r="O185" s="1309">
        <f t="shared" si="12"/>
        <v>1569657.6</v>
      </c>
      <c r="P185" s="1309">
        <f t="shared" si="12"/>
        <v>1569657.6</v>
      </c>
      <c r="Q185" s="1309">
        <f t="shared" si="12"/>
        <v>1569657.6</v>
      </c>
      <c r="R185" s="1309">
        <f t="shared" si="12"/>
        <v>1569657.6</v>
      </c>
      <c r="S185" s="1309">
        <f t="shared" si="12"/>
        <v>1569657.6</v>
      </c>
      <c r="T185" s="1309">
        <f t="shared" si="12"/>
        <v>1569657.6</v>
      </c>
      <c r="U185" s="1309">
        <f t="shared" si="12"/>
        <v>1569657.6</v>
      </c>
      <c r="V185" s="1309">
        <f t="shared" si="12"/>
        <v>1569657.6</v>
      </c>
      <c r="W185" s="1309">
        <f t="shared" si="12"/>
        <v>1569657.6</v>
      </c>
      <c r="X185" s="1309">
        <f t="shared" si="12"/>
        <v>1569657.6</v>
      </c>
      <c r="Y185" s="1375">
        <f t="shared" si="12"/>
        <v>1569657.6</v>
      </c>
      <c r="Z185" s="1208"/>
    </row>
    <row r="186" spans="3:27" x14ac:dyDescent="0.2">
      <c r="C186" s="1449">
        <v>8</v>
      </c>
      <c r="D186" s="1449" t="s">
        <v>631</v>
      </c>
      <c r="E186" s="1203"/>
      <c r="F186" s="1203"/>
      <c r="G186" s="1204" t="s">
        <v>118</v>
      </c>
      <c r="H186" s="1243"/>
      <c r="I186" s="1203"/>
      <c r="J186" s="1369"/>
      <c r="K186" s="1309">
        <f t="shared" ref="K186:Y186" si="13">K172*$I$170*K173*$L$44</f>
        <v>17818661.739194207</v>
      </c>
      <c r="L186" s="1309">
        <f t="shared" si="13"/>
        <v>23758215.65225894</v>
      </c>
      <c r="M186" s="1309">
        <f t="shared" si="13"/>
        <v>23758215.65225894</v>
      </c>
      <c r="N186" s="1309">
        <f t="shared" si="13"/>
        <v>23758215.65225894</v>
      </c>
      <c r="O186" s="1309">
        <f t="shared" si="13"/>
        <v>23758215.65225894</v>
      </c>
      <c r="P186" s="1309">
        <f t="shared" si="13"/>
        <v>23758215.65225894</v>
      </c>
      <c r="Q186" s="1309">
        <f t="shared" si="13"/>
        <v>23758215.65225894</v>
      </c>
      <c r="R186" s="1309">
        <f t="shared" si="13"/>
        <v>23758215.65225894</v>
      </c>
      <c r="S186" s="1309">
        <f t="shared" si="13"/>
        <v>23758215.65225894</v>
      </c>
      <c r="T186" s="1309">
        <f t="shared" si="13"/>
        <v>23758215.65225894</v>
      </c>
      <c r="U186" s="1309">
        <f t="shared" si="13"/>
        <v>23758215.65225894</v>
      </c>
      <c r="V186" s="1309">
        <f t="shared" si="13"/>
        <v>23758215.65225894</v>
      </c>
      <c r="W186" s="1309">
        <f t="shared" si="13"/>
        <v>23758215.65225894</v>
      </c>
      <c r="X186" s="1309">
        <f t="shared" si="13"/>
        <v>23758215.65225894</v>
      </c>
      <c r="Y186" s="1375">
        <f t="shared" si="13"/>
        <v>23758215.65225894</v>
      </c>
      <c r="Z186" s="1208"/>
    </row>
    <row r="187" spans="3:27" x14ac:dyDescent="0.2">
      <c r="C187" s="1203"/>
      <c r="D187" s="1203"/>
      <c r="E187" s="1203"/>
      <c r="F187" s="1203"/>
      <c r="G187" s="1204"/>
      <c r="H187" s="1243"/>
      <c r="I187" s="1203"/>
      <c r="J187" s="1369"/>
      <c r="K187" s="1370">
        <f>SUM(K184:K186)</f>
        <v>86495904.939194202</v>
      </c>
      <c r="L187" s="1370">
        <f t="shared" ref="L187:Y187" si="14">SUM(L184:L186)</f>
        <v>115327873.25225893</v>
      </c>
      <c r="M187" s="1370">
        <f t="shared" si="14"/>
        <v>115327873.25225893</v>
      </c>
      <c r="N187" s="1370">
        <f t="shared" si="14"/>
        <v>115327873.25225893</v>
      </c>
      <c r="O187" s="1370">
        <f t="shared" si="14"/>
        <v>115327873.25225893</v>
      </c>
      <c r="P187" s="1370">
        <f t="shared" si="14"/>
        <v>115327873.25225893</v>
      </c>
      <c r="Q187" s="1370">
        <f t="shared" si="14"/>
        <v>115327873.25225893</v>
      </c>
      <c r="R187" s="1370">
        <f t="shared" si="14"/>
        <v>115327873.25225893</v>
      </c>
      <c r="S187" s="1370">
        <f t="shared" si="14"/>
        <v>115327873.25225893</v>
      </c>
      <c r="T187" s="1370">
        <f t="shared" si="14"/>
        <v>115327873.25225893</v>
      </c>
      <c r="U187" s="1370">
        <f t="shared" si="14"/>
        <v>115327873.25225893</v>
      </c>
      <c r="V187" s="1370">
        <f t="shared" si="14"/>
        <v>115327873.25225893</v>
      </c>
      <c r="W187" s="1370">
        <f t="shared" si="14"/>
        <v>115327873.25225893</v>
      </c>
      <c r="X187" s="1370">
        <f t="shared" si="14"/>
        <v>115327873.25225893</v>
      </c>
      <c r="Y187" s="1370">
        <f t="shared" si="14"/>
        <v>115327873.25225893</v>
      </c>
      <c r="Z187" s="1208"/>
    </row>
    <row r="188" spans="3:27" x14ac:dyDescent="0.2">
      <c r="C188" s="1203"/>
      <c r="D188" s="1203"/>
      <c r="E188" s="1203"/>
      <c r="F188" s="1203"/>
      <c r="G188" s="1220" t="s">
        <v>282</v>
      </c>
      <c r="H188" s="1243"/>
      <c r="I188" s="1203"/>
      <c r="J188" s="1369"/>
      <c r="K188" s="1450"/>
      <c r="L188" s="1450"/>
      <c r="M188" s="1450"/>
      <c r="N188" s="1450"/>
      <c r="O188" s="1450"/>
      <c r="P188" s="1450"/>
      <c r="Q188" s="1450"/>
      <c r="R188" s="1450"/>
      <c r="S188" s="1450"/>
      <c r="T188" s="1450"/>
      <c r="U188" s="1450"/>
      <c r="V188" s="1450"/>
      <c r="W188" s="1450"/>
      <c r="X188" s="1450"/>
      <c r="Y188" s="1450"/>
      <c r="Z188" s="1208"/>
    </row>
    <row r="189" spans="3:27" x14ac:dyDescent="0.2">
      <c r="C189" s="1449">
        <v>7</v>
      </c>
      <c r="D189" s="1449" t="s">
        <v>184</v>
      </c>
      <c r="E189" s="1203"/>
      <c r="F189" s="1203"/>
      <c r="G189" s="1313" t="s">
        <v>280</v>
      </c>
      <c r="H189" s="1243"/>
      <c r="I189" s="1203"/>
      <c r="J189" s="1369"/>
      <c r="K189" s="1309">
        <f>-SUM($L$139)*$I$171*K172*K174</f>
        <v>-8364386.25</v>
      </c>
      <c r="L189" s="1309">
        <f t="shared" ref="L189:Y189" si="15">-SUM($L$139)*$I$171*L172*L174</f>
        <v>-11152515</v>
      </c>
      <c r="M189" s="1309">
        <f t="shared" si="15"/>
        <v>-11152515</v>
      </c>
      <c r="N189" s="1309">
        <f t="shared" si="15"/>
        <v>-11152515</v>
      </c>
      <c r="O189" s="1309">
        <f t="shared" si="15"/>
        <v>-11152515</v>
      </c>
      <c r="P189" s="1309">
        <f t="shared" si="15"/>
        <v>-11152515</v>
      </c>
      <c r="Q189" s="1309">
        <f t="shared" si="15"/>
        <v>-11152515</v>
      </c>
      <c r="R189" s="1309">
        <f t="shared" si="15"/>
        <v>-11152515</v>
      </c>
      <c r="S189" s="1309">
        <f t="shared" si="15"/>
        <v>-11152515</v>
      </c>
      <c r="T189" s="1309">
        <f t="shared" si="15"/>
        <v>-11152515</v>
      </c>
      <c r="U189" s="1309">
        <f t="shared" si="15"/>
        <v>-11152515</v>
      </c>
      <c r="V189" s="1309">
        <f t="shared" si="15"/>
        <v>-11152515</v>
      </c>
      <c r="W189" s="1309">
        <f t="shared" si="15"/>
        <v>-11152515</v>
      </c>
      <c r="X189" s="1309">
        <f t="shared" si="15"/>
        <v>-11152515</v>
      </c>
      <c r="Y189" s="1309">
        <f t="shared" si="15"/>
        <v>-11152515</v>
      </c>
      <c r="Z189" s="1208"/>
    </row>
    <row r="190" spans="3:27" x14ac:dyDescent="0.2">
      <c r="C190" s="1449">
        <v>7</v>
      </c>
      <c r="D190" s="1449" t="s">
        <v>184</v>
      </c>
      <c r="E190" s="1203"/>
      <c r="F190" s="1203"/>
      <c r="G190" s="1313" t="s">
        <v>468</v>
      </c>
      <c r="H190" s="1243"/>
      <c r="I190" s="1298"/>
      <c r="J190" s="1373"/>
      <c r="K190" s="1309">
        <f>-SUM($L$116)*$I$171*K172*K174</f>
        <v>-4734450</v>
      </c>
      <c r="L190" s="1309">
        <f t="shared" ref="L190:Y190" si="16">-SUM($L$116)*$I$171*L172*L174</f>
        <v>-6312600</v>
      </c>
      <c r="M190" s="1309">
        <f t="shared" si="16"/>
        <v>-6312600</v>
      </c>
      <c r="N190" s="1309">
        <f t="shared" si="16"/>
        <v>-6312600</v>
      </c>
      <c r="O190" s="1309">
        <f t="shared" si="16"/>
        <v>-6312600</v>
      </c>
      <c r="P190" s="1309">
        <f t="shared" si="16"/>
        <v>-6312600</v>
      </c>
      <c r="Q190" s="1309">
        <f t="shared" si="16"/>
        <v>-6312600</v>
      </c>
      <c r="R190" s="1309">
        <f t="shared" si="16"/>
        <v>-6312600</v>
      </c>
      <c r="S190" s="1309">
        <f t="shared" si="16"/>
        <v>-6312600</v>
      </c>
      <c r="T190" s="1309">
        <f t="shared" si="16"/>
        <v>-6312600</v>
      </c>
      <c r="U190" s="1309">
        <f t="shared" si="16"/>
        <v>-6312600</v>
      </c>
      <c r="V190" s="1309">
        <f t="shared" si="16"/>
        <v>-6312600</v>
      </c>
      <c r="W190" s="1309">
        <f t="shared" si="16"/>
        <v>-6312600</v>
      </c>
      <c r="X190" s="1309">
        <f t="shared" si="16"/>
        <v>-6312600</v>
      </c>
      <c r="Y190" s="1309">
        <f t="shared" si="16"/>
        <v>-6312600</v>
      </c>
      <c r="Z190" s="1374"/>
    </row>
    <row r="191" spans="3:27" x14ac:dyDescent="0.2">
      <c r="C191" s="1203"/>
      <c r="D191" s="1203"/>
      <c r="E191" s="1203"/>
      <c r="F191" s="1203"/>
      <c r="G191" s="1313"/>
      <c r="H191" s="1243"/>
      <c r="I191" s="1298"/>
      <c r="J191" s="1373"/>
      <c r="K191" s="1309"/>
      <c r="L191" s="1450"/>
      <c r="M191" s="1450"/>
      <c r="N191" s="1450"/>
      <c r="O191" s="1450"/>
      <c r="P191" s="1450"/>
      <c r="Q191" s="1450"/>
      <c r="R191" s="1450"/>
      <c r="S191" s="1450"/>
      <c r="T191" s="1450"/>
      <c r="U191" s="1450"/>
      <c r="V191" s="1450"/>
      <c r="W191" s="1450"/>
      <c r="X191" s="1450"/>
      <c r="Y191" s="1451"/>
      <c r="Z191" s="1452"/>
    </row>
    <row r="192" spans="3:27" x14ac:dyDescent="0.2">
      <c r="C192" s="1203"/>
      <c r="D192" s="1203"/>
      <c r="E192" s="1203"/>
      <c r="F192" s="1203"/>
      <c r="G192" s="1220" t="s">
        <v>284</v>
      </c>
      <c r="H192" s="1243"/>
      <c r="I192" s="1298"/>
      <c r="J192" s="1373"/>
      <c r="K192" s="1309"/>
      <c r="L192" s="1309"/>
      <c r="M192" s="1309"/>
      <c r="N192" s="1309"/>
      <c r="O192" s="1309"/>
      <c r="P192" s="1309"/>
      <c r="Q192" s="1309"/>
      <c r="R192" s="1309"/>
      <c r="S192" s="1309"/>
      <c r="T192" s="1309"/>
      <c r="U192" s="1309"/>
      <c r="V192" s="1309"/>
      <c r="W192" s="1309"/>
      <c r="X192" s="1309"/>
      <c r="Y192" s="1375"/>
      <c r="Z192" s="1212"/>
    </row>
    <row r="193" spans="3:26" x14ac:dyDescent="0.2">
      <c r="C193" s="1449">
        <v>1</v>
      </c>
      <c r="D193" s="1449" t="s">
        <v>285</v>
      </c>
      <c r="E193" s="1449"/>
      <c r="F193" s="1203"/>
      <c r="G193" s="1204" t="s">
        <v>285</v>
      </c>
      <c r="H193" s="1243"/>
      <c r="I193" s="1298"/>
      <c r="J193" s="1373"/>
      <c r="K193" s="1309">
        <f>-K172*$L$54*K174*$I$171</f>
        <v>-34229859.682737939</v>
      </c>
      <c r="L193" s="1309">
        <f t="shared" ref="L193:Y193" si="17">-L172*$L$54*L174*$I$171</f>
        <v>-45639812.91031725</v>
      </c>
      <c r="M193" s="1309">
        <f t="shared" si="17"/>
        <v>-45639812.91031725</v>
      </c>
      <c r="N193" s="1309">
        <f t="shared" si="17"/>
        <v>-45639812.91031725</v>
      </c>
      <c r="O193" s="1309">
        <f t="shared" si="17"/>
        <v>-45639812.91031725</v>
      </c>
      <c r="P193" s="1309">
        <f t="shared" si="17"/>
        <v>-45639812.91031725</v>
      </c>
      <c r="Q193" s="1309">
        <f t="shared" si="17"/>
        <v>-45639812.91031725</v>
      </c>
      <c r="R193" s="1309">
        <f t="shared" si="17"/>
        <v>-45639812.91031725</v>
      </c>
      <c r="S193" s="1309">
        <f t="shared" si="17"/>
        <v>-45639812.91031725</v>
      </c>
      <c r="T193" s="1309">
        <f t="shared" si="17"/>
        <v>-45639812.91031725</v>
      </c>
      <c r="U193" s="1309">
        <f t="shared" si="17"/>
        <v>-45639812.91031725</v>
      </c>
      <c r="V193" s="1309">
        <f t="shared" si="17"/>
        <v>-45639812.91031725</v>
      </c>
      <c r="W193" s="1309">
        <f t="shared" si="17"/>
        <v>-45639812.91031725</v>
      </c>
      <c r="X193" s="1309">
        <f t="shared" si="17"/>
        <v>-45639812.91031725</v>
      </c>
      <c r="Y193" s="1309">
        <f t="shared" si="17"/>
        <v>-45639812.91031725</v>
      </c>
      <c r="Z193" s="1309"/>
    </row>
    <row r="194" spans="3:26" x14ac:dyDescent="0.2">
      <c r="C194" s="1449">
        <v>2</v>
      </c>
      <c r="D194" s="1449" t="s">
        <v>86</v>
      </c>
      <c r="E194" s="1449"/>
      <c r="F194" s="1203"/>
      <c r="G194" s="1204" t="s">
        <v>86</v>
      </c>
      <c r="H194" s="1243"/>
      <c r="I194" s="1298"/>
      <c r="J194" s="1373"/>
      <c r="K194" s="1309">
        <f>-K172*$L$80*K174*$I$171</f>
        <v>-3461579.0686971005</v>
      </c>
      <c r="L194" s="1309">
        <f t="shared" ref="L194:Y194" si="18">-L172*$L$80*L174*$I$171</f>
        <v>-4615438.758262801</v>
      </c>
      <c r="M194" s="1309">
        <f t="shared" si="18"/>
        <v>-4615438.758262801</v>
      </c>
      <c r="N194" s="1309">
        <f t="shared" si="18"/>
        <v>-4615438.758262801</v>
      </c>
      <c r="O194" s="1309">
        <f t="shared" si="18"/>
        <v>-4615438.758262801</v>
      </c>
      <c r="P194" s="1309">
        <f t="shared" si="18"/>
        <v>-4615438.758262801</v>
      </c>
      <c r="Q194" s="1309">
        <f t="shared" si="18"/>
        <v>-4615438.758262801</v>
      </c>
      <c r="R194" s="1309">
        <f t="shared" si="18"/>
        <v>-4615438.758262801</v>
      </c>
      <c r="S194" s="1309">
        <f t="shared" si="18"/>
        <v>-4615438.758262801</v>
      </c>
      <c r="T194" s="1309">
        <f t="shared" si="18"/>
        <v>-4615438.758262801</v>
      </c>
      <c r="U194" s="1309">
        <f t="shared" si="18"/>
        <v>-4615438.758262801</v>
      </c>
      <c r="V194" s="1309">
        <f t="shared" si="18"/>
        <v>-4615438.758262801</v>
      </c>
      <c r="W194" s="1309">
        <f t="shared" si="18"/>
        <v>-4615438.758262801</v>
      </c>
      <c r="X194" s="1309">
        <f t="shared" si="18"/>
        <v>-4615438.758262801</v>
      </c>
      <c r="Y194" s="1309">
        <f t="shared" si="18"/>
        <v>-4615438.758262801</v>
      </c>
      <c r="Z194" s="1220"/>
    </row>
    <row r="195" spans="3:26" x14ac:dyDescent="0.2">
      <c r="C195" s="1449">
        <v>3</v>
      </c>
      <c r="D195" s="1449" t="s">
        <v>129</v>
      </c>
      <c r="E195" s="1449"/>
      <c r="F195" s="1203"/>
      <c r="G195" s="1204" t="s">
        <v>139</v>
      </c>
      <c r="H195" s="1243"/>
      <c r="I195" s="1298"/>
      <c r="J195" s="1373"/>
      <c r="K195" s="1309">
        <f>-K172*$L$100*K174*$I$171</f>
        <v>-2347500</v>
      </c>
      <c r="L195" s="1309">
        <f t="shared" ref="L195:Y195" si="19">-L172*$L$100*L174*$I$171</f>
        <v>-3130000</v>
      </c>
      <c r="M195" s="1309">
        <f t="shared" si="19"/>
        <v>-3130000</v>
      </c>
      <c r="N195" s="1309">
        <f t="shared" si="19"/>
        <v>-3130000</v>
      </c>
      <c r="O195" s="1309">
        <f t="shared" si="19"/>
        <v>-3130000</v>
      </c>
      <c r="P195" s="1309">
        <f t="shared" si="19"/>
        <v>-3130000</v>
      </c>
      <c r="Q195" s="1309">
        <f t="shared" si="19"/>
        <v>-3130000</v>
      </c>
      <c r="R195" s="1309">
        <f t="shared" si="19"/>
        <v>-3130000</v>
      </c>
      <c r="S195" s="1309">
        <f t="shared" si="19"/>
        <v>-3130000</v>
      </c>
      <c r="T195" s="1309">
        <f t="shared" si="19"/>
        <v>-3130000</v>
      </c>
      <c r="U195" s="1309">
        <f t="shared" si="19"/>
        <v>-3130000</v>
      </c>
      <c r="V195" s="1309">
        <f t="shared" si="19"/>
        <v>-3130000</v>
      </c>
      <c r="W195" s="1309">
        <f t="shared" si="19"/>
        <v>-3130000</v>
      </c>
      <c r="X195" s="1309">
        <f t="shared" si="19"/>
        <v>-3130000</v>
      </c>
      <c r="Y195" s="1309">
        <f t="shared" si="19"/>
        <v>-3130000</v>
      </c>
      <c r="Z195" s="1220"/>
    </row>
    <row r="196" spans="3:26" x14ac:dyDescent="0.2">
      <c r="C196" s="1449">
        <v>3</v>
      </c>
      <c r="D196" s="1449" t="s">
        <v>129</v>
      </c>
      <c r="E196" s="1449"/>
      <c r="F196" s="1203"/>
      <c r="G196" s="1204" t="s">
        <v>286</v>
      </c>
      <c r="H196" s="1243"/>
      <c r="I196" s="1298"/>
      <c r="J196" s="1373"/>
      <c r="K196" s="1453">
        <f>-SUM($L$86,$L$110)*K172*K174*$I$171</f>
        <v>-1537371.6</v>
      </c>
      <c r="L196" s="1453">
        <f t="shared" ref="L196:Y196" si="20">-SUM($L$86,$L$110)*L172*L174*$I$171</f>
        <v>-2049828.8</v>
      </c>
      <c r="M196" s="1453">
        <f t="shared" si="20"/>
        <v>-2049828.8</v>
      </c>
      <c r="N196" s="1453">
        <f t="shared" si="20"/>
        <v>-2049828.8</v>
      </c>
      <c r="O196" s="1453">
        <f t="shared" si="20"/>
        <v>-2049828.8</v>
      </c>
      <c r="P196" s="1453">
        <f t="shared" si="20"/>
        <v>-2049828.8</v>
      </c>
      <c r="Q196" s="1453">
        <f t="shared" si="20"/>
        <v>-2049828.8</v>
      </c>
      <c r="R196" s="1453">
        <f t="shared" si="20"/>
        <v>-2049828.8</v>
      </c>
      <c r="S196" s="1453">
        <f t="shared" si="20"/>
        <v>-2049828.8</v>
      </c>
      <c r="T196" s="1453">
        <f t="shared" si="20"/>
        <v>-2049828.8</v>
      </c>
      <c r="U196" s="1453">
        <f t="shared" si="20"/>
        <v>-2049828.8</v>
      </c>
      <c r="V196" s="1453">
        <f t="shared" si="20"/>
        <v>-2049828.8</v>
      </c>
      <c r="W196" s="1453">
        <f t="shared" si="20"/>
        <v>-2049828.8</v>
      </c>
      <c r="X196" s="1453">
        <f t="shared" si="20"/>
        <v>-2049828.8</v>
      </c>
      <c r="Y196" s="1453">
        <f t="shared" si="20"/>
        <v>-2049828.8</v>
      </c>
      <c r="Z196" s="1220"/>
    </row>
    <row r="197" spans="3:26" x14ac:dyDescent="0.2">
      <c r="C197" s="1449">
        <v>4</v>
      </c>
      <c r="D197" s="1449" t="s">
        <v>218</v>
      </c>
      <c r="E197" s="1449"/>
      <c r="F197" s="1203"/>
      <c r="G197" s="1204" t="s">
        <v>218</v>
      </c>
      <c r="H197" s="1243"/>
      <c r="I197" s="1298"/>
      <c r="J197" s="1373"/>
      <c r="K197" s="1309">
        <f>-$L$146*K172*K174*$I$171</f>
        <v>-2058750</v>
      </c>
      <c r="L197" s="1309">
        <f t="shared" ref="L197:Y197" si="21">-$L$146*L172*L174*$I$171</f>
        <v>-2745000</v>
      </c>
      <c r="M197" s="1309">
        <f t="shared" si="21"/>
        <v>-2745000</v>
      </c>
      <c r="N197" s="1309">
        <f t="shared" si="21"/>
        <v>-2745000</v>
      </c>
      <c r="O197" s="1309">
        <f t="shared" si="21"/>
        <v>-2745000</v>
      </c>
      <c r="P197" s="1309">
        <f t="shared" si="21"/>
        <v>-2745000</v>
      </c>
      <c r="Q197" s="1309">
        <f t="shared" si="21"/>
        <v>-2745000</v>
      </c>
      <c r="R197" s="1309">
        <f t="shared" si="21"/>
        <v>-2745000</v>
      </c>
      <c r="S197" s="1309">
        <f t="shared" si="21"/>
        <v>-2745000</v>
      </c>
      <c r="T197" s="1309">
        <f t="shared" si="21"/>
        <v>-2745000</v>
      </c>
      <c r="U197" s="1309">
        <f t="shared" si="21"/>
        <v>-2745000</v>
      </c>
      <c r="V197" s="1309">
        <f t="shared" si="21"/>
        <v>-2745000</v>
      </c>
      <c r="W197" s="1309">
        <f t="shared" si="21"/>
        <v>-2745000</v>
      </c>
      <c r="X197" s="1309">
        <f t="shared" si="21"/>
        <v>-2745000</v>
      </c>
      <c r="Y197" s="1309">
        <f t="shared" si="21"/>
        <v>-2745000</v>
      </c>
      <c r="Z197" s="1220"/>
    </row>
    <row r="198" spans="3:26" x14ac:dyDescent="0.2">
      <c r="C198" s="1449">
        <v>5</v>
      </c>
      <c r="D198" s="1449" t="str">
        <f>G198</f>
        <v>Personnel</v>
      </c>
      <c r="E198" s="1449"/>
      <c r="F198" s="1203"/>
      <c r="G198" s="1204" t="s">
        <v>190</v>
      </c>
      <c r="H198" s="1243"/>
      <c r="I198" s="1298"/>
      <c r="J198" s="1373"/>
      <c r="K198" s="1309">
        <f>-$L$134*K172*K174*$I$171</f>
        <v>-2578500</v>
      </c>
      <c r="L198" s="1309">
        <f t="shared" ref="L198:Y198" si="22">-$L$134*L172*L174*$I$171</f>
        <v>-3438000</v>
      </c>
      <c r="M198" s="1309">
        <f t="shared" si="22"/>
        <v>-3438000</v>
      </c>
      <c r="N198" s="1309">
        <f t="shared" si="22"/>
        <v>-3438000</v>
      </c>
      <c r="O198" s="1309">
        <f t="shared" si="22"/>
        <v>-3438000</v>
      </c>
      <c r="P198" s="1309">
        <f t="shared" si="22"/>
        <v>-3438000</v>
      </c>
      <c r="Q198" s="1309">
        <f t="shared" si="22"/>
        <v>-3438000</v>
      </c>
      <c r="R198" s="1309">
        <f t="shared" si="22"/>
        <v>-3438000</v>
      </c>
      <c r="S198" s="1309">
        <f t="shared" si="22"/>
        <v>-3438000</v>
      </c>
      <c r="T198" s="1309">
        <f t="shared" si="22"/>
        <v>-3438000</v>
      </c>
      <c r="U198" s="1309">
        <f t="shared" si="22"/>
        <v>-3438000</v>
      </c>
      <c r="V198" s="1309">
        <f t="shared" si="22"/>
        <v>-3438000</v>
      </c>
      <c r="W198" s="1309">
        <f t="shared" si="22"/>
        <v>-3438000</v>
      </c>
      <c r="X198" s="1309">
        <f t="shared" si="22"/>
        <v>-3438000</v>
      </c>
      <c r="Y198" s="1309">
        <f t="shared" si="22"/>
        <v>-3438000</v>
      </c>
      <c r="Z198" s="1220"/>
    </row>
    <row r="199" spans="3:26" x14ac:dyDescent="0.2">
      <c r="C199" s="1449">
        <v>6</v>
      </c>
      <c r="D199" s="1449" t="s">
        <v>448</v>
      </c>
      <c r="E199" s="1449"/>
      <c r="F199" s="1203"/>
      <c r="G199" s="1204" t="s">
        <v>288</v>
      </c>
      <c r="H199" s="1243"/>
      <c r="I199" s="1298"/>
      <c r="J199" s="1373"/>
      <c r="K199" s="1309">
        <f>-$L$156*K172*K174*$I$171</f>
        <v>-1189306.40625</v>
      </c>
      <c r="L199" s="1309">
        <f t="shared" ref="L199:Y199" si="23">-$L$156*L172*L174*$I$171</f>
        <v>-1585741.875</v>
      </c>
      <c r="M199" s="1309">
        <f t="shared" si="23"/>
        <v>-1585741.875</v>
      </c>
      <c r="N199" s="1309">
        <f t="shared" si="23"/>
        <v>-1585741.875</v>
      </c>
      <c r="O199" s="1309">
        <f t="shared" si="23"/>
        <v>-1585741.875</v>
      </c>
      <c r="P199" s="1309">
        <f t="shared" si="23"/>
        <v>-1585741.875</v>
      </c>
      <c r="Q199" s="1309">
        <f t="shared" si="23"/>
        <v>-1585741.875</v>
      </c>
      <c r="R199" s="1309">
        <f t="shared" si="23"/>
        <v>-1585741.875</v>
      </c>
      <c r="S199" s="1309">
        <f t="shared" si="23"/>
        <v>-1585741.875</v>
      </c>
      <c r="T199" s="1309">
        <f t="shared" si="23"/>
        <v>-1585741.875</v>
      </c>
      <c r="U199" s="1309">
        <f t="shared" si="23"/>
        <v>-1585741.875</v>
      </c>
      <c r="V199" s="1309">
        <f t="shared" si="23"/>
        <v>-1585741.875</v>
      </c>
      <c r="W199" s="1309">
        <f t="shared" si="23"/>
        <v>-1585741.875</v>
      </c>
      <c r="X199" s="1309">
        <f t="shared" si="23"/>
        <v>-1585741.875</v>
      </c>
      <c r="Y199" s="1309">
        <f t="shared" si="23"/>
        <v>-1585741.875</v>
      </c>
      <c r="Z199" s="1220"/>
    </row>
    <row r="200" spans="3:26" x14ac:dyDescent="0.2">
      <c r="C200" s="1203"/>
      <c r="D200" s="1203"/>
      <c r="E200" s="1203"/>
      <c r="F200" s="1203"/>
      <c r="G200" s="1204" t="s">
        <v>289</v>
      </c>
      <c r="H200" s="1243"/>
      <c r="I200" s="1298"/>
      <c r="J200" s="1373"/>
      <c r="K200" s="1309"/>
      <c r="L200" s="1309"/>
      <c r="M200" s="1309"/>
      <c r="N200" s="1309"/>
      <c r="O200" s="1309"/>
      <c r="P200" s="1309"/>
      <c r="Q200" s="1309"/>
      <c r="R200" s="1309"/>
      <c r="S200" s="1309"/>
      <c r="T200" s="1309"/>
      <c r="U200" s="1309"/>
      <c r="V200" s="1309"/>
      <c r="W200" s="1309"/>
      <c r="X200" s="1309"/>
      <c r="Y200" s="1375"/>
      <c r="Z200" s="1220"/>
    </row>
    <row r="201" spans="3:26" x14ac:dyDescent="0.2">
      <c r="C201" s="1203"/>
      <c r="D201" s="1203"/>
      <c r="E201" s="1203"/>
      <c r="F201" s="1203"/>
      <c r="G201" s="1313" t="s">
        <v>247</v>
      </c>
      <c r="H201" s="1243"/>
      <c r="I201" s="1298"/>
      <c r="J201" s="1373"/>
      <c r="K201" s="1212"/>
      <c r="L201" s="1220"/>
      <c r="M201" s="1220"/>
      <c r="N201" s="1220"/>
      <c r="O201" s="1220"/>
      <c r="P201" s="1220"/>
      <c r="Q201" s="1220"/>
      <c r="R201" s="1220"/>
      <c r="S201" s="1220"/>
      <c r="T201" s="1220"/>
      <c r="U201" s="1220"/>
      <c r="V201" s="1220"/>
      <c r="W201" s="1220"/>
      <c r="X201" s="1220"/>
      <c r="Y201" s="1373"/>
      <c r="Z201" s="1220"/>
    </row>
    <row r="202" spans="3:26" x14ac:dyDescent="0.2">
      <c r="C202" s="1449">
        <v>4</v>
      </c>
      <c r="D202" s="1449" t="s">
        <v>218</v>
      </c>
      <c r="E202" s="1203"/>
      <c r="F202" s="1203"/>
      <c r="G202" s="1204" t="s">
        <v>275</v>
      </c>
      <c r="H202" s="1243"/>
      <c r="I202" s="1298"/>
      <c r="J202" s="1373"/>
      <c r="K202" s="1309">
        <f>-K219*10^6</f>
        <v>-1478606.2500000002</v>
      </c>
      <c r="L202" s="1309">
        <f t="shared" ref="L202:Y202" si="24">-L219*10^6</f>
        <v>-1478606.2500000002</v>
      </c>
      <c r="M202" s="1309">
        <f t="shared" si="24"/>
        <v>-1478606.2500000002</v>
      </c>
      <c r="N202" s="1309">
        <f t="shared" si="24"/>
        <v>-1478606.2500000002</v>
      </c>
      <c r="O202" s="1309">
        <f t="shared" si="24"/>
        <v>-1478606.2500000002</v>
      </c>
      <c r="P202" s="1309">
        <f t="shared" si="24"/>
        <v>-1478606.2500000002</v>
      </c>
      <c r="Q202" s="1309">
        <f t="shared" si="24"/>
        <v>-1478606.2500000002</v>
      </c>
      <c r="R202" s="1309">
        <f t="shared" si="24"/>
        <v>-1478606.2500000002</v>
      </c>
      <c r="S202" s="1309">
        <f t="shared" si="24"/>
        <v>-1478606.2500000002</v>
      </c>
      <c r="T202" s="1309">
        <f t="shared" si="24"/>
        <v>-1478606.2500000002</v>
      </c>
      <c r="U202" s="1309">
        <f t="shared" si="24"/>
        <v>-1478606.2500000002</v>
      </c>
      <c r="V202" s="1309">
        <f t="shared" si="24"/>
        <v>-1478606.2500000002</v>
      </c>
      <c r="W202" s="1309">
        <f t="shared" si="24"/>
        <v>-1478606.2500000002</v>
      </c>
      <c r="X202" s="1309">
        <f t="shared" si="24"/>
        <v>-1478606.2500000002</v>
      </c>
      <c r="Y202" s="1309">
        <f t="shared" si="24"/>
        <v>-1478606.2500000002</v>
      </c>
      <c r="Z202" s="1220"/>
    </row>
    <row r="203" spans="3:26" x14ac:dyDescent="0.2">
      <c r="C203" s="1203"/>
      <c r="D203" s="1203"/>
      <c r="E203" s="1203"/>
      <c r="F203" s="1203"/>
      <c r="G203" s="1220" t="s">
        <v>290</v>
      </c>
      <c r="H203" s="1243"/>
      <c r="I203" s="1298"/>
      <c r="J203" s="1373"/>
      <c r="K203" s="1376">
        <f>SUM(K187:K199)</f>
        <v>25994201.93150916</v>
      </c>
      <c r="L203" s="1376">
        <f t="shared" ref="L203:Y203" si="25">SUM(L187:L199)</f>
        <v>34658935.908678882</v>
      </c>
      <c r="M203" s="1376">
        <f t="shared" si="25"/>
        <v>34658935.908678882</v>
      </c>
      <c r="N203" s="1376">
        <f t="shared" si="25"/>
        <v>34658935.908678882</v>
      </c>
      <c r="O203" s="1376">
        <f t="shared" si="25"/>
        <v>34658935.908678882</v>
      </c>
      <c r="P203" s="1376">
        <f t="shared" si="25"/>
        <v>34658935.908678882</v>
      </c>
      <c r="Q203" s="1376">
        <f t="shared" si="25"/>
        <v>34658935.908678882</v>
      </c>
      <c r="R203" s="1376">
        <f t="shared" si="25"/>
        <v>34658935.908678882</v>
      </c>
      <c r="S203" s="1376">
        <f t="shared" si="25"/>
        <v>34658935.908678882</v>
      </c>
      <c r="T203" s="1376">
        <f t="shared" si="25"/>
        <v>34658935.908678882</v>
      </c>
      <c r="U203" s="1376">
        <f t="shared" si="25"/>
        <v>34658935.908678882</v>
      </c>
      <c r="V203" s="1376">
        <f t="shared" si="25"/>
        <v>34658935.908678882</v>
      </c>
      <c r="W203" s="1376">
        <f t="shared" si="25"/>
        <v>34658935.908678882</v>
      </c>
      <c r="X203" s="1376">
        <f t="shared" si="25"/>
        <v>34658935.908678882</v>
      </c>
      <c r="Y203" s="1376">
        <f t="shared" si="25"/>
        <v>34658935.908678882</v>
      </c>
      <c r="Z203" s="1220"/>
    </row>
    <row r="204" spans="3:26" x14ac:dyDescent="0.2">
      <c r="C204" s="1203"/>
      <c r="D204" s="1203"/>
      <c r="E204" s="1203"/>
      <c r="F204" s="1203"/>
      <c r="G204" s="1192"/>
      <c r="H204" s="1243"/>
      <c r="I204" s="1203"/>
      <c r="J204" s="1369"/>
      <c r="K204" s="1216"/>
      <c r="L204" s="1192"/>
      <c r="M204" s="1192"/>
      <c r="N204" s="1192"/>
      <c r="O204" s="1192"/>
      <c r="P204" s="1192"/>
      <c r="Q204" s="1192"/>
      <c r="R204" s="1192"/>
      <c r="S204" s="1192"/>
      <c r="T204" s="1192"/>
      <c r="U204" s="1192"/>
      <c r="V204" s="1192"/>
      <c r="W204" s="1192"/>
      <c r="X204" s="1192"/>
      <c r="Y204" s="1369"/>
    </row>
    <row r="205" spans="3:26" x14ac:dyDescent="0.2">
      <c r="C205" s="1203"/>
      <c r="D205" s="1203"/>
      <c r="E205" s="1203"/>
      <c r="F205" s="1196">
        <v>14</v>
      </c>
      <c r="G205" s="1275" t="s">
        <v>291</v>
      </c>
      <c r="H205" s="1276" t="s">
        <v>21</v>
      </c>
      <c r="I205" s="1360" t="s">
        <v>249</v>
      </c>
      <c r="J205" s="1361" t="s">
        <v>250</v>
      </c>
      <c r="K205" s="1198" t="s">
        <v>251</v>
      </c>
      <c r="L205" s="1198" t="s">
        <v>252</v>
      </c>
      <c r="M205" s="1198" t="s">
        <v>253</v>
      </c>
      <c r="N205" s="1198" t="s">
        <v>254</v>
      </c>
      <c r="O205" s="1198" t="s">
        <v>255</v>
      </c>
      <c r="P205" s="1198" t="s">
        <v>256</v>
      </c>
      <c r="Q205" s="1198" t="s">
        <v>257</v>
      </c>
      <c r="R205" s="1198" t="s">
        <v>258</v>
      </c>
      <c r="S205" s="1198" t="s">
        <v>259</v>
      </c>
      <c r="T205" s="1198" t="s">
        <v>260</v>
      </c>
      <c r="U205" s="1198" t="s">
        <v>261</v>
      </c>
      <c r="V205" s="1198" t="s">
        <v>262</v>
      </c>
      <c r="W205" s="1198" t="s">
        <v>263</v>
      </c>
      <c r="X205" s="1198" t="s">
        <v>264</v>
      </c>
      <c r="Y205" s="1361" t="s">
        <v>265</v>
      </c>
    </row>
    <row r="206" spans="3:26" x14ac:dyDescent="0.2">
      <c r="C206" s="1192"/>
      <c r="D206" s="1192"/>
      <c r="E206" s="1192"/>
      <c r="F206" s="1203"/>
      <c r="G206" s="1204" t="s">
        <v>292</v>
      </c>
      <c r="H206" s="1326">
        <v>10</v>
      </c>
      <c r="I206" s="1377">
        <f>I$178*$H206*$I$174*$I$177*($I$14/$I$175)^$I$176</f>
        <v>4</v>
      </c>
      <c r="J206" s="1378">
        <f>J$178*$H206*$J$174*$I$177*($I$14/$I$175)^$I$176</f>
        <v>6</v>
      </c>
      <c r="K206" s="1216"/>
      <c r="L206" s="1192"/>
      <c r="M206" s="1192"/>
      <c r="N206" s="1192"/>
      <c r="O206" s="1192"/>
      <c r="P206" s="1192"/>
      <c r="Q206" s="1192"/>
      <c r="R206" s="1192"/>
      <c r="S206" s="1192"/>
      <c r="T206" s="1192"/>
      <c r="U206" s="1192"/>
      <c r="V206" s="1192"/>
      <c r="W206" s="1192"/>
      <c r="X206" s="1192"/>
      <c r="Y206" s="1369"/>
    </row>
    <row r="207" spans="3:26" x14ac:dyDescent="0.2">
      <c r="C207" s="1192"/>
      <c r="D207" s="1192"/>
      <c r="E207" s="1192"/>
      <c r="F207" s="1203"/>
      <c r="G207" s="1204" t="s">
        <v>293</v>
      </c>
      <c r="H207" s="1326">
        <v>18</v>
      </c>
      <c r="I207" s="1377">
        <f t="shared" ref="I207:I213" si="26">I$178*$H207*$I$174*$I$177*($I$14/$I$175)^$I$176</f>
        <v>7.2</v>
      </c>
      <c r="J207" s="1378">
        <f t="shared" ref="J207:J213" si="27">J$178*$H207*$J$174*$I$177*($I$14/$I$175)^$I$176</f>
        <v>10.799999999999999</v>
      </c>
      <c r="K207" s="1216"/>
      <c r="L207" s="1192"/>
      <c r="M207" s="1192"/>
      <c r="N207" s="1192"/>
      <c r="O207" s="1192"/>
      <c r="P207" s="1192"/>
      <c r="Q207" s="1192"/>
      <c r="R207" s="1192"/>
      <c r="S207" s="1192"/>
      <c r="T207" s="1192"/>
      <c r="U207" s="1192"/>
      <c r="V207" s="1192"/>
      <c r="W207" s="1192"/>
      <c r="X207" s="1192"/>
      <c r="Y207" s="1369"/>
    </row>
    <row r="208" spans="3:26" x14ac:dyDescent="0.2">
      <c r="C208" s="1192"/>
      <c r="D208" s="1192"/>
      <c r="E208" s="1192"/>
      <c r="F208" s="1203"/>
      <c r="G208" s="1204" t="s">
        <v>294</v>
      </c>
      <c r="H208" s="1326">
        <v>23</v>
      </c>
      <c r="I208" s="1377">
        <f t="shared" si="26"/>
        <v>9.2000000000000011</v>
      </c>
      <c r="J208" s="1378">
        <f t="shared" si="27"/>
        <v>13.799999999999999</v>
      </c>
      <c r="K208" s="1216"/>
      <c r="L208" s="1192"/>
      <c r="M208" s="1192"/>
      <c r="N208" s="1192"/>
      <c r="O208" s="1192"/>
      <c r="P208" s="1192"/>
      <c r="Q208" s="1192"/>
      <c r="R208" s="1192"/>
      <c r="S208" s="1192"/>
      <c r="T208" s="1192"/>
      <c r="U208" s="1192"/>
      <c r="V208" s="1192"/>
      <c r="W208" s="1192"/>
      <c r="X208" s="1192"/>
      <c r="Y208" s="1369"/>
    </row>
    <row r="209" spans="3:26" x14ac:dyDescent="0.2">
      <c r="C209" s="1192"/>
      <c r="D209" s="1192"/>
      <c r="E209" s="1192"/>
      <c r="F209" s="1203"/>
      <c r="G209" s="1204" t="s">
        <v>295</v>
      </c>
      <c r="H209" s="1326">
        <v>5</v>
      </c>
      <c r="I209" s="1377">
        <f t="shared" si="26"/>
        <v>2</v>
      </c>
      <c r="J209" s="1378">
        <f t="shared" si="27"/>
        <v>3</v>
      </c>
      <c r="K209" s="1216"/>
      <c r="L209" s="1192"/>
      <c r="M209" s="1192"/>
      <c r="N209" s="1192"/>
      <c r="O209" s="1192"/>
      <c r="P209" s="1192"/>
      <c r="Q209" s="1192"/>
      <c r="R209" s="1192"/>
      <c r="S209" s="1192"/>
      <c r="T209" s="1192"/>
      <c r="U209" s="1192"/>
      <c r="V209" s="1192"/>
      <c r="W209" s="1192"/>
      <c r="X209" s="1192"/>
      <c r="Y209" s="1369"/>
    </row>
    <row r="210" spans="3:26" x14ac:dyDescent="0.2">
      <c r="C210" s="1192"/>
      <c r="D210" s="1192"/>
      <c r="E210" s="1332">
        <v>0</v>
      </c>
      <c r="F210" s="1203"/>
      <c r="G210" s="1204" t="s">
        <v>296</v>
      </c>
      <c r="H210" s="1326">
        <v>17</v>
      </c>
      <c r="I210" s="1377">
        <f t="shared" si="26"/>
        <v>6.8000000000000007</v>
      </c>
      <c r="J210" s="1378">
        <f t="shared" si="27"/>
        <v>10.199999999999999</v>
      </c>
      <c r="K210" s="1216"/>
      <c r="L210" s="1192"/>
      <c r="M210" s="1192"/>
      <c r="N210" s="1192"/>
      <c r="O210" s="1192"/>
      <c r="P210" s="1192"/>
      <c r="Q210" s="1192"/>
      <c r="R210" s="1192"/>
      <c r="S210" s="1192"/>
      <c r="T210" s="1192"/>
      <c r="U210" s="1192"/>
      <c r="V210" s="1192"/>
      <c r="W210" s="1192"/>
      <c r="X210" s="1192"/>
      <c r="Y210" s="1369"/>
    </row>
    <row r="211" spans="3:26" x14ac:dyDescent="0.2">
      <c r="C211" s="1192"/>
      <c r="D211" s="1192"/>
      <c r="E211" s="1192"/>
      <c r="F211" s="1203"/>
      <c r="G211" s="1204" t="s">
        <v>167</v>
      </c>
      <c r="H211" s="1326">
        <v>11</v>
      </c>
      <c r="I211" s="1377">
        <f t="shared" si="26"/>
        <v>4.4000000000000004</v>
      </c>
      <c r="J211" s="1378">
        <f t="shared" si="27"/>
        <v>6.6</v>
      </c>
      <c r="K211" s="1216"/>
      <c r="L211" s="1192"/>
      <c r="M211" s="1192"/>
      <c r="N211" s="1192"/>
      <c r="O211" s="1192"/>
      <c r="P211" s="1192"/>
      <c r="Q211" s="1192"/>
      <c r="R211" s="1192"/>
      <c r="S211" s="1192"/>
      <c r="T211" s="1192"/>
      <c r="U211" s="1192"/>
      <c r="V211" s="1192"/>
      <c r="W211" s="1192"/>
      <c r="X211" s="1192"/>
      <c r="Y211" s="1369"/>
    </row>
    <row r="212" spans="3:26" x14ac:dyDescent="0.2">
      <c r="C212" s="1192"/>
      <c r="D212" s="1192"/>
      <c r="E212" s="1192"/>
      <c r="F212" s="1203"/>
      <c r="G212" s="1313" t="s">
        <v>461</v>
      </c>
      <c r="H212" s="1326">
        <v>7.5</v>
      </c>
      <c r="I212" s="1377">
        <f t="shared" si="26"/>
        <v>3</v>
      </c>
      <c r="J212" s="1378">
        <f t="shared" si="27"/>
        <v>4.5</v>
      </c>
      <c r="K212" s="1216"/>
      <c r="L212" s="1192"/>
      <c r="M212" s="1192"/>
      <c r="N212" s="1192"/>
      <c r="O212" s="1192"/>
      <c r="P212" s="1192"/>
      <c r="Q212" s="1192"/>
      <c r="R212" s="1192"/>
      <c r="S212" s="1192"/>
      <c r="T212" s="1192"/>
      <c r="U212" s="1192"/>
      <c r="V212" s="1192"/>
      <c r="W212" s="1192"/>
      <c r="X212" s="1192"/>
      <c r="Y212" s="1369"/>
    </row>
    <row r="213" spans="3:26" x14ac:dyDescent="0.2">
      <c r="C213" s="1192"/>
      <c r="D213" s="1192"/>
      <c r="E213" s="1192"/>
      <c r="F213" s="1203"/>
      <c r="G213" s="1204" t="s">
        <v>366</v>
      </c>
      <c r="H213" s="1326">
        <v>5</v>
      </c>
      <c r="I213" s="1377">
        <f t="shared" si="26"/>
        <v>2</v>
      </c>
      <c r="J213" s="1378">
        <f t="shared" si="27"/>
        <v>3</v>
      </c>
      <c r="K213" s="1216"/>
      <c r="L213" s="1192"/>
      <c r="M213" s="1192"/>
      <c r="N213" s="1192"/>
      <c r="O213" s="1192"/>
      <c r="P213" s="1192"/>
      <c r="Q213" s="1192"/>
      <c r="R213" s="1192"/>
      <c r="S213" s="1192"/>
      <c r="T213" s="1192"/>
      <c r="U213" s="1192"/>
      <c r="V213" s="1192"/>
      <c r="W213" s="1192"/>
      <c r="X213" s="1192"/>
      <c r="Y213" s="1369"/>
    </row>
    <row r="214" spans="3:26" x14ac:dyDescent="0.2">
      <c r="C214" s="1192"/>
      <c r="D214" s="1192"/>
      <c r="E214" s="1192"/>
      <c r="F214" s="1203"/>
      <c r="G214" s="1204" t="s">
        <v>298</v>
      </c>
      <c r="H214" s="1205">
        <v>0.125</v>
      </c>
      <c r="I214" s="1377">
        <f>$H$214*SUM(I206:I213)</f>
        <v>4.8250000000000002</v>
      </c>
      <c r="J214" s="1378">
        <f>$H$214*SUM(J206:J213)</f>
        <v>7.2374999999999998</v>
      </c>
      <c r="K214" s="1204" t="s">
        <v>367</v>
      </c>
      <c r="M214" s="1192"/>
      <c r="N214" s="1192"/>
      <c r="O214" s="1192"/>
      <c r="P214" s="1192"/>
      <c r="Q214" s="1192"/>
      <c r="R214" s="1192"/>
      <c r="S214" s="1192"/>
      <c r="T214" s="1192"/>
      <c r="U214" s="1192"/>
      <c r="V214" s="1192"/>
      <c r="W214" s="1192"/>
      <c r="X214" s="1192"/>
      <c r="Y214" s="1369"/>
    </row>
    <row r="215" spans="3:26" x14ac:dyDescent="0.2">
      <c r="C215" s="1192"/>
      <c r="D215" s="1192"/>
      <c r="E215" s="1192"/>
      <c r="F215" s="1203"/>
      <c r="G215" s="1204" t="s">
        <v>368</v>
      </c>
      <c r="H215" s="1205">
        <v>0.1</v>
      </c>
      <c r="I215" s="1377">
        <f>$H$215*SUM(I206:I214)</f>
        <v>4.3425000000000002</v>
      </c>
      <c r="J215" s="1378">
        <f>$H$215*SUM(J206:J214)</f>
        <v>6.5137500000000008</v>
      </c>
      <c r="K215" s="1221" t="s">
        <v>369</v>
      </c>
      <c r="L215" s="1204"/>
      <c r="M215" s="1192"/>
      <c r="N215" s="1192"/>
      <c r="O215" s="1192"/>
      <c r="P215" s="1192"/>
      <c r="Q215" s="1192"/>
      <c r="R215" s="1192"/>
      <c r="S215" s="1192"/>
      <c r="T215" s="1192"/>
      <c r="U215" s="1192"/>
      <c r="V215" s="1192"/>
      <c r="W215" s="1192"/>
      <c r="X215" s="1192"/>
      <c r="Y215" s="1369"/>
    </row>
    <row r="216" spans="3:26" x14ac:dyDescent="0.2">
      <c r="C216" s="1192"/>
      <c r="D216" s="1192"/>
      <c r="E216" s="1192"/>
      <c r="F216" s="1203"/>
      <c r="G216" s="1204" t="s">
        <v>370</v>
      </c>
      <c r="H216" s="1326">
        <v>5</v>
      </c>
      <c r="I216" s="1377">
        <f>H216</f>
        <v>5</v>
      </c>
      <c r="J216" s="1378"/>
      <c r="K216" s="1267" t="s">
        <v>371</v>
      </c>
      <c r="L216" s="1192"/>
      <c r="M216" s="1192"/>
      <c r="N216" s="1192"/>
      <c r="O216" s="1192"/>
      <c r="P216" s="1192"/>
      <c r="Q216" s="1192"/>
      <c r="R216" s="1192"/>
      <c r="S216" s="1192"/>
      <c r="T216" s="1192"/>
      <c r="U216" s="1192"/>
      <c r="V216" s="1192"/>
      <c r="W216" s="1192"/>
      <c r="X216" s="1192"/>
      <c r="Y216" s="1369"/>
    </row>
    <row r="217" spans="3:26" x14ac:dyDescent="0.2">
      <c r="C217" s="1192"/>
      <c r="D217" s="1192"/>
      <c r="E217" s="1192"/>
      <c r="F217" s="1203"/>
      <c r="G217" s="1204" t="s">
        <v>372</v>
      </c>
      <c r="H217" s="1326">
        <v>10</v>
      </c>
      <c r="I217" s="1377">
        <f>I$178*$H217*$I$174*$I$177</f>
        <v>4</v>
      </c>
      <c r="J217" s="1378">
        <f>J$178*$H217*$J$174*$I$177</f>
        <v>6</v>
      </c>
      <c r="K217" s="1216"/>
      <c r="L217" s="1192"/>
      <c r="M217" s="1192"/>
      <c r="N217" s="1192"/>
      <c r="O217" s="1192"/>
      <c r="P217" s="1192"/>
      <c r="Q217" s="1192"/>
      <c r="R217" s="1192"/>
      <c r="S217" s="1192"/>
      <c r="T217" s="1192"/>
      <c r="U217" s="1192"/>
      <c r="V217" s="1192"/>
      <c r="W217" s="1192"/>
      <c r="X217" s="1192"/>
      <c r="Y217" s="1369"/>
    </row>
    <row r="218" spans="3:26" x14ac:dyDescent="0.2">
      <c r="C218" s="1192"/>
      <c r="D218" s="1192"/>
      <c r="E218" s="1192"/>
      <c r="F218" s="1203"/>
      <c r="G218" s="1204" t="s">
        <v>299</v>
      </c>
      <c r="H218" s="1379">
        <v>0.1</v>
      </c>
      <c r="I218" s="1377">
        <f>$H$218*SUM(I206:I217)</f>
        <v>5.6767500000000011</v>
      </c>
      <c r="J218" s="1378">
        <f>$H$218*SUM(J206:J217)</f>
        <v>7.7651250000000012</v>
      </c>
      <c r="K218" s="1216"/>
      <c r="L218" s="1192"/>
      <c r="M218" s="1192"/>
      <c r="N218" s="1192"/>
      <c r="O218" s="1192"/>
      <c r="P218" s="1192"/>
      <c r="Q218" s="1192"/>
      <c r="R218" s="1192"/>
      <c r="S218" s="1192"/>
      <c r="T218" s="1192"/>
      <c r="U218" s="1192"/>
      <c r="V218" s="1192"/>
      <c r="W218" s="1192"/>
      <c r="X218" s="1192"/>
      <c r="Y218" s="1369"/>
    </row>
    <row r="219" spans="3:26" x14ac:dyDescent="0.2">
      <c r="C219" s="1449">
        <v>4</v>
      </c>
      <c r="D219" s="1449" t="str">
        <f>G219</f>
        <v>Sustaining capital</v>
      </c>
      <c r="E219" s="1192"/>
      <c r="F219" s="1203"/>
      <c r="G219" s="1313" t="s">
        <v>275</v>
      </c>
      <c r="H219" s="1204" t="s">
        <v>300</v>
      </c>
      <c r="I219" s="1380"/>
      <c r="J219" s="1381"/>
      <c r="K219" s="1382">
        <f>K174*K179*SUM($I$220:$J$220)</f>
        <v>1.4786062500000001</v>
      </c>
      <c r="L219" s="1382">
        <f t="shared" ref="L219:Y219" si="28">L174*L179*SUM($I$220:$J$220)</f>
        <v>1.4786062500000001</v>
      </c>
      <c r="M219" s="1382">
        <f t="shared" si="28"/>
        <v>1.4786062500000001</v>
      </c>
      <c r="N219" s="1382">
        <f t="shared" si="28"/>
        <v>1.4786062500000001</v>
      </c>
      <c r="O219" s="1382">
        <f t="shared" si="28"/>
        <v>1.4786062500000001</v>
      </c>
      <c r="P219" s="1382">
        <f t="shared" si="28"/>
        <v>1.4786062500000001</v>
      </c>
      <c r="Q219" s="1382">
        <f t="shared" si="28"/>
        <v>1.4786062500000001</v>
      </c>
      <c r="R219" s="1382">
        <f t="shared" si="28"/>
        <v>1.4786062500000001</v>
      </c>
      <c r="S219" s="1382">
        <f t="shared" si="28"/>
        <v>1.4786062500000001</v>
      </c>
      <c r="T219" s="1382">
        <f t="shared" si="28"/>
        <v>1.4786062500000001</v>
      </c>
      <c r="U219" s="1382">
        <f t="shared" si="28"/>
        <v>1.4786062500000001</v>
      </c>
      <c r="V219" s="1382">
        <f t="shared" si="28"/>
        <v>1.4786062500000001</v>
      </c>
      <c r="W219" s="1382">
        <f t="shared" si="28"/>
        <v>1.4786062500000001</v>
      </c>
      <c r="X219" s="1382">
        <f t="shared" si="28"/>
        <v>1.4786062500000001</v>
      </c>
      <c r="Y219" s="1382">
        <f t="shared" si="28"/>
        <v>1.4786062500000001</v>
      </c>
      <c r="Z219" s="1382">
        <f>Z174*Z179*SUM($I$220:Y220)</f>
        <v>0</v>
      </c>
    </row>
    <row r="220" spans="3:26" x14ac:dyDescent="0.2">
      <c r="C220" s="1192"/>
      <c r="D220" s="1192"/>
      <c r="E220" s="1192"/>
      <c r="F220" s="1203"/>
      <c r="G220" s="1220" t="s">
        <v>301</v>
      </c>
      <c r="H220" s="1243"/>
      <c r="I220" s="1454">
        <f t="shared" ref="I220:Y220" si="29">SUM(I206:I219)</f>
        <v>62.444250000000004</v>
      </c>
      <c r="J220" s="1455">
        <f t="shared" si="29"/>
        <v>85.416375000000002</v>
      </c>
      <c r="K220" s="1384">
        <f t="shared" si="29"/>
        <v>1.4786062500000001</v>
      </c>
      <c r="L220" s="1384">
        <f t="shared" si="29"/>
        <v>1.4786062500000001</v>
      </c>
      <c r="M220" s="1384">
        <f t="shared" si="29"/>
        <v>1.4786062500000001</v>
      </c>
      <c r="N220" s="1384">
        <f t="shared" si="29"/>
        <v>1.4786062500000001</v>
      </c>
      <c r="O220" s="1384">
        <f t="shared" si="29"/>
        <v>1.4786062500000001</v>
      </c>
      <c r="P220" s="1384">
        <f t="shared" si="29"/>
        <v>1.4786062500000001</v>
      </c>
      <c r="Q220" s="1384">
        <f t="shared" si="29"/>
        <v>1.4786062500000001</v>
      </c>
      <c r="R220" s="1384">
        <f t="shared" si="29"/>
        <v>1.4786062500000001</v>
      </c>
      <c r="S220" s="1384">
        <f t="shared" si="29"/>
        <v>1.4786062500000001</v>
      </c>
      <c r="T220" s="1384">
        <f t="shared" si="29"/>
        <v>1.4786062500000001</v>
      </c>
      <c r="U220" s="1384">
        <f t="shared" si="29"/>
        <v>1.4786062500000001</v>
      </c>
      <c r="V220" s="1384">
        <f t="shared" si="29"/>
        <v>1.4786062500000001</v>
      </c>
      <c r="W220" s="1384">
        <f t="shared" si="29"/>
        <v>1.4786062500000001</v>
      </c>
      <c r="X220" s="1384">
        <f t="shared" si="29"/>
        <v>1.4786062500000001</v>
      </c>
      <c r="Y220" s="1385">
        <f t="shared" si="29"/>
        <v>1.4786062500000001</v>
      </c>
    </row>
    <row r="221" spans="3:26" x14ac:dyDescent="0.2">
      <c r="C221" s="1192"/>
      <c r="D221" s="1192"/>
      <c r="E221" s="1192"/>
      <c r="F221" s="1203"/>
      <c r="G221" s="1192"/>
      <c r="H221" s="1243"/>
      <c r="I221" s="1456"/>
      <c r="J221" s="1369"/>
      <c r="K221" s="1216"/>
      <c r="L221" s="1192"/>
      <c r="M221" s="1192"/>
      <c r="N221" s="1192"/>
      <c r="O221" s="1192"/>
      <c r="P221" s="1192"/>
      <c r="Q221" s="1192"/>
      <c r="R221" s="1192"/>
      <c r="S221" s="1192"/>
      <c r="T221" s="1192"/>
      <c r="U221" s="1192"/>
      <c r="V221" s="1192"/>
      <c r="W221" s="1192"/>
      <c r="X221" s="1192"/>
      <c r="Y221" s="1369"/>
    </row>
    <row r="222" spans="3:26" x14ac:dyDescent="0.2">
      <c r="C222" s="1192"/>
      <c r="D222" s="1192"/>
      <c r="E222" s="1192"/>
      <c r="F222" s="1224"/>
      <c r="G222" s="1225"/>
      <c r="H222" s="1226"/>
      <c r="I222" s="1224"/>
      <c r="J222" s="1386"/>
      <c r="K222" s="1227"/>
      <c r="L222" s="1225"/>
      <c r="M222" s="1225"/>
      <c r="N222" s="1225"/>
      <c r="O222" s="1225"/>
      <c r="P222" s="1225"/>
      <c r="Q222" s="1225"/>
      <c r="R222" s="1225"/>
      <c r="S222" s="1225"/>
      <c r="T222" s="1225"/>
      <c r="U222" s="1225"/>
      <c r="V222" s="1225"/>
      <c r="W222" s="1225"/>
      <c r="X222" s="1225"/>
      <c r="Y222" s="1386"/>
    </row>
    <row r="223" spans="3:26" x14ac:dyDescent="0.2">
      <c r="C223" s="1192"/>
      <c r="D223" s="1192"/>
      <c r="E223" s="1192"/>
      <c r="F223" s="1192"/>
      <c r="J223" s="1192"/>
      <c r="K223" s="1216"/>
      <c r="L223" s="1192"/>
      <c r="M223" s="1192"/>
      <c r="N223" s="1192"/>
      <c r="O223" s="1192"/>
      <c r="P223" s="1192"/>
      <c r="Q223" s="1192"/>
      <c r="R223" s="1192"/>
      <c r="S223" s="1192"/>
    </row>
    <row r="224" spans="3:26" x14ac:dyDescent="0.2">
      <c r="C224" s="1192"/>
      <c r="D224" s="1192"/>
      <c r="E224" s="1192"/>
      <c r="F224" s="1192"/>
      <c r="J224" s="1192"/>
      <c r="K224" s="1216"/>
      <c r="L224" s="1192"/>
      <c r="M224" s="1192"/>
      <c r="N224" s="1192"/>
      <c r="O224" s="1192"/>
      <c r="P224" s="1192"/>
      <c r="Q224" s="1192"/>
      <c r="R224" s="1192"/>
      <c r="S224" s="1192"/>
    </row>
    <row r="225" spans="3:19" x14ac:dyDescent="0.2">
      <c r="C225" s="1192"/>
      <c r="D225" s="1192"/>
      <c r="E225" s="1192"/>
      <c r="F225" s="1192"/>
      <c r="J225" s="1192"/>
      <c r="K225" s="1216"/>
      <c r="L225" s="1192"/>
      <c r="M225" s="1192"/>
      <c r="N225" s="1192"/>
      <c r="O225" s="1192"/>
      <c r="P225" s="1192"/>
      <c r="Q225" s="1192"/>
      <c r="R225" s="1192"/>
      <c r="S225" s="1192"/>
    </row>
    <row r="226" spans="3:19" x14ac:dyDescent="0.2">
      <c r="H226" s="1107"/>
      <c r="K226" s="1107"/>
    </row>
    <row r="227" spans="3:19" x14ac:dyDescent="0.2">
      <c r="H227" s="1107"/>
      <c r="K227" s="1107"/>
    </row>
    <row r="228" spans="3:19" x14ac:dyDescent="0.2">
      <c r="H228" s="1107"/>
      <c r="K228" s="1107"/>
    </row>
    <row r="229" spans="3:19" x14ac:dyDescent="0.2">
      <c r="F229" s="1389" t="s">
        <v>0</v>
      </c>
      <c r="H229" s="1107"/>
      <c r="K229" s="1107"/>
    </row>
    <row r="230" spans="3:19" x14ac:dyDescent="0.2">
      <c r="F230" s="1203"/>
      <c r="H230" s="1107"/>
      <c r="K230" s="1107"/>
    </row>
    <row r="231" spans="3:19" x14ac:dyDescent="0.2">
      <c r="F231" s="1203"/>
      <c r="H231" s="1107"/>
      <c r="K231" s="1107"/>
    </row>
    <row r="232" spans="3:19" x14ac:dyDescent="0.2">
      <c r="F232" s="1203"/>
      <c r="H232" s="1107"/>
      <c r="K232" s="1107"/>
    </row>
    <row r="233" spans="3:19" x14ac:dyDescent="0.2">
      <c r="F233" s="1203"/>
      <c r="H233" s="1107"/>
      <c r="K233" s="1107"/>
    </row>
    <row r="234" spans="3:19" x14ac:dyDescent="0.2">
      <c r="F234" s="1203"/>
      <c r="H234" s="1107"/>
      <c r="K234" s="1107"/>
    </row>
    <row r="235" spans="3:19" x14ac:dyDescent="0.2">
      <c r="F235" s="1203"/>
      <c r="H235" s="1107"/>
      <c r="K235" s="1107"/>
    </row>
    <row r="236" spans="3:19" x14ac:dyDescent="0.2">
      <c r="F236" s="1203"/>
      <c r="H236" s="1107"/>
      <c r="K236" s="1107"/>
    </row>
    <row r="237" spans="3:19" x14ac:dyDescent="0.2">
      <c r="F237" s="1203"/>
      <c r="H237" s="1107"/>
      <c r="K237" s="1107"/>
    </row>
    <row r="238" spans="3:19" x14ac:dyDescent="0.2">
      <c r="F238" s="1203"/>
      <c r="H238" s="1107"/>
      <c r="K238" s="1107"/>
    </row>
    <row r="239" spans="3:19" x14ac:dyDescent="0.2">
      <c r="F239" s="1224"/>
      <c r="H239" s="1107"/>
      <c r="K239" s="1107"/>
    </row>
    <row r="240" spans="3:19" x14ac:dyDescent="0.2">
      <c r="F240" s="1457" t="s">
        <v>18</v>
      </c>
      <c r="H240" s="1107"/>
      <c r="K240" s="1107"/>
    </row>
    <row r="241" spans="6:11" x14ac:dyDescent="0.2">
      <c r="F241" s="1203"/>
      <c r="H241" s="1107"/>
      <c r="K241" s="1107"/>
    </row>
    <row r="242" spans="6:11" x14ac:dyDescent="0.2">
      <c r="F242" s="1203"/>
      <c r="H242" s="1107"/>
      <c r="K242" s="1107"/>
    </row>
    <row r="243" spans="6:11" x14ac:dyDescent="0.2">
      <c r="F243" s="1203"/>
      <c r="H243" s="1107"/>
      <c r="K243" s="1107"/>
    </row>
    <row r="244" spans="6:11" x14ac:dyDescent="0.2">
      <c r="F244" s="1203"/>
      <c r="H244" s="1107"/>
      <c r="K244" s="1107"/>
    </row>
    <row r="245" spans="6:11" x14ac:dyDescent="0.2">
      <c r="F245" s="1203"/>
      <c r="H245" s="1107"/>
      <c r="K245" s="1107"/>
    </row>
    <row r="246" spans="6:11" x14ac:dyDescent="0.2">
      <c r="F246" s="1203"/>
      <c r="H246" s="1107"/>
      <c r="K246" s="1107"/>
    </row>
    <row r="247" spans="6:11" x14ac:dyDescent="0.2">
      <c r="F247" s="1203"/>
      <c r="H247" s="1107"/>
      <c r="K247" s="1107"/>
    </row>
    <row r="248" spans="6:11" x14ac:dyDescent="0.2">
      <c r="F248" s="1203"/>
      <c r="H248" s="1107"/>
      <c r="K248" s="1107"/>
    </row>
    <row r="249" spans="6:11" x14ac:dyDescent="0.2">
      <c r="F249" s="1203"/>
      <c r="H249" s="1107"/>
      <c r="K249" s="1107"/>
    </row>
    <row r="250" spans="6:11" x14ac:dyDescent="0.2">
      <c r="F250" s="1203"/>
      <c r="H250" s="1107"/>
      <c r="K250" s="1107"/>
    </row>
    <row r="251" spans="6:11" x14ac:dyDescent="0.2">
      <c r="F251" s="1203"/>
      <c r="H251" s="1107"/>
      <c r="K251" s="1107"/>
    </row>
    <row r="252" spans="6:11" x14ac:dyDescent="0.2">
      <c r="F252" s="1203"/>
      <c r="H252" s="1107"/>
      <c r="K252" s="1107"/>
    </row>
    <row r="253" spans="6:11" x14ac:dyDescent="0.2">
      <c r="F253" s="1203"/>
      <c r="H253" s="1107"/>
      <c r="K253" s="1107"/>
    </row>
    <row r="254" spans="6:11" x14ac:dyDescent="0.2">
      <c r="F254" s="1203"/>
      <c r="H254" s="1107"/>
      <c r="K254" s="1107"/>
    </row>
    <row r="255" spans="6:11" x14ac:dyDescent="0.2">
      <c r="F255" s="1203"/>
      <c r="H255" s="1107"/>
      <c r="K255" s="1107"/>
    </row>
    <row r="256" spans="6:11" x14ac:dyDescent="0.2">
      <c r="F256" s="1203"/>
      <c r="H256" s="1107"/>
      <c r="K256" s="1107"/>
    </row>
    <row r="257" spans="6:11" x14ac:dyDescent="0.2">
      <c r="F257" s="1203"/>
      <c r="H257" s="1107"/>
      <c r="K257" s="1107"/>
    </row>
    <row r="258" spans="6:11" x14ac:dyDescent="0.2">
      <c r="F258" s="1203"/>
      <c r="H258" s="1107"/>
      <c r="K258" s="1107"/>
    </row>
    <row r="259" spans="6:11" x14ac:dyDescent="0.2">
      <c r="F259" s="1203"/>
      <c r="H259" s="1107"/>
      <c r="K259" s="1107"/>
    </row>
    <row r="260" spans="6:11" x14ac:dyDescent="0.2">
      <c r="F260" s="1203"/>
      <c r="H260" s="1107"/>
      <c r="K260" s="1107"/>
    </row>
    <row r="261" spans="6:11" x14ac:dyDescent="0.2">
      <c r="F261" s="1203"/>
      <c r="H261" s="1107"/>
      <c r="K261" s="1107"/>
    </row>
    <row r="262" spans="6:11" x14ac:dyDescent="0.2">
      <c r="F262" s="1203"/>
      <c r="H262" s="1107"/>
      <c r="K262" s="1107"/>
    </row>
    <row r="263" spans="6:11" x14ac:dyDescent="0.2">
      <c r="F263" s="1203"/>
      <c r="H263" s="1107"/>
      <c r="K263" s="1107"/>
    </row>
    <row r="264" spans="6:11" x14ac:dyDescent="0.2">
      <c r="F264" s="1203"/>
      <c r="H264" s="1107"/>
      <c r="K264" s="1107"/>
    </row>
    <row r="265" spans="6:11" x14ac:dyDescent="0.2">
      <c r="F265" s="1203"/>
      <c r="H265" s="1107"/>
      <c r="K265" s="1107"/>
    </row>
    <row r="266" spans="6:11" x14ac:dyDescent="0.2">
      <c r="F266" s="1203"/>
      <c r="H266" s="1107"/>
      <c r="K266" s="1107"/>
    </row>
    <row r="267" spans="6:11" x14ac:dyDescent="0.2">
      <c r="F267" s="1203"/>
      <c r="H267" s="1107"/>
      <c r="K267" s="1107"/>
    </row>
    <row r="268" spans="6:11" x14ac:dyDescent="0.2">
      <c r="F268" s="1203"/>
      <c r="H268" s="1107"/>
      <c r="K268" s="1107"/>
    </row>
    <row r="269" spans="6:11" x14ac:dyDescent="0.2">
      <c r="F269" s="1203"/>
      <c r="H269" s="1107"/>
      <c r="K269" s="1107"/>
    </row>
    <row r="270" spans="6:11" x14ac:dyDescent="0.2">
      <c r="F270" s="1203"/>
      <c r="H270" s="1107"/>
      <c r="K270" s="1107"/>
    </row>
    <row r="271" spans="6:11" x14ac:dyDescent="0.2">
      <c r="F271" s="1203"/>
      <c r="H271" s="1107"/>
      <c r="K271" s="1107"/>
    </row>
    <row r="272" spans="6:11" x14ac:dyDescent="0.2">
      <c r="F272" s="1203"/>
      <c r="H272" s="1107"/>
      <c r="K272" s="1107"/>
    </row>
    <row r="273" spans="6:11" x14ac:dyDescent="0.2">
      <c r="F273" s="1203"/>
      <c r="H273" s="1107"/>
      <c r="K273" s="1107"/>
    </row>
    <row r="274" spans="6:11" x14ac:dyDescent="0.2">
      <c r="F274" s="1203"/>
      <c r="H274" s="1107"/>
      <c r="K274" s="1107"/>
    </row>
    <row r="275" spans="6:11" x14ac:dyDescent="0.2">
      <c r="F275" s="1203"/>
      <c r="H275" s="1107"/>
      <c r="K275" s="1107"/>
    </row>
    <row r="276" spans="6:11" x14ac:dyDescent="0.2">
      <c r="F276" s="1203"/>
      <c r="H276" s="1107"/>
      <c r="K276" s="1107"/>
    </row>
    <row r="277" spans="6:11" x14ac:dyDescent="0.2">
      <c r="F277" s="1203"/>
      <c r="H277" s="1107"/>
      <c r="K277" s="1107"/>
    </row>
    <row r="278" spans="6:11" x14ac:dyDescent="0.2">
      <c r="F278" s="1203"/>
      <c r="H278" s="1107"/>
      <c r="K278" s="1107"/>
    </row>
    <row r="279" spans="6:11" x14ac:dyDescent="0.2">
      <c r="F279" s="1203"/>
      <c r="H279" s="1107"/>
      <c r="K279" s="1107"/>
    </row>
    <row r="280" spans="6:11" x14ac:dyDescent="0.2">
      <c r="F280" s="1389" t="s">
        <v>69</v>
      </c>
      <c r="H280" s="1107"/>
      <c r="K280" s="1107"/>
    </row>
    <row r="281" spans="6:11" x14ac:dyDescent="0.2">
      <c r="F281" s="1203"/>
      <c r="H281" s="1107"/>
      <c r="K281" s="1107"/>
    </row>
    <row r="282" spans="6:11" x14ac:dyDescent="0.2">
      <c r="F282" s="1203"/>
      <c r="H282" s="1107"/>
      <c r="K282" s="1107"/>
    </row>
    <row r="283" spans="6:11" x14ac:dyDescent="0.2">
      <c r="F283" s="1203"/>
      <c r="H283" s="1107"/>
      <c r="K283" s="1107"/>
    </row>
    <row r="284" spans="6:11" x14ac:dyDescent="0.2">
      <c r="F284" s="1203"/>
      <c r="H284" s="1107"/>
      <c r="K284" s="1107"/>
    </row>
    <row r="285" spans="6:11" x14ac:dyDescent="0.2">
      <c r="F285" s="1203"/>
      <c r="H285" s="1107"/>
      <c r="K285" s="1107"/>
    </row>
    <row r="286" spans="6:11" x14ac:dyDescent="0.2">
      <c r="F286" s="1203"/>
      <c r="H286" s="1107"/>
      <c r="K286" s="1107"/>
    </row>
    <row r="287" spans="6:11" x14ac:dyDescent="0.2">
      <c r="F287" s="1203"/>
      <c r="H287" s="1107"/>
      <c r="K287" s="1107"/>
    </row>
    <row r="288" spans="6:11" x14ac:dyDescent="0.2">
      <c r="F288" s="1203"/>
      <c r="H288" s="1107"/>
      <c r="K288" s="1107"/>
    </row>
    <row r="289" spans="6:11" x14ac:dyDescent="0.2">
      <c r="F289" s="1203"/>
      <c r="H289" s="1107"/>
      <c r="K289" s="1107"/>
    </row>
    <row r="290" spans="6:11" x14ac:dyDescent="0.2">
      <c r="F290" s="1203"/>
      <c r="H290" s="1107"/>
      <c r="K290" s="1107"/>
    </row>
    <row r="291" spans="6:11" x14ac:dyDescent="0.2">
      <c r="F291" s="1203"/>
      <c r="H291" s="1107"/>
      <c r="K291" s="1107"/>
    </row>
    <row r="292" spans="6:11" x14ac:dyDescent="0.2">
      <c r="F292" s="1203"/>
      <c r="H292" s="1107"/>
      <c r="K292" s="1107"/>
    </row>
    <row r="293" spans="6:11" x14ac:dyDescent="0.2">
      <c r="F293" s="1203"/>
      <c r="H293" s="1107"/>
      <c r="K293" s="1107"/>
    </row>
    <row r="294" spans="6:11" x14ac:dyDescent="0.2">
      <c r="F294" s="1203"/>
      <c r="H294" s="1107"/>
      <c r="K294" s="1107"/>
    </row>
    <row r="295" spans="6:11" x14ac:dyDescent="0.2">
      <c r="F295" s="1203"/>
      <c r="H295" s="1107"/>
      <c r="K295" s="1107"/>
    </row>
    <row r="296" spans="6:11" x14ac:dyDescent="0.2">
      <c r="F296" s="1203"/>
      <c r="H296" s="1107"/>
      <c r="K296" s="1107"/>
    </row>
    <row r="297" spans="6:11" x14ac:dyDescent="0.2">
      <c r="F297" s="1203"/>
      <c r="H297" s="1107"/>
      <c r="K297" s="1107"/>
    </row>
    <row r="298" spans="6:11" x14ac:dyDescent="0.2">
      <c r="F298" s="1203"/>
      <c r="H298" s="1107"/>
      <c r="K298" s="1107"/>
    </row>
    <row r="299" spans="6:11" x14ac:dyDescent="0.2">
      <c r="F299" s="1203"/>
      <c r="H299" s="1107"/>
      <c r="K299" s="1107"/>
    </row>
    <row r="300" spans="6:11" x14ac:dyDescent="0.2">
      <c r="F300" s="1203"/>
      <c r="H300" s="1107"/>
      <c r="K300" s="1107"/>
    </row>
    <row r="301" spans="6:11" x14ac:dyDescent="0.2">
      <c r="F301" s="1203"/>
      <c r="H301" s="1107"/>
      <c r="K301" s="1107"/>
    </row>
    <row r="302" spans="6:11" x14ac:dyDescent="0.2">
      <c r="F302" s="1203"/>
      <c r="H302" s="1107"/>
      <c r="K302" s="1107"/>
    </row>
    <row r="303" spans="6:11" x14ac:dyDescent="0.2">
      <c r="F303" s="1203"/>
      <c r="H303" s="1107"/>
      <c r="K303" s="1107"/>
    </row>
    <row r="304" spans="6:11" x14ac:dyDescent="0.2">
      <c r="F304" s="1203"/>
      <c r="H304" s="1107"/>
      <c r="K304" s="1107"/>
    </row>
    <row r="305" spans="6:11" x14ac:dyDescent="0.2">
      <c r="F305" s="1203"/>
      <c r="H305" s="1107"/>
      <c r="K305" s="1107"/>
    </row>
    <row r="306" spans="6:11" x14ac:dyDescent="0.2">
      <c r="F306" s="1203"/>
      <c r="H306" s="1107"/>
      <c r="K306" s="1107"/>
    </row>
    <row r="307" spans="6:11" x14ac:dyDescent="0.2">
      <c r="F307" s="1203"/>
      <c r="H307" s="1107"/>
      <c r="K307" s="1107"/>
    </row>
    <row r="308" spans="6:11" x14ac:dyDescent="0.2">
      <c r="F308" s="1203"/>
      <c r="H308" s="1107"/>
      <c r="K308" s="1107"/>
    </row>
    <row r="309" spans="6:11" x14ac:dyDescent="0.2">
      <c r="F309" s="1203"/>
      <c r="H309" s="1107"/>
      <c r="K309" s="1107"/>
    </row>
    <row r="310" spans="6:11" x14ac:dyDescent="0.2">
      <c r="F310" s="1203"/>
      <c r="H310" s="1107"/>
      <c r="K310" s="1107"/>
    </row>
    <row r="311" spans="6:11" x14ac:dyDescent="0.2">
      <c r="F311" s="1203"/>
      <c r="H311" s="1107"/>
      <c r="K311" s="1107"/>
    </row>
    <row r="312" spans="6:11" x14ac:dyDescent="0.2">
      <c r="F312" s="1203"/>
      <c r="H312" s="1107"/>
      <c r="K312" s="1107"/>
    </row>
    <row r="313" spans="6:11" x14ac:dyDescent="0.2">
      <c r="F313" s="1203"/>
      <c r="H313" s="1107"/>
      <c r="K313" s="1107"/>
    </row>
    <row r="314" spans="6:11" x14ac:dyDescent="0.2">
      <c r="F314" s="1203"/>
      <c r="H314" s="1107"/>
      <c r="K314" s="1107"/>
    </row>
    <row r="315" spans="6:11" x14ac:dyDescent="0.2">
      <c r="F315" s="1203"/>
      <c r="H315" s="1107"/>
      <c r="K315" s="1107"/>
    </row>
    <row r="316" spans="6:11" x14ac:dyDescent="0.2">
      <c r="F316" s="1203"/>
      <c r="H316" s="1107"/>
      <c r="K316" s="1107"/>
    </row>
    <row r="317" spans="6:11" x14ac:dyDescent="0.2">
      <c r="F317" s="1203"/>
      <c r="H317" s="1107"/>
      <c r="K317" s="1107"/>
    </row>
    <row r="318" spans="6:11" x14ac:dyDescent="0.2">
      <c r="F318" s="1203"/>
      <c r="H318" s="1107"/>
      <c r="K318" s="1107"/>
    </row>
    <row r="319" spans="6:11" x14ac:dyDescent="0.2">
      <c r="F319" s="1203"/>
      <c r="H319" s="1107"/>
      <c r="K319" s="1107"/>
    </row>
    <row r="320" spans="6:11" x14ac:dyDescent="0.2">
      <c r="F320" s="1203"/>
      <c r="H320" s="1107"/>
      <c r="K320" s="1107"/>
    </row>
    <row r="321" spans="6:11" x14ac:dyDescent="0.2">
      <c r="F321" s="1203"/>
      <c r="H321" s="1107"/>
      <c r="K321" s="1107"/>
    </row>
    <row r="322" spans="6:11" x14ac:dyDescent="0.2">
      <c r="F322" s="1203"/>
      <c r="H322" s="1107"/>
      <c r="K322" s="1107"/>
    </row>
    <row r="323" spans="6:11" x14ac:dyDescent="0.2">
      <c r="F323" s="1203"/>
      <c r="H323" s="1107"/>
      <c r="K323" s="1107"/>
    </row>
    <row r="324" spans="6:11" x14ac:dyDescent="0.2">
      <c r="F324" s="1203"/>
      <c r="H324" s="1107"/>
      <c r="K324" s="1107"/>
    </row>
    <row r="325" spans="6:11" x14ac:dyDescent="0.2">
      <c r="F325" s="1203"/>
      <c r="H325" s="1107"/>
      <c r="K325" s="1107"/>
    </row>
    <row r="326" spans="6:11" x14ac:dyDescent="0.2">
      <c r="F326" s="1203"/>
      <c r="H326" s="1107"/>
      <c r="K326" s="1107"/>
    </row>
    <row r="327" spans="6:11" x14ac:dyDescent="0.2">
      <c r="F327" s="1203"/>
      <c r="H327" s="1107"/>
      <c r="K327" s="1107"/>
    </row>
    <row r="328" spans="6:11" x14ac:dyDescent="0.2">
      <c r="F328" s="1203"/>
      <c r="H328" s="1107"/>
      <c r="K328" s="1107"/>
    </row>
    <row r="329" spans="6:11" x14ac:dyDescent="0.2">
      <c r="F329" s="1203"/>
      <c r="H329" s="1107"/>
      <c r="K329" s="1107"/>
    </row>
    <row r="330" spans="6:11" x14ac:dyDescent="0.2">
      <c r="F330" s="1203"/>
      <c r="H330" s="1107"/>
      <c r="K330" s="1107"/>
    </row>
    <row r="331" spans="6:11" x14ac:dyDescent="0.2">
      <c r="F331" s="1203"/>
      <c r="H331" s="1107"/>
      <c r="K331" s="1107"/>
    </row>
    <row r="332" spans="6:11" x14ac:dyDescent="0.2">
      <c r="F332" s="1203"/>
      <c r="H332" s="1107"/>
      <c r="K332" s="1107"/>
    </row>
    <row r="333" spans="6:11" x14ac:dyDescent="0.2">
      <c r="F333" s="1203"/>
      <c r="H333" s="1107"/>
      <c r="K333" s="1107"/>
    </row>
    <row r="334" spans="6:11" x14ac:dyDescent="0.2">
      <c r="F334" s="1203"/>
      <c r="H334" s="1107"/>
      <c r="K334" s="1107"/>
    </row>
    <row r="335" spans="6:11" x14ac:dyDescent="0.2">
      <c r="F335" s="1203"/>
      <c r="H335" s="1107"/>
      <c r="K335" s="1107"/>
    </row>
    <row r="336" spans="6:11" x14ac:dyDescent="0.2">
      <c r="F336" s="1203"/>
      <c r="H336" s="1107"/>
      <c r="K336" s="1107"/>
    </row>
    <row r="337" spans="6:11" x14ac:dyDescent="0.2">
      <c r="F337" s="1203"/>
      <c r="H337" s="1107"/>
      <c r="K337" s="1107"/>
    </row>
    <row r="338" spans="6:11" x14ac:dyDescent="0.2">
      <c r="F338" s="1203"/>
      <c r="H338" s="1107"/>
      <c r="K338" s="1107"/>
    </row>
    <row r="339" spans="6:11" x14ac:dyDescent="0.2">
      <c r="F339" s="1203"/>
      <c r="H339" s="1107"/>
      <c r="K339" s="1107"/>
    </row>
    <row r="340" spans="6:11" x14ac:dyDescent="0.2">
      <c r="F340" s="1203"/>
      <c r="H340" s="1107"/>
      <c r="K340" s="1107"/>
    </row>
    <row r="341" spans="6:11" x14ac:dyDescent="0.2">
      <c r="F341" s="1203"/>
      <c r="H341" s="1107"/>
      <c r="K341" s="1107"/>
    </row>
    <row r="342" spans="6:11" x14ac:dyDescent="0.2">
      <c r="F342" s="1203"/>
      <c r="H342" s="1107"/>
      <c r="K342" s="1107"/>
    </row>
    <row r="343" spans="6:11" x14ac:dyDescent="0.2">
      <c r="F343" s="1389" t="s">
        <v>85</v>
      </c>
      <c r="H343" s="1107"/>
      <c r="K343" s="1107"/>
    </row>
    <row r="344" spans="6:11" x14ac:dyDescent="0.2">
      <c r="F344" s="1203"/>
      <c r="H344" s="1107"/>
      <c r="K344" s="1107"/>
    </row>
    <row r="345" spans="6:11" x14ac:dyDescent="0.2">
      <c r="F345" s="1203"/>
      <c r="H345" s="1107"/>
      <c r="K345" s="1107"/>
    </row>
    <row r="346" spans="6:11" x14ac:dyDescent="0.2">
      <c r="F346" s="1203"/>
      <c r="H346" s="1107"/>
      <c r="K346" s="1107"/>
    </row>
    <row r="347" spans="6:11" x14ac:dyDescent="0.2">
      <c r="F347" s="1203"/>
      <c r="H347" s="1107"/>
      <c r="K347" s="1107"/>
    </row>
    <row r="348" spans="6:11" x14ac:dyDescent="0.2">
      <c r="F348" s="1203"/>
      <c r="H348" s="1107"/>
      <c r="K348" s="1107"/>
    </row>
    <row r="349" spans="6:11" x14ac:dyDescent="0.2">
      <c r="F349" s="1203"/>
      <c r="H349" s="1107"/>
      <c r="K349" s="1107"/>
    </row>
    <row r="350" spans="6:11" x14ac:dyDescent="0.2">
      <c r="F350" s="1203"/>
      <c r="H350" s="1107"/>
      <c r="K350" s="1107"/>
    </row>
    <row r="351" spans="6:11" x14ac:dyDescent="0.2">
      <c r="F351" s="1203"/>
      <c r="H351" s="1107"/>
      <c r="K351" s="1107"/>
    </row>
    <row r="352" spans="6:11" x14ac:dyDescent="0.2">
      <c r="F352" s="1203"/>
      <c r="H352" s="1107"/>
      <c r="K352" s="1107"/>
    </row>
    <row r="353" spans="6:11" x14ac:dyDescent="0.2">
      <c r="F353" s="1203"/>
      <c r="H353" s="1107"/>
      <c r="K353" s="1107"/>
    </row>
    <row r="354" spans="6:11" x14ac:dyDescent="0.2">
      <c r="F354" s="1203"/>
      <c r="H354" s="1107"/>
      <c r="K354" s="1107"/>
    </row>
    <row r="355" spans="6:11" x14ac:dyDescent="0.2">
      <c r="F355" s="1203"/>
      <c r="H355" s="1107"/>
      <c r="K355" s="1107"/>
    </row>
    <row r="356" spans="6:11" x14ac:dyDescent="0.2">
      <c r="F356" s="1203"/>
      <c r="H356" s="1107"/>
      <c r="K356" s="1107"/>
    </row>
    <row r="357" spans="6:11" x14ac:dyDescent="0.2">
      <c r="F357" s="1203"/>
      <c r="H357" s="1107"/>
      <c r="K357" s="1107"/>
    </row>
    <row r="358" spans="6:11" x14ac:dyDescent="0.2">
      <c r="F358" s="1203"/>
      <c r="H358" s="1107"/>
      <c r="K358" s="1107"/>
    </row>
    <row r="359" spans="6:11" x14ac:dyDescent="0.2">
      <c r="F359" s="1389" t="s">
        <v>128</v>
      </c>
      <c r="H359" s="1107"/>
      <c r="K359" s="1107"/>
    </row>
    <row r="360" spans="6:11" x14ac:dyDescent="0.2">
      <c r="F360" s="1203"/>
      <c r="H360" s="1107"/>
      <c r="K360" s="1107"/>
    </row>
    <row r="361" spans="6:11" x14ac:dyDescent="0.2">
      <c r="F361" s="1203"/>
      <c r="H361" s="1107"/>
      <c r="K361" s="1107"/>
    </row>
    <row r="362" spans="6:11" x14ac:dyDescent="0.2">
      <c r="F362" s="1203"/>
      <c r="H362" s="1107"/>
      <c r="K362" s="1107"/>
    </row>
    <row r="363" spans="6:11" x14ac:dyDescent="0.2">
      <c r="F363" s="1203"/>
      <c r="H363" s="1107"/>
      <c r="K363" s="1107"/>
    </row>
    <row r="364" spans="6:11" x14ac:dyDescent="0.2">
      <c r="F364" s="1203"/>
      <c r="H364" s="1107"/>
      <c r="K364" s="1107"/>
    </row>
    <row r="365" spans="6:11" x14ac:dyDescent="0.2">
      <c r="F365" s="1203"/>
      <c r="H365" s="1107"/>
      <c r="K365" s="1107"/>
    </row>
    <row r="366" spans="6:11" x14ac:dyDescent="0.2">
      <c r="F366" s="1203"/>
      <c r="H366" s="1107"/>
      <c r="K366" s="1107"/>
    </row>
    <row r="367" spans="6:11" x14ac:dyDescent="0.2">
      <c r="F367" s="1203"/>
      <c r="H367" s="1107"/>
      <c r="K367" s="1107"/>
    </row>
    <row r="368" spans="6:11" x14ac:dyDescent="0.2">
      <c r="F368" s="1203"/>
      <c r="H368" s="1107"/>
      <c r="K368" s="1107"/>
    </row>
    <row r="369" spans="6:11" x14ac:dyDescent="0.2">
      <c r="F369" s="1203"/>
      <c r="H369" s="1107"/>
      <c r="K369" s="1107"/>
    </row>
    <row r="370" spans="6:11" x14ac:dyDescent="0.2">
      <c r="F370" s="1203"/>
      <c r="H370" s="1107"/>
      <c r="K370" s="1107"/>
    </row>
    <row r="371" spans="6:11" x14ac:dyDescent="0.2">
      <c r="F371" s="1203"/>
      <c r="H371" s="1107"/>
      <c r="K371" s="1107"/>
    </row>
    <row r="372" spans="6:11" x14ac:dyDescent="0.2">
      <c r="F372" s="1203"/>
      <c r="H372" s="1107"/>
      <c r="K372" s="1107"/>
    </row>
    <row r="373" spans="6:11" x14ac:dyDescent="0.2">
      <c r="F373" s="1203"/>
      <c r="H373" s="1107"/>
      <c r="K373" s="1107"/>
    </row>
    <row r="374" spans="6:11" x14ac:dyDescent="0.2">
      <c r="F374" s="1203"/>
      <c r="H374" s="1107"/>
      <c r="K374" s="1107"/>
    </row>
    <row r="375" spans="6:11" x14ac:dyDescent="0.2">
      <c r="F375" s="1203"/>
      <c r="H375" s="1107"/>
      <c r="K375" s="1107"/>
    </row>
    <row r="376" spans="6:11" x14ac:dyDescent="0.2">
      <c r="F376" s="1203"/>
      <c r="H376" s="1107"/>
      <c r="K376" s="1107"/>
    </row>
    <row r="377" spans="6:11" x14ac:dyDescent="0.2">
      <c r="F377" s="1203"/>
      <c r="H377" s="1107"/>
      <c r="K377" s="1107"/>
    </row>
    <row r="378" spans="6:11" x14ac:dyDescent="0.2">
      <c r="F378" s="1389" t="s">
        <v>176</v>
      </c>
      <c r="H378" s="1107"/>
      <c r="K378" s="1107"/>
    </row>
    <row r="379" spans="6:11" x14ac:dyDescent="0.2">
      <c r="F379" s="1203"/>
      <c r="H379" s="1107"/>
      <c r="K379" s="1107"/>
    </row>
    <row r="380" spans="6:11" x14ac:dyDescent="0.2">
      <c r="F380" s="1203"/>
      <c r="H380" s="1107"/>
      <c r="K380" s="1107"/>
    </row>
    <row r="381" spans="6:11" x14ac:dyDescent="0.2">
      <c r="F381" s="1203"/>
      <c r="H381" s="1107"/>
      <c r="K381" s="1107"/>
    </row>
    <row r="382" spans="6:11" x14ac:dyDescent="0.2">
      <c r="F382" s="1203"/>
      <c r="H382" s="1107"/>
      <c r="K382" s="1107"/>
    </row>
    <row r="383" spans="6:11" x14ac:dyDescent="0.2">
      <c r="F383" s="1203"/>
      <c r="H383" s="1107"/>
      <c r="K383" s="1107"/>
    </row>
    <row r="384" spans="6:11" x14ac:dyDescent="0.2">
      <c r="F384" s="1203"/>
      <c r="H384" s="1107"/>
      <c r="K384" s="1107"/>
    </row>
    <row r="385" spans="6:11" x14ac:dyDescent="0.2">
      <c r="F385" s="1203"/>
      <c r="H385" s="1107"/>
      <c r="K385" s="1107"/>
    </row>
    <row r="386" spans="6:11" x14ac:dyDescent="0.2">
      <c r="F386" s="1203"/>
      <c r="H386" s="1107"/>
      <c r="K386" s="1107"/>
    </row>
    <row r="387" spans="6:11" x14ac:dyDescent="0.2">
      <c r="F387" s="1203"/>
      <c r="H387" s="1107"/>
      <c r="K387" s="1107"/>
    </row>
    <row r="388" spans="6:11" x14ac:dyDescent="0.2">
      <c r="F388" s="1203"/>
      <c r="H388" s="1107"/>
      <c r="K388" s="1107"/>
    </row>
    <row r="389" spans="6:11" x14ac:dyDescent="0.2">
      <c r="F389" s="1203"/>
      <c r="H389" s="1107"/>
      <c r="K389" s="1107"/>
    </row>
    <row r="390" spans="6:11" x14ac:dyDescent="0.2">
      <c r="F390" s="1203"/>
      <c r="H390" s="1107"/>
      <c r="K390" s="1107"/>
    </row>
    <row r="391" spans="6:11" x14ac:dyDescent="0.2">
      <c r="F391" s="1203"/>
      <c r="H391" s="1107"/>
      <c r="K391" s="1107"/>
    </row>
    <row r="392" spans="6:11" x14ac:dyDescent="0.2">
      <c r="F392" s="1203"/>
      <c r="H392" s="1107"/>
      <c r="K392" s="1107"/>
    </row>
    <row r="393" spans="6:11" x14ac:dyDescent="0.2">
      <c r="F393" s="1203"/>
      <c r="H393" s="1107"/>
      <c r="K393" s="1107"/>
    </row>
    <row r="394" spans="6:11" x14ac:dyDescent="0.2">
      <c r="F394" s="1203"/>
      <c r="H394" s="1107"/>
      <c r="K394" s="1107"/>
    </row>
    <row r="395" spans="6:11" x14ac:dyDescent="0.2">
      <c r="F395" s="1203"/>
      <c r="H395" s="1107"/>
      <c r="K395" s="1107"/>
    </row>
    <row r="396" spans="6:11" x14ac:dyDescent="0.2">
      <c r="F396" s="1203"/>
      <c r="H396" s="1107"/>
      <c r="K396" s="1107"/>
    </row>
    <row r="397" spans="6:11" x14ac:dyDescent="0.2">
      <c r="F397" s="1203"/>
      <c r="H397" s="1107"/>
      <c r="K397" s="1107"/>
    </row>
    <row r="398" spans="6:11" x14ac:dyDescent="0.2">
      <c r="F398" s="1203"/>
      <c r="H398" s="1107"/>
      <c r="K398" s="1107"/>
    </row>
    <row r="399" spans="6:11" x14ac:dyDescent="0.2">
      <c r="F399" s="1203"/>
      <c r="H399" s="1107"/>
      <c r="K399" s="1107"/>
    </row>
    <row r="400" spans="6:11" x14ac:dyDescent="0.2">
      <c r="F400" s="1203"/>
      <c r="H400" s="1107"/>
      <c r="K400" s="1107"/>
    </row>
    <row r="401" spans="6:11" x14ac:dyDescent="0.2">
      <c r="F401" s="1203"/>
      <c r="H401" s="1107"/>
      <c r="K401" s="1107"/>
    </row>
    <row r="402" spans="6:11" x14ac:dyDescent="0.2">
      <c r="F402" s="1203"/>
      <c r="H402" s="1107"/>
      <c r="K402" s="1107"/>
    </row>
    <row r="403" spans="6:11" x14ac:dyDescent="0.2">
      <c r="F403" s="1203"/>
      <c r="H403" s="1107"/>
      <c r="K403" s="1107"/>
    </row>
    <row r="404" spans="6:11" x14ac:dyDescent="0.2">
      <c r="F404" s="1203"/>
      <c r="H404" s="1107"/>
      <c r="K404" s="1107"/>
    </row>
    <row r="405" spans="6:11" x14ac:dyDescent="0.2">
      <c r="F405" s="1203"/>
      <c r="H405" s="1107"/>
      <c r="K405" s="1107"/>
    </row>
    <row r="406" spans="6:11" x14ac:dyDescent="0.2">
      <c r="F406" s="1203"/>
      <c r="H406" s="1107"/>
      <c r="K406" s="1107"/>
    </row>
    <row r="407" spans="6:11" x14ac:dyDescent="0.2">
      <c r="F407" s="1203"/>
      <c r="H407" s="1107"/>
      <c r="K407" s="1107"/>
    </row>
    <row r="408" spans="6:11" x14ac:dyDescent="0.2">
      <c r="F408" s="1389" t="s">
        <v>189</v>
      </c>
      <c r="H408" s="1107"/>
      <c r="K408" s="1107"/>
    </row>
    <row r="409" spans="6:11" x14ac:dyDescent="0.2">
      <c r="F409" s="1203"/>
      <c r="H409" s="1107"/>
      <c r="K409" s="1107"/>
    </row>
    <row r="410" spans="6:11" x14ac:dyDescent="0.2">
      <c r="F410" s="1203"/>
      <c r="H410" s="1107"/>
      <c r="K410" s="1107"/>
    </row>
    <row r="411" spans="6:11" x14ac:dyDescent="0.2">
      <c r="F411" s="1203"/>
      <c r="H411" s="1107"/>
      <c r="K411" s="1107"/>
    </row>
    <row r="412" spans="6:11" x14ac:dyDescent="0.2">
      <c r="F412" s="1203"/>
      <c r="H412" s="1107"/>
      <c r="K412" s="1107"/>
    </row>
    <row r="413" spans="6:11" x14ac:dyDescent="0.2">
      <c r="F413" s="1203"/>
      <c r="H413" s="1107"/>
      <c r="K413" s="1107"/>
    </row>
    <row r="414" spans="6:11" x14ac:dyDescent="0.2">
      <c r="F414" s="1203"/>
      <c r="H414" s="1107"/>
      <c r="K414" s="1107"/>
    </row>
    <row r="415" spans="6:11" x14ac:dyDescent="0.2">
      <c r="F415" s="1203"/>
      <c r="H415" s="1107"/>
      <c r="K415" s="1107"/>
    </row>
    <row r="416" spans="6:11" x14ac:dyDescent="0.2">
      <c r="F416" s="1203"/>
      <c r="H416" s="1107"/>
      <c r="K416" s="1107"/>
    </row>
    <row r="417" spans="6:11" x14ac:dyDescent="0.2">
      <c r="F417" s="1203"/>
      <c r="H417" s="1107"/>
      <c r="K417" s="1107"/>
    </row>
    <row r="418" spans="6:11" x14ac:dyDescent="0.2">
      <c r="F418" s="1203"/>
      <c r="H418" s="1107"/>
      <c r="K418" s="1107"/>
    </row>
    <row r="419" spans="6:11" x14ac:dyDescent="0.2">
      <c r="F419" s="1203"/>
      <c r="H419" s="1107"/>
      <c r="K419" s="1107"/>
    </row>
    <row r="420" spans="6:11" x14ac:dyDescent="0.2">
      <c r="F420" s="1203"/>
      <c r="H420" s="1107"/>
      <c r="K420" s="1107"/>
    </row>
    <row r="421" spans="6:11" x14ac:dyDescent="0.2">
      <c r="F421" s="1203"/>
      <c r="H421" s="1107"/>
      <c r="K421" s="1107"/>
    </row>
    <row r="422" spans="6:11" x14ac:dyDescent="0.2">
      <c r="F422" s="1203"/>
      <c r="H422" s="1107"/>
      <c r="K422" s="1107"/>
    </row>
    <row r="423" spans="6:11" x14ac:dyDescent="0.2">
      <c r="F423" s="1389" t="s">
        <v>211</v>
      </c>
      <c r="H423" s="1107"/>
      <c r="K423" s="1107"/>
    </row>
    <row r="424" spans="6:11" x14ac:dyDescent="0.2">
      <c r="F424" s="1203"/>
      <c r="H424" s="1107"/>
      <c r="K424" s="1107"/>
    </row>
    <row r="425" spans="6:11" x14ac:dyDescent="0.2">
      <c r="F425" s="1203"/>
      <c r="H425" s="1107"/>
      <c r="K425" s="1107"/>
    </row>
    <row r="426" spans="6:11" x14ac:dyDescent="0.2">
      <c r="F426" s="1203"/>
      <c r="H426" s="1107"/>
      <c r="K426" s="1107"/>
    </row>
    <row r="427" spans="6:11" x14ac:dyDescent="0.2">
      <c r="F427" s="1203"/>
      <c r="H427" s="1107"/>
      <c r="K427" s="1107"/>
    </row>
    <row r="428" spans="6:11" x14ac:dyDescent="0.2">
      <c r="F428" s="1203"/>
      <c r="H428" s="1107"/>
      <c r="K428" s="1107"/>
    </row>
    <row r="429" spans="6:11" x14ac:dyDescent="0.2">
      <c r="F429" s="1203"/>
      <c r="H429" s="1107"/>
      <c r="K429" s="1107"/>
    </row>
    <row r="430" spans="6:11" x14ac:dyDescent="0.2">
      <c r="F430" s="1203"/>
      <c r="H430" s="1107"/>
      <c r="K430" s="1107"/>
    </row>
    <row r="431" spans="6:11" x14ac:dyDescent="0.2">
      <c r="F431" s="1203"/>
      <c r="H431" s="1107"/>
      <c r="K431" s="1107"/>
    </row>
    <row r="432" spans="6:11" x14ac:dyDescent="0.2">
      <c r="F432" s="1203"/>
      <c r="H432" s="1107"/>
      <c r="K432" s="1107"/>
    </row>
    <row r="433" spans="6:11" x14ac:dyDescent="0.2">
      <c r="F433" s="1203"/>
      <c r="H433" s="1107"/>
      <c r="K433" s="1107"/>
    </row>
    <row r="434" spans="6:11" x14ac:dyDescent="0.2">
      <c r="F434" s="1203"/>
      <c r="H434" s="1107"/>
      <c r="K434" s="1107"/>
    </row>
    <row r="435" spans="6:11" x14ac:dyDescent="0.2">
      <c r="F435" s="1224"/>
      <c r="H435" s="1107"/>
      <c r="K435" s="1107"/>
    </row>
  </sheetData>
  <sheetProtection password="C82C" sheet="1" objects="1" scenarios="1" selectLockedCells="1"/>
  <pageMargins left="0.70866141732283472" right="0.70866141732283472" top="0.74803149606299213" bottom="0.74803149606299213" header="0.31496062992125984" footer="0.31496062992125984"/>
  <pageSetup paperSize="9" scale="64" fitToHeight="0" orientation="portrait" r:id="rId1"/>
  <headerFooter>
    <oddHeader>&amp;LPUBLIC&amp;CEfficient Costs of New Entrant Ethanol Producers&amp;R&amp;G</oddHeader>
    <oddFooter>&amp;L&amp;F:&amp;A&amp;C&amp;D&amp;R&amp;P of &amp;N</oddFooter>
  </headerFooter>
  <rowBreaks count="1" manualBreakCount="1">
    <brk id="81" min="6" max="12"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'Wheat Standalone (Starch)'!$S$156:$S$157</xm:f>
          </x14:formula1>
          <xm:sqref>N137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A435"/>
  <sheetViews>
    <sheetView topLeftCell="G3" zoomScaleNormal="100" workbookViewId="0">
      <selection activeCell="H5" sqref="H5"/>
    </sheetView>
  </sheetViews>
  <sheetFormatPr defaultRowHeight="12.75" x14ac:dyDescent="0.2"/>
  <cols>
    <col min="1" max="2" width="0" style="259" hidden="1" customWidth="1"/>
    <col min="3" max="3" width="4.42578125" style="2" hidden="1" customWidth="1"/>
    <col min="4" max="4" width="11.5703125" style="2" hidden="1" customWidth="1"/>
    <col min="5" max="5" width="4.28515625" style="2" hidden="1" customWidth="1"/>
    <col min="6" max="6" width="4.7109375" style="2" hidden="1" customWidth="1"/>
    <col min="7" max="7" width="45.85546875" style="2" customWidth="1"/>
    <col min="8" max="8" width="17.7109375" style="3" customWidth="1"/>
    <col min="9" max="9" width="13.28515625" style="2" customWidth="1"/>
    <col min="10" max="10" width="21.7109375" style="2" customWidth="1"/>
    <col min="11" max="11" width="16.28515625" style="4" customWidth="1"/>
    <col min="12" max="12" width="13.28515625" style="2" customWidth="1"/>
    <col min="13" max="13" width="13.7109375" style="2" customWidth="1"/>
    <col min="14" max="17" width="14.28515625" style="2" bestFit="1" customWidth="1"/>
    <col min="18" max="18" width="13.85546875" style="2" customWidth="1"/>
    <col min="19" max="19" width="13.140625" style="2" customWidth="1"/>
    <col min="20" max="25" width="14.28515625" style="2" bestFit="1" customWidth="1"/>
    <col min="26" max="16384" width="9.140625" style="2"/>
  </cols>
  <sheetData>
    <row r="1" spans="3:24" ht="20.25" hidden="1" x14ac:dyDescent="0.3">
      <c r="C1" s="1"/>
      <c r="D1" s="1"/>
      <c r="E1" s="1"/>
    </row>
    <row r="2" spans="3:24" hidden="1" x14ac:dyDescent="0.2">
      <c r="G2" s="5"/>
    </row>
    <row r="3" spans="3:24" ht="23.25" x14ac:dyDescent="0.35">
      <c r="C3" s="6"/>
      <c r="D3" s="184"/>
      <c r="E3" s="184"/>
      <c r="G3" s="302" t="s">
        <v>812</v>
      </c>
    </row>
    <row r="4" spans="3:24" ht="25.5" x14ac:dyDescent="0.2">
      <c r="C4" s="7"/>
      <c r="D4" s="7"/>
      <c r="E4" s="7"/>
      <c r="F4" s="8" t="s">
        <v>0</v>
      </c>
      <c r="G4" s="9" t="s">
        <v>1</v>
      </c>
      <c r="H4" s="10" t="s">
        <v>2</v>
      </c>
      <c r="I4" s="10" t="s">
        <v>3</v>
      </c>
      <c r="J4" s="10" t="s">
        <v>4</v>
      </c>
      <c r="K4" s="11" t="s">
        <v>5</v>
      </c>
      <c r="L4" s="10" t="s">
        <v>6</v>
      </c>
      <c r="M4" s="12"/>
      <c r="N4" s="9" t="s">
        <v>7</v>
      </c>
      <c r="O4" s="13"/>
      <c r="P4" s="13"/>
      <c r="Q4" s="13"/>
      <c r="R4" s="13"/>
      <c r="S4" s="12"/>
    </row>
    <row r="5" spans="3:24" x14ac:dyDescent="0.2">
      <c r="C5" s="14"/>
      <c r="D5" s="14"/>
      <c r="E5" s="14"/>
      <c r="F5" s="14"/>
      <c r="G5" s="656" t="s">
        <v>810</v>
      </c>
      <c r="H5" s="732">
        <v>0</v>
      </c>
      <c r="I5" s="392">
        <v>0.46400000000000002</v>
      </c>
      <c r="J5" s="392">
        <v>0.78</v>
      </c>
      <c r="K5" s="623">
        <f>$I$46*H5/I5</f>
        <v>0</v>
      </c>
      <c r="L5" s="624">
        <f>K5*$I$16</f>
        <v>0</v>
      </c>
      <c r="M5" s="19"/>
      <c r="N5" s="163" t="s">
        <v>545</v>
      </c>
      <c r="O5" s="38" t="s">
        <v>811</v>
      </c>
      <c r="P5" s="5" t="s">
        <v>546</v>
      </c>
      <c r="Q5" s="5"/>
      <c r="R5" s="5"/>
      <c r="S5" s="19"/>
      <c r="U5" s="683"/>
      <c r="V5" s="683"/>
      <c r="W5" s="683"/>
      <c r="X5" s="683"/>
    </row>
    <row r="6" spans="3:24" x14ac:dyDescent="0.2">
      <c r="C6" s="14"/>
      <c r="D6" s="14"/>
      <c r="E6" s="14"/>
      <c r="F6" s="14"/>
      <c r="G6" s="15" t="s">
        <v>10</v>
      </c>
      <c r="H6" s="732">
        <v>1</v>
      </c>
      <c r="I6" s="392">
        <v>0.52</v>
      </c>
      <c r="J6" s="392">
        <v>0.78</v>
      </c>
      <c r="K6" s="623">
        <f>$I$46*H6/I6</f>
        <v>1010.6401661544572</v>
      </c>
      <c r="L6" s="624">
        <f>K6*$I$16</f>
        <v>339372.96779466677</v>
      </c>
      <c r="M6" s="19"/>
      <c r="N6" s="15" t="s">
        <v>11</v>
      </c>
      <c r="O6" s="5"/>
      <c r="P6" s="5"/>
      <c r="Q6" s="5"/>
      <c r="R6" s="5"/>
      <c r="S6" s="19"/>
      <c r="U6" s="683">
        <v>3.8</v>
      </c>
      <c r="V6" s="683">
        <v>120</v>
      </c>
      <c r="W6" s="683">
        <f>U6*V6/1000</f>
        <v>0.45600000000000002</v>
      </c>
      <c r="X6" s="683"/>
    </row>
    <row r="7" spans="3:24" x14ac:dyDescent="0.2">
      <c r="C7" s="14"/>
      <c r="D7" s="14"/>
      <c r="E7" s="14"/>
      <c r="F7" s="14"/>
      <c r="G7" s="15" t="s">
        <v>12</v>
      </c>
      <c r="H7" s="732">
        <v>0</v>
      </c>
      <c r="I7" s="392">
        <v>0.6</v>
      </c>
      <c r="J7" s="392">
        <v>0.78</v>
      </c>
      <c r="K7" s="623">
        <f>$I$46*H7/I7</f>
        <v>0</v>
      </c>
      <c r="L7" s="624">
        <f>K7*$I$16</f>
        <v>0</v>
      </c>
      <c r="M7" s="19"/>
      <c r="N7" s="5"/>
      <c r="O7" s="5"/>
      <c r="P7" s="5"/>
      <c r="Q7" s="5"/>
      <c r="R7" s="5"/>
      <c r="S7" s="19"/>
      <c r="U7" s="683">
        <v>3.4</v>
      </c>
      <c r="V7" s="683">
        <v>177</v>
      </c>
      <c r="W7" s="683">
        <f>U7*V7/1000</f>
        <v>0.6018</v>
      </c>
      <c r="X7" s="683"/>
    </row>
    <row r="8" spans="3:24" x14ac:dyDescent="0.2">
      <c r="C8" s="14"/>
      <c r="D8" s="14"/>
      <c r="E8" s="14"/>
      <c r="F8" s="14"/>
      <c r="G8" s="15" t="s">
        <v>13</v>
      </c>
      <c r="H8" s="732">
        <v>0</v>
      </c>
      <c r="I8" s="392">
        <v>1.034</v>
      </c>
      <c r="J8" s="392">
        <v>0.98499999999999999</v>
      </c>
      <c r="K8" s="623">
        <f>$I$46*H8/I8</f>
        <v>0</v>
      </c>
      <c r="L8" s="624">
        <f>K8*$I$16</f>
        <v>0</v>
      </c>
      <c r="M8" s="19"/>
      <c r="N8" s="5"/>
      <c r="O8" s="5"/>
      <c r="P8" s="5"/>
      <c r="Q8" s="5"/>
      <c r="R8" s="5"/>
      <c r="S8" s="19"/>
      <c r="U8" s="683">
        <v>2.9</v>
      </c>
      <c r="V8" s="683">
        <v>257</v>
      </c>
      <c r="W8" s="683">
        <f>U8*V8/1000</f>
        <v>0.74529999999999996</v>
      </c>
      <c r="X8" s="683"/>
    </row>
    <row r="9" spans="3:24" x14ac:dyDescent="0.2">
      <c r="C9" s="14"/>
      <c r="D9" s="14"/>
      <c r="E9" s="14"/>
      <c r="F9" s="14"/>
      <c r="G9" s="15" t="s">
        <v>14</v>
      </c>
      <c r="H9" s="732">
        <v>0</v>
      </c>
      <c r="I9" s="392">
        <v>0.1</v>
      </c>
      <c r="J9" s="392">
        <v>0</v>
      </c>
      <c r="K9" s="623">
        <f>$I$46*H9/I9</f>
        <v>0</v>
      </c>
      <c r="L9" s="624">
        <f>K9*$I$16</f>
        <v>0</v>
      </c>
      <c r="M9" s="19"/>
      <c r="N9" s="15" t="s">
        <v>15</v>
      </c>
      <c r="O9" s="5"/>
      <c r="P9" s="5"/>
      <c r="Q9" s="5"/>
      <c r="R9" s="5"/>
      <c r="S9" s="19"/>
      <c r="U9" s="683"/>
      <c r="V9" s="683"/>
      <c r="W9" s="683"/>
      <c r="X9" s="683"/>
    </row>
    <row r="10" spans="3:24" x14ac:dyDescent="0.2">
      <c r="C10" s="14"/>
      <c r="D10" s="14"/>
      <c r="E10" s="14"/>
      <c r="F10" s="14"/>
      <c r="G10" s="20" t="s">
        <v>16</v>
      </c>
      <c r="H10" s="21">
        <f>SUM(H5:H9)</f>
        <v>1</v>
      </c>
      <c r="I10" s="22">
        <f>SUMPRODUCT(H5:H9,I5:I9)</f>
        <v>0.52</v>
      </c>
      <c r="J10" s="23"/>
      <c r="K10" s="24">
        <f>SUM(K5:K9)</f>
        <v>1010.6401661544572</v>
      </c>
      <c r="L10" s="25">
        <f>SUM(L5:L9)</f>
        <v>339372.96779466677</v>
      </c>
      <c r="M10" s="19"/>
      <c r="N10" s="5"/>
      <c r="O10" s="5"/>
      <c r="P10" s="5"/>
      <c r="Q10" s="5"/>
      <c r="R10" s="5"/>
      <c r="S10" s="19"/>
      <c r="U10" s="683"/>
      <c r="V10" s="683"/>
      <c r="W10" s="683"/>
      <c r="X10" s="683"/>
    </row>
    <row r="11" spans="3:24" x14ac:dyDescent="0.2">
      <c r="C11" s="14"/>
      <c r="D11" s="14"/>
      <c r="E11" s="14"/>
      <c r="F11" s="14"/>
      <c r="G11" s="15" t="s">
        <v>17</v>
      </c>
      <c r="H11" s="26"/>
      <c r="I11" s="5"/>
      <c r="J11" s="5"/>
      <c r="K11" s="27"/>
      <c r="L11" s="5"/>
      <c r="M11" s="19"/>
      <c r="N11" s="5"/>
      <c r="O11" s="5"/>
      <c r="P11" s="5"/>
      <c r="Q11" s="5"/>
      <c r="R11" s="5"/>
      <c r="S11" s="19"/>
      <c r="U11" s="683"/>
      <c r="V11" s="683"/>
      <c r="W11" s="683"/>
      <c r="X11" s="683"/>
    </row>
    <row r="12" spans="3:24" x14ac:dyDescent="0.2">
      <c r="C12" s="14"/>
      <c r="D12" s="14"/>
      <c r="E12" s="14"/>
      <c r="F12" s="28"/>
      <c r="G12" s="29"/>
      <c r="H12" s="30"/>
      <c r="I12" s="29"/>
      <c r="J12" s="29"/>
      <c r="K12" s="31"/>
      <c r="L12" s="29"/>
      <c r="M12" s="32"/>
      <c r="N12" s="29"/>
      <c r="O12" s="29"/>
      <c r="P12" s="29"/>
      <c r="Q12" s="29"/>
      <c r="R12" s="29"/>
      <c r="S12" s="32"/>
      <c r="U12" s="683"/>
      <c r="V12" s="683"/>
      <c r="W12" s="683"/>
      <c r="X12" s="683"/>
    </row>
    <row r="13" spans="3:24" x14ac:dyDescent="0.2">
      <c r="C13" s="14"/>
      <c r="D13" s="14"/>
      <c r="E13" s="14"/>
      <c r="F13" s="8" t="s">
        <v>18</v>
      </c>
      <c r="G13" s="33" t="s">
        <v>19</v>
      </c>
      <c r="H13" s="34" t="s">
        <v>20</v>
      </c>
      <c r="I13" s="34" t="s">
        <v>21</v>
      </c>
      <c r="J13" s="34"/>
      <c r="K13" s="35" t="s">
        <v>22</v>
      </c>
      <c r="L13" s="34" t="s">
        <v>23</v>
      </c>
      <c r="M13" s="12"/>
      <c r="N13" s="33" t="s">
        <v>7</v>
      </c>
      <c r="O13" s="13"/>
      <c r="P13" s="13"/>
      <c r="Q13" s="13"/>
      <c r="R13" s="13"/>
      <c r="S13" s="12"/>
    </row>
    <row r="14" spans="3:24" x14ac:dyDescent="0.2">
      <c r="C14" s="14"/>
      <c r="D14" s="14"/>
      <c r="E14" s="14"/>
      <c r="F14" s="36"/>
      <c r="G14" s="15" t="s">
        <v>24</v>
      </c>
      <c r="H14" s="37" t="s">
        <v>25</v>
      </c>
      <c r="I14" s="38">
        <f>Assumptions!$C$5</f>
        <v>100</v>
      </c>
      <c r="J14" s="5"/>
      <c r="K14" s="39">
        <f>Assumptions!$J$30</f>
        <v>0.9</v>
      </c>
      <c r="L14" s="40">
        <f>I14*K14*1000000</f>
        <v>90000000</v>
      </c>
      <c r="M14" s="19"/>
      <c r="N14" s="41">
        <f>K14/0.68</f>
        <v>1.3235294117647058</v>
      </c>
      <c r="O14" s="15" t="s">
        <v>26</v>
      </c>
      <c r="P14" s="5"/>
      <c r="Q14" s="5"/>
      <c r="R14" s="5"/>
      <c r="S14" s="19"/>
    </row>
    <row r="15" spans="3:24" x14ac:dyDescent="0.2">
      <c r="C15" s="14"/>
      <c r="D15" s="14"/>
      <c r="E15" s="14"/>
      <c r="F15" s="14"/>
      <c r="G15" s="15" t="s">
        <v>27</v>
      </c>
      <c r="H15" s="37" t="s">
        <v>28</v>
      </c>
      <c r="I15" s="42">
        <v>0.92</v>
      </c>
      <c r="J15" s="5"/>
      <c r="K15" s="27"/>
      <c r="L15" s="5"/>
      <c r="M15" s="19"/>
      <c r="N15" s="15" t="s">
        <v>29</v>
      </c>
      <c r="O15" s="5"/>
      <c r="P15" s="5"/>
      <c r="Q15" s="5"/>
      <c r="R15" s="5"/>
      <c r="S15" s="19"/>
    </row>
    <row r="16" spans="3:24" x14ac:dyDescent="0.2">
      <c r="C16" s="14"/>
      <c r="D16" s="14"/>
      <c r="E16" s="14"/>
      <c r="F16" s="14"/>
      <c r="G16" s="15" t="s">
        <v>30</v>
      </c>
      <c r="H16" s="37" t="s">
        <v>31</v>
      </c>
      <c r="I16" s="43">
        <f>I15*P16</f>
        <v>335.8</v>
      </c>
      <c r="J16" s="5"/>
      <c r="K16" s="27"/>
      <c r="L16" s="5"/>
      <c r="M16" s="19"/>
      <c r="N16" s="15" t="s">
        <v>32</v>
      </c>
      <c r="O16" s="5"/>
      <c r="P16" s="44">
        <v>365</v>
      </c>
      <c r="Q16" s="5"/>
      <c r="R16" s="5"/>
      <c r="S16" s="19"/>
    </row>
    <row r="17" spans="3:19" x14ac:dyDescent="0.2">
      <c r="C17" s="14"/>
      <c r="D17" s="14"/>
      <c r="E17" s="14"/>
      <c r="F17" s="14"/>
      <c r="G17" s="15" t="s">
        <v>33</v>
      </c>
      <c r="H17" s="37" t="s">
        <v>34</v>
      </c>
      <c r="I17" s="45">
        <f>I16*24</f>
        <v>8059.2000000000007</v>
      </c>
      <c r="J17" s="5"/>
      <c r="K17" s="27"/>
      <c r="L17" s="5"/>
      <c r="M17" s="19"/>
      <c r="N17" s="15"/>
      <c r="O17" s="5"/>
      <c r="P17" s="5"/>
      <c r="Q17" s="5"/>
      <c r="R17" s="5"/>
      <c r="S17" s="19"/>
    </row>
    <row r="18" spans="3:19" x14ac:dyDescent="0.2">
      <c r="C18" s="14"/>
      <c r="D18" s="14"/>
      <c r="E18" s="14"/>
      <c r="F18" s="14"/>
      <c r="G18" s="15"/>
      <c r="H18" s="37"/>
      <c r="I18" s="45"/>
      <c r="J18" s="5"/>
      <c r="K18" s="27"/>
      <c r="L18" s="5"/>
      <c r="M18" s="19"/>
      <c r="N18" s="15"/>
      <c r="O18" s="5"/>
      <c r="P18" s="5"/>
      <c r="Q18" s="5"/>
      <c r="R18" s="5"/>
      <c r="S18" s="19"/>
    </row>
    <row r="19" spans="3:19" x14ac:dyDescent="0.2">
      <c r="C19" s="14"/>
      <c r="D19" s="14"/>
      <c r="E19" s="14"/>
      <c r="F19" s="14"/>
      <c r="G19" s="23" t="s">
        <v>35</v>
      </c>
      <c r="H19" s="26"/>
      <c r="I19" s="5"/>
      <c r="J19" s="5"/>
      <c r="K19" s="27"/>
      <c r="L19" s="5"/>
      <c r="M19" s="19"/>
      <c r="N19" s="5"/>
      <c r="O19" s="5"/>
      <c r="P19" s="5"/>
      <c r="Q19" s="5"/>
      <c r="R19" s="5"/>
      <c r="S19" s="19"/>
    </row>
    <row r="20" spans="3:19" x14ac:dyDescent="0.2">
      <c r="C20" s="14"/>
      <c r="D20" s="14"/>
      <c r="E20" s="14"/>
      <c r="F20" s="14"/>
      <c r="G20" s="15" t="s">
        <v>36</v>
      </c>
      <c r="H20" s="37" t="s">
        <v>37</v>
      </c>
      <c r="I20" s="46">
        <f>I14/I16*1000000</f>
        <v>297796.30732578918</v>
      </c>
      <c r="J20" s="5"/>
      <c r="K20" s="27"/>
      <c r="L20" s="5"/>
      <c r="M20" s="19"/>
      <c r="N20" s="5"/>
      <c r="O20" s="5"/>
      <c r="P20" s="5"/>
      <c r="Q20" s="5"/>
      <c r="R20" s="5"/>
      <c r="S20" s="19"/>
    </row>
    <row r="21" spans="3:19" x14ac:dyDescent="0.2">
      <c r="C21" s="14"/>
      <c r="D21" s="14"/>
      <c r="E21" s="14"/>
      <c r="F21" s="14"/>
      <c r="G21" s="15" t="s">
        <v>38</v>
      </c>
      <c r="H21" s="37" t="s">
        <v>39</v>
      </c>
      <c r="I21" s="18">
        <f>I14*1000000/I17</f>
        <v>12408.179471907881</v>
      </c>
      <c r="J21" s="5"/>
      <c r="K21" s="27"/>
      <c r="L21" s="5"/>
      <c r="M21" s="19"/>
      <c r="N21" s="5"/>
      <c r="O21" s="5"/>
      <c r="P21" s="5"/>
      <c r="Q21" s="5"/>
      <c r="R21" s="5"/>
      <c r="S21" s="19"/>
    </row>
    <row r="22" spans="3:19" x14ac:dyDescent="0.2">
      <c r="C22" s="14"/>
      <c r="D22" s="14"/>
      <c r="E22" s="14"/>
      <c r="F22" s="14"/>
      <c r="G22" s="23"/>
      <c r="H22" s="37"/>
      <c r="I22" s="18"/>
      <c r="J22" s="5"/>
      <c r="K22" s="27"/>
      <c r="L22" s="5"/>
      <c r="M22" s="19"/>
      <c r="N22" s="5"/>
      <c r="O22" s="5"/>
      <c r="P22" s="5"/>
      <c r="Q22" s="5"/>
      <c r="R22" s="5"/>
      <c r="S22" s="19"/>
    </row>
    <row r="23" spans="3:19" x14ac:dyDescent="0.2">
      <c r="C23" s="14"/>
      <c r="D23" s="14"/>
      <c r="E23" s="14"/>
      <c r="F23" s="14"/>
      <c r="G23" s="23" t="s">
        <v>40</v>
      </c>
      <c r="H23" s="26"/>
      <c r="I23" s="5"/>
      <c r="J23" s="5"/>
      <c r="K23" s="27"/>
      <c r="L23" s="5"/>
      <c r="M23" s="19"/>
      <c r="O23" s="5"/>
      <c r="P23" s="5"/>
      <c r="Q23" s="5"/>
      <c r="R23" s="5"/>
      <c r="S23" s="19"/>
    </row>
    <row r="24" spans="3:19" x14ac:dyDescent="0.2">
      <c r="C24" s="14"/>
      <c r="D24" s="14"/>
      <c r="E24" s="14"/>
      <c r="F24" s="14"/>
      <c r="G24" s="15" t="s">
        <v>41</v>
      </c>
      <c r="H24" s="37" t="s">
        <v>28</v>
      </c>
      <c r="I24" s="47">
        <v>0.89</v>
      </c>
      <c r="J24" s="5"/>
      <c r="K24" s="27"/>
      <c r="L24" s="5"/>
      <c r="M24" s="19"/>
      <c r="N24" s="15" t="s">
        <v>42</v>
      </c>
      <c r="O24" s="5"/>
      <c r="P24" s="5"/>
      <c r="Q24" s="5"/>
      <c r="R24" s="5"/>
      <c r="S24" s="19"/>
    </row>
    <row r="25" spans="3:19" x14ac:dyDescent="0.2">
      <c r="C25" s="14"/>
      <c r="D25" s="14"/>
      <c r="E25" s="14"/>
      <c r="F25" s="14"/>
      <c r="G25" s="15" t="s">
        <v>43</v>
      </c>
      <c r="H25" s="37" t="s">
        <v>28</v>
      </c>
      <c r="I25" s="47">
        <v>0.98499999999999999</v>
      </c>
      <c r="J25" s="5"/>
      <c r="K25" s="27"/>
      <c r="L25" s="5"/>
      <c r="M25" s="19"/>
      <c r="N25" s="5"/>
      <c r="O25" s="5"/>
      <c r="P25" s="5"/>
      <c r="Q25" s="5"/>
      <c r="R25" s="5"/>
      <c r="S25" s="19"/>
    </row>
    <row r="26" spans="3:19" x14ac:dyDescent="0.2">
      <c r="C26" s="14"/>
      <c r="D26" s="14"/>
      <c r="E26" s="14"/>
      <c r="F26" s="14"/>
      <c r="G26" s="48" t="s">
        <v>44</v>
      </c>
      <c r="H26" s="48" t="s">
        <v>28</v>
      </c>
      <c r="I26" s="22">
        <f>I25*I24</f>
        <v>0.87665000000000004</v>
      </c>
      <c r="J26" s="5"/>
      <c r="K26" s="27"/>
      <c r="L26" s="5"/>
      <c r="M26" s="19"/>
      <c r="N26" s="5"/>
      <c r="O26" s="5"/>
      <c r="P26" s="5"/>
      <c r="Q26" s="5"/>
      <c r="R26" s="5"/>
      <c r="S26" s="19"/>
    </row>
    <row r="27" spans="3:19" x14ac:dyDescent="0.2">
      <c r="C27" s="14"/>
      <c r="D27" s="14"/>
      <c r="E27" s="14"/>
      <c r="F27" s="14"/>
      <c r="G27" s="15"/>
      <c r="H27" s="37"/>
      <c r="I27" s="49"/>
      <c r="J27" s="5"/>
      <c r="K27" s="27"/>
      <c r="L27" s="5"/>
      <c r="M27" s="19"/>
      <c r="N27" s="5"/>
      <c r="O27" s="5"/>
      <c r="P27" s="5"/>
      <c r="Q27" s="5"/>
      <c r="R27" s="5"/>
      <c r="S27" s="19"/>
    </row>
    <row r="28" spans="3:19" x14ac:dyDescent="0.2">
      <c r="C28" s="14"/>
      <c r="D28" s="14"/>
      <c r="E28" s="14"/>
      <c r="F28" s="14"/>
      <c r="G28" s="23" t="s">
        <v>45</v>
      </c>
      <c r="H28" s="37"/>
      <c r="I28" s="49"/>
      <c r="J28" s="5"/>
      <c r="K28" s="27"/>
      <c r="L28" s="5"/>
      <c r="M28" s="19"/>
      <c r="N28" s="5"/>
      <c r="O28" s="5"/>
      <c r="P28" s="5"/>
      <c r="Q28" s="5"/>
      <c r="R28" s="5"/>
      <c r="S28" s="19"/>
    </row>
    <row r="29" spans="3:19" x14ac:dyDescent="0.2">
      <c r="C29" s="14"/>
      <c r="D29" s="14"/>
      <c r="E29" s="14"/>
      <c r="F29" s="14"/>
      <c r="G29" s="15" t="s">
        <v>46</v>
      </c>
      <c r="H29" s="37" t="s">
        <v>47</v>
      </c>
      <c r="I29" s="50">
        <v>0.78900000000000003</v>
      </c>
      <c r="J29" s="5"/>
      <c r="K29" s="27"/>
      <c r="L29" s="5"/>
      <c r="M29" s="19"/>
      <c r="N29" s="5"/>
      <c r="O29" s="5"/>
      <c r="P29" s="5"/>
      <c r="Q29" s="5"/>
      <c r="R29" s="5"/>
      <c r="S29" s="19"/>
    </row>
    <row r="30" spans="3:19" x14ac:dyDescent="0.2">
      <c r="C30" s="14"/>
      <c r="D30" s="14"/>
      <c r="E30" s="14"/>
      <c r="F30" s="14"/>
      <c r="G30" s="15" t="s">
        <v>48</v>
      </c>
      <c r="H30" s="37" t="s">
        <v>28</v>
      </c>
      <c r="I30" s="51">
        <v>0.51</v>
      </c>
      <c r="J30" s="5"/>
      <c r="K30" s="27"/>
      <c r="L30" s="5"/>
      <c r="M30" s="19"/>
      <c r="N30" s="5"/>
      <c r="O30" s="5"/>
      <c r="P30" s="5"/>
      <c r="Q30" s="5"/>
      <c r="R30" s="5"/>
      <c r="S30" s="19"/>
    </row>
    <row r="31" spans="3:19" x14ac:dyDescent="0.2">
      <c r="C31" s="5"/>
      <c r="D31" s="5"/>
      <c r="E31" s="5"/>
      <c r="F31" s="14"/>
      <c r="G31" s="15"/>
      <c r="H31" s="37"/>
      <c r="I31" s="15"/>
      <c r="J31" s="5"/>
      <c r="K31" s="27"/>
      <c r="L31" s="5"/>
      <c r="M31" s="19"/>
      <c r="N31" s="5"/>
      <c r="O31" s="5"/>
      <c r="P31" s="5"/>
      <c r="Q31" s="5"/>
      <c r="R31" s="5"/>
      <c r="S31" s="19"/>
    </row>
    <row r="32" spans="3:19" x14ac:dyDescent="0.2">
      <c r="C32" s="5"/>
      <c r="D32" s="5"/>
      <c r="E32" s="5"/>
      <c r="F32" s="14"/>
      <c r="G32" s="15" t="s">
        <v>49</v>
      </c>
      <c r="H32" s="37" t="s">
        <v>50</v>
      </c>
      <c r="I32" s="52">
        <f>I14*I29*1000/I30*(1-I30)</f>
        <v>75805.882352941175</v>
      </c>
      <c r="J32" s="5"/>
      <c r="K32" s="27"/>
      <c r="L32" s="5"/>
      <c r="M32" s="19"/>
      <c r="N32" s="5"/>
      <c r="O32" s="5"/>
      <c r="P32" s="5"/>
      <c r="Q32" s="5"/>
      <c r="R32" s="5"/>
      <c r="S32" s="19"/>
    </row>
    <row r="33" spans="3:19" x14ac:dyDescent="0.2">
      <c r="C33" s="5"/>
      <c r="D33" s="5"/>
      <c r="E33" s="5"/>
      <c r="F33" s="14"/>
      <c r="G33" s="15"/>
      <c r="H33" s="37"/>
      <c r="I33" s="15"/>
      <c r="J33" s="5"/>
      <c r="K33" s="27"/>
      <c r="L33" s="5"/>
      <c r="M33" s="19"/>
      <c r="N33" s="5"/>
      <c r="O33" s="5"/>
      <c r="P33" s="5"/>
      <c r="Q33" s="5"/>
      <c r="R33" s="5"/>
      <c r="S33" s="19"/>
    </row>
    <row r="34" spans="3:19" x14ac:dyDescent="0.2">
      <c r="C34" s="5"/>
      <c r="D34" s="5"/>
      <c r="E34" s="5"/>
      <c r="F34" s="14"/>
      <c r="G34" s="23" t="s">
        <v>51</v>
      </c>
      <c r="H34" s="37"/>
      <c r="I34" s="53" t="s">
        <v>52</v>
      </c>
      <c r="J34" s="20" t="s">
        <v>53</v>
      </c>
      <c r="K34" s="27"/>
      <c r="L34" s="5"/>
      <c r="M34" s="19"/>
      <c r="N34" s="5"/>
      <c r="O34" s="5"/>
      <c r="P34" s="5"/>
      <c r="Q34" s="5"/>
      <c r="R34" s="5"/>
      <c r="S34" s="19"/>
    </row>
    <row r="35" spans="3:19" x14ac:dyDescent="0.2">
      <c r="C35" s="5"/>
      <c r="D35" s="5"/>
      <c r="E35" s="5"/>
      <c r="F35" s="14"/>
      <c r="G35" s="37" t="s">
        <v>8</v>
      </c>
      <c r="H35" s="37" t="s">
        <v>54</v>
      </c>
      <c r="I35" s="51">
        <v>0.12</v>
      </c>
      <c r="J35" s="18">
        <f>I35*L5</f>
        <v>0</v>
      </c>
      <c r="K35" s="27"/>
      <c r="L35" s="5"/>
      <c r="M35" s="19"/>
      <c r="N35" s="5"/>
      <c r="O35" s="5"/>
      <c r="P35" s="5"/>
      <c r="Q35" s="5"/>
      <c r="R35" s="5"/>
      <c r="S35" s="19"/>
    </row>
    <row r="36" spans="3:19" x14ac:dyDescent="0.2">
      <c r="C36" s="5"/>
      <c r="D36" s="5"/>
      <c r="E36" s="5"/>
      <c r="F36" s="14"/>
      <c r="G36" s="37" t="s">
        <v>10</v>
      </c>
      <c r="H36" s="37" t="s">
        <v>54</v>
      </c>
      <c r="I36" s="51">
        <v>0.1</v>
      </c>
      <c r="J36" s="18">
        <f>I36*L6</f>
        <v>33937.296779466677</v>
      </c>
      <c r="K36" s="27"/>
      <c r="L36" s="5"/>
      <c r="M36" s="19"/>
      <c r="N36" s="5"/>
      <c r="O36" s="5"/>
      <c r="P36" s="5"/>
      <c r="Q36" s="5"/>
      <c r="R36" s="5"/>
      <c r="S36" s="19"/>
    </row>
    <row r="37" spans="3:19" x14ac:dyDescent="0.2">
      <c r="C37" s="5"/>
      <c r="D37" s="5"/>
      <c r="E37" s="5"/>
      <c r="F37" s="14"/>
      <c r="G37" s="37" t="s">
        <v>12</v>
      </c>
      <c r="H37" s="37" t="s">
        <v>54</v>
      </c>
      <c r="I37" s="51">
        <v>0.05</v>
      </c>
      <c r="J37" s="18">
        <f>I37*L7</f>
        <v>0</v>
      </c>
      <c r="K37" s="27"/>
      <c r="L37" s="5"/>
      <c r="M37" s="19"/>
      <c r="N37" s="5"/>
      <c r="O37" s="5"/>
      <c r="P37" s="5"/>
      <c r="Q37" s="5"/>
      <c r="R37" s="5"/>
      <c r="S37" s="19"/>
    </row>
    <row r="38" spans="3:19" x14ac:dyDescent="0.2">
      <c r="C38" s="5"/>
      <c r="D38" s="5"/>
      <c r="E38" s="5"/>
      <c r="F38" s="14"/>
      <c r="G38" s="37" t="s">
        <v>13</v>
      </c>
      <c r="H38" s="37" t="s">
        <v>54</v>
      </c>
      <c r="I38" s="51">
        <v>0.01</v>
      </c>
      <c r="J38" s="18">
        <f>I38*L8</f>
        <v>0</v>
      </c>
      <c r="K38" s="27"/>
      <c r="L38" s="5"/>
      <c r="M38" s="19"/>
      <c r="N38" s="5"/>
      <c r="O38" s="5"/>
      <c r="P38" s="5"/>
      <c r="Q38" s="5"/>
      <c r="R38" s="5"/>
      <c r="S38" s="19"/>
    </row>
    <row r="39" spans="3:19" x14ac:dyDescent="0.2">
      <c r="C39" s="5"/>
      <c r="D39" s="5"/>
      <c r="E39" s="5"/>
      <c r="F39" s="14"/>
      <c r="G39" s="37" t="s">
        <v>14</v>
      </c>
      <c r="H39" s="37"/>
      <c r="I39" s="54"/>
      <c r="J39" s="55">
        <f>SUM(J35:J38)</f>
        <v>33937.296779466677</v>
      </c>
      <c r="K39" s="27"/>
      <c r="L39" s="5"/>
      <c r="M39" s="19"/>
      <c r="N39" s="5"/>
      <c r="O39" s="5"/>
      <c r="P39" s="5"/>
      <c r="Q39" s="5"/>
      <c r="R39" s="5"/>
      <c r="S39" s="19"/>
    </row>
    <row r="40" spans="3:19" x14ac:dyDescent="0.2">
      <c r="C40" s="5"/>
      <c r="D40" s="5"/>
      <c r="E40" s="5"/>
      <c r="F40" s="14"/>
      <c r="G40" s="56" t="s">
        <v>55</v>
      </c>
      <c r="H40" s="37" t="s">
        <v>56</v>
      </c>
      <c r="I40" s="57">
        <f>SUM(I77:I79)/1000</f>
        <v>0.23250000000000001</v>
      </c>
      <c r="J40" s="58">
        <f>J39*I40</f>
        <v>7890.4215012260029</v>
      </c>
      <c r="K40" s="27"/>
      <c r="L40" s="5"/>
      <c r="M40" s="19"/>
      <c r="N40" s="5"/>
      <c r="O40" s="5"/>
      <c r="P40" s="5"/>
      <c r="Q40" s="5"/>
      <c r="R40" s="5"/>
      <c r="S40" s="19"/>
    </row>
    <row r="41" spans="3:19" x14ac:dyDescent="0.2">
      <c r="C41" s="5"/>
      <c r="D41" s="5"/>
      <c r="E41" s="5"/>
      <c r="F41" s="14"/>
      <c r="G41" s="56" t="s">
        <v>57</v>
      </c>
      <c r="H41" s="37" t="s">
        <v>58</v>
      </c>
      <c r="I41" s="54"/>
      <c r="J41" s="55">
        <f>SUM(J39:J40)</f>
        <v>41827.718280692679</v>
      </c>
      <c r="K41" s="27"/>
      <c r="L41" s="5"/>
      <c r="M41" s="19"/>
      <c r="N41" s="5"/>
      <c r="O41" s="5"/>
      <c r="P41" s="5"/>
      <c r="Q41" s="5"/>
      <c r="R41" s="5"/>
      <c r="S41" s="19"/>
    </row>
    <row r="42" spans="3:19" x14ac:dyDescent="0.2">
      <c r="C42" s="5"/>
      <c r="D42" s="5"/>
      <c r="E42" s="5"/>
      <c r="F42" s="14"/>
      <c r="G42" s="56" t="s">
        <v>59</v>
      </c>
      <c r="H42" s="37" t="s">
        <v>60</v>
      </c>
      <c r="I42" s="51">
        <v>0.35</v>
      </c>
      <c r="J42" s="52">
        <f>J41/I42</f>
        <v>119507.7665162648</v>
      </c>
      <c r="K42" s="59"/>
      <c r="L42" s="5"/>
      <c r="M42" s="19"/>
      <c r="N42" s="5"/>
      <c r="O42" s="5"/>
      <c r="P42" s="5"/>
      <c r="Q42" s="5"/>
      <c r="R42" s="5"/>
      <c r="S42" s="19"/>
    </row>
    <row r="43" spans="3:19" x14ac:dyDescent="0.2">
      <c r="C43" s="5"/>
      <c r="D43" s="5"/>
      <c r="E43" s="5"/>
      <c r="F43" s="14"/>
      <c r="G43" s="56" t="s">
        <v>61</v>
      </c>
      <c r="H43" s="37" t="s">
        <v>62</v>
      </c>
      <c r="I43" s="60">
        <v>1.1499999999999999</v>
      </c>
      <c r="J43" s="40"/>
      <c r="K43" s="48" t="s">
        <v>63</v>
      </c>
      <c r="L43" s="48" t="s">
        <v>23</v>
      </c>
      <c r="M43" s="19"/>
      <c r="N43" s="5"/>
      <c r="O43" s="5"/>
      <c r="P43" s="5"/>
      <c r="Q43" s="5"/>
      <c r="R43" s="5"/>
      <c r="S43" s="19"/>
    </row>
    <row r="44" spans="3:19" x14ac:dyDescent="0.2">
      <c r="C44" s="5"/>
      <c r="D44" s="5"/>
      <c r="E44" s="5"/>
      <c r="F44" s="14"/>
      <c r="G44" s="61" t="s">
        <v>64</v>
      </c>
      <c r="H44" s="48" t="s">
        <v>65</v>
      </c>
      <c r="I44" s="23"/>
      <c r="J44" s="40">
        <f>J42/I43</f>
        <v>103919.79697066506</v>
      </c>
      <c r="K44" s="39">
        <v>170</v>
      </c>
      <c r="L44" s="40">
        <f>J44*K44</f>
        <v>17666365.48501306</v>
      </c>
      <c r="M44" s="19"/>
      <c r="N44" s="15" t="s">
        <v>66</v>
      </c>
      <c r="O44" s="5"/>
      <c r="P44" s="5"/>
      <c r="Q44" s="5"/>
      <c r="R44" s="5"/>
      <c r="S44" s="19"/>
    </row>
    <row r="45" spans="3:19" x14ac:dyDescent="0.2">
      <c r="C45" s="5"/>
      <c r="D45" s="5"/>
      <c r="E45" s="5"/>
      <c r="F45" s="14"/>
      <c r="G45" s="37"/>
      <c r="H45" s="48"/>
      <c r="I45" s="23"/>
      <c r="J45" s="40"/>
      <c r="K45" s="27"/>
      <c r="L45" s="5"/>
      <c r="M45" s="19"/>
      <c r="N45" s="5"/>
      <c r="O45" s="5"/>
      <c r="P45" s="5"/>
      <c r="Q45" s="5"/>
      <c r="R45" s="5"/>
      <c r="S45" s="19"/>
    </row>
    <row r="46" spans="3:19" x14ac:dyDescent="0.2">
      <c r="F46" s="14"/>
      <c r="G46" s="23" t="s">
        <v>67</v>
      </c>
      <c r="H46" s="48" t="s">
        <v>68</v>
      </c>
      <c r="I46" s="62">
        <f>I20*I29/1000/I26/I30</f>
        <v>525.53288640031781</v>
      </c>
      <c r="J46" s="5"/>
      <c r="K46" s="27"/>
      <c r="L46" s="5"/>
      <c r="M46" s="19"/>
      <c r="N46" s="5"/>
      <c r="O46" s="5"/>
      <c r="P46" s="5"/>
      <c r="Q46" s="5"/>
      <c r="R46" s="5"/>
      <c r="S46" s="19"/>
    </row>
    <row r="47" spans="3:19" x14ac:dyDescent="0.2">
      <c r="F47" s="28"/>
      <c r="G47" s="29"/>
      <c r="H47" s="30"/>
      <c r="I47" s="29"/>
      <c r="J47" s="29"/>
      <c r="K47" s="31"/>
      <c r="L47" s="29"/>
      <c r="M47" s="32"/>
      <c r="N47" s="29"/>
      <c r="O47" s="29"/>
      <c r="P47" s="29"/>
      <c r="Q47" s="29"/>
      <c r="R47" s="29"/>
      <c r="S47" s="32"/>
    </row>
    <row r="48" spans="3:19" ht="25.5" x14ac:dyDescent="0.2">
      <c r="F48" s="8" t="s">
        <v>69</v>
      </c>
      <c r="G48" s="33" t="s">
        <v>70</v>
      </c>
      <c r="H48" s="34" t="s">
        <v>20</v>
      </c>
      <c r="I48" s="10" t="s">
        <v>71</v>
      </c>
      <c r="J48" s="10" t="s">
        <v>72</v>
      </c>
      <c r="K48" s="11" t="s">
        <v>73</v>
      </c>
      <c r="L48" s="34" t="s">
        <v>74</v>
      </c>
      <c r="M48" s="63" t="s">
        <v>75</v>
      </c>
      <c r="N48" s="34" t="s">
        <v>76</v>
      </c>
      <c r="O48" s="13"/>
      <c r="P48" s="13"/>
      <c r="Q48" s="13"/>
      <c r="R48" s="13"/>
      <c r="S48" s="12"/>
    </row>
    <row r="49" spans="1:19" x14ac:dyDescent="0.2">
      <c r="F49" s="14"/>
      <c r="G49" s="15" t="s">
        <v>8</v>
      </c>
      <c r="H49" s="37" t="s">
        <v>77</v>
      </c>
      <c r="I49" s="64">
        <f>L5/$I$14/1000</f>
        <v>0</v>
      </c>
      <c r="J49" s="18">
        <f>I49*$I$14*1000</f>
        <v>0</v>
      </c>
      <c r="K49" s="39">
        <v>120</v>
      </c>
      <c r="L49" s="46">
        <f>J49*K49</f>
        <v>0</v>
      </c>
      <c r="M49" s="65">
        <v>1</v>
      </c>
      <c r="N49" s="15" t="s">
        <v>78</v>
      </c>
      <c r="O49" s="5"/>
      <c r="P49" s="66">
        <v>20</v>
      </c>
      <c r="Q49" s="15" t="s">
        <v>79</v>
      </c>
      <c r="R49" s="5"/>
      <c r="S49" s="19"/>
    </row>
    <row r="50" spans="1:19" x14ac:dyDescent="0.2">
      <c r="F50" s="14"/>
      <c r="G50" s="15" t="s">
        <v>10</v>
      </c>
      <c r="H50" s="37" t="s">
        <v>77</v>
      </c>
      <c r="I50" s="64">
        <f>L6/$I$14/1000</f>
        <v>3.3937296779466677</v>
      </c>
      <c r="J50" s="18">
        <f>I50*$I$14*1000</f>
        <v>339372.96779466677</v>
      </c>
      <c r="K50" s="17">
        <f>((1-$M$50)*$P$53+$M$50*K49)*$I$6</f>
        <v>206.44114823529412</v>
      </c>
      <c r="L50" s="46">
        <f>J50*K50</f>
        <v>70060545.151550502</v>
      </c>
      <c r="M50" s="65">
        <f>1/(680*I6/(280*I5))</f>
        <v>0.36742081447963804</v>
      </c>
      <c r="N50" s="15" t="s">
        <v>80</v>
      </c>
      <c r="O50" s="5"/>
      <c r="P50" s="67">
        <f>Assumptions!$J$25</f>
        <v>0.75</v>
      </c>
      <c r="Q50" s="5"/>
      <c r="R50" s="5"/>
      <c r="S50" s="19"/>
    </row>
    <row r="51" spans="1:19" x14ac:dyDescent="0.2">
      <c r="F51" s="14"/>
      <c r="G51" s="15" t="s">
        <v>12</v>
      </c>
      <c r="H51" s="37" t="s">
        <v>77</v>
      </c>
      <c r="I51" s="64">
        <f>L7/$I$14/1000</f>
        <v>0</v>
      </c>
      <c r="J51" s="18">
        <f>I51*$I$14*1000</f>
        <v>0</v>
      </c>
      <c r="K51" s="17">
        <f>((1-M51)*$P$53+M51*K49)*I7</f>
        <v>298.26734495726492</v>
      </c>
      <c r="L51" s="46">
        <f>J51*K51</f>
        <v>0</v>
      </c>
      <c r="M51" s="65">
        <f>1/(1560*I7/(280*I5))</f>
        <v>0.13880341880341882</v>
      </c>
      <c r="N51" s="15" t="s">
        <v>81</v>
      </c>
      <c r="O51" s="5"/>
      <c r="P51" s="18">
        <f>P49/100*2204.6/P50</f>
        <v>587.89333333333332</v>
      </c>
      <c r="Q51" s="5"/>
      <c r="R51" s="5"/>
      <c r="S51" s="19"/>
    </row>
    <row r="52" spans="1:19" x14ac:dyDescent="0.2">
      <c r="F52" s="14"/>
      <c r="G52" s="15" t="s">
        <v>13</v>
      </c>
      <c r="H52" s="37" t="s">
        <v>77</v>
      </c>
      <c r="I52" s="64">
        <f>L8/$I$14/1000</f>
        <v>0</v>
      </c>
      <c r="J52" s="18">
        <f>I52*$I$14*1000</f>
        <v>0</v>
      </c>
      <c r="K52" s="27"/>
      <c r="L52" s="46">
        <f>J52*K52</f>
        <v>0</v>
      </c>
      <c r="M52" s="19"/>
      <c r="N52" s="15" t="s">
        <v>82</v>
      </c>
      <c r="O52" s="5"/>
      <c r="P52" s="68">
        <v>30</v>
      </c>
      <c r="Q52" s="5"/>
      <c r="R52" s="5"/>
      <c r="S52" s="19"/>
    </row>
    <row r="53" spans="1:19" x14ac:dyDescent="0.2">
      <c r="F53" s="14"/>
      <c r="G53" s="15" t="s">
        <v>14</v>
      </c>
      <c r="H53" s="37" t="s">
        <v>77</v>
      </c>
      <c r="I53" s="64">
        <f>L9/$I$14/1000</f>
        <v>0</v>
      </c>
      <c r="J53" s="18">
        <f>I53*$I$14*1000</f>
        <v>0</v>
      </c>
      <c r="K53" s="27"/>
      <c r="L53" s="46">
        <f>J53*K53</f>
        <v>0</v>
      </c>
      <c r="M53" s="19"/>
      <c r="N53" s="15" t="s">
        <v>83</v>
      </c>
      <c r="O53" s="5"/>
      <c r="P53" s="69">
        <f>P51-P52</f>
        <v>557.89333333333332</v>
      </c>
      <c r="Q53" s="5"/>
      <c r="R53" s="5"/>
      <c r="S53" s="19"/>
    </row>
    <row r="54" spans="1:19" x14ac:dyDescent="0.2">
      <c r="A54" s="259" t="s">
        <v>703</v>
      </c>
      <c r="B54" s="259" t="s">
        <v>285</v>
      </c>
      <c r="F54" s="14"/>
      <c r="G54" s="20" t="s">
        <v>84</v>
      </c>
      <c r="H54" s="37"/>
      <c r="I54" s="64"/>
      <c r="J54" s="18"/>
      <c r="K54" s="18"/>
      <c r="L54" s="25">
        <f>SUM(L49:L53)</f>
        <v>70060545.151550502</v>
      </c>
      <c r="M54" s="19"/>
      <c r="N54" s="15"/>
      <c r="O54" s="5"/>
      <c r="P54" s="62"/>
      <c r="Q54" s="5"/>
      <c r="R54" s="5"/>
      <c r="S54" s="19"/>
    </row>
    <row r="55" spans="1:19" x14ac:dyDescent="0.2">
      <c r="F55" s="28"/>
      <c r="G55" s="29"/>
      <c r="H55" s="70"/>
      <c r="I55" s="70"/>
      <c r="J55" s="70"/>
      <c r="K55" s="71"/>
      <c r="L55" s="70"/>
      <c r="M55" s="32"/>
      <c r="N55" s="72"/>
      <c r="O55" s="29"/>
      <c r="P55" s="29"/>
      <c r="Q55" s="29"/>
      <c r="R55" s="29"/>
      <c r="S55" s="32"/>
    </row>
    <row r="56" spans="1:19" ht="25.5" x14ac:dyDescent="0.2">
      <c r="C56" s="14"/>
      <c r="D56" s="14"/>
      <c r="E56" s="14"/>
      <c r="F56" s="8" t="s">
        <v>85</v>
      </c>
      <c r="G56" s="33" t="s">
        <v>86</v>
      </c>
      <c r="H56" s="34" t="s">
        <v>20</v>
      </c>
      <c r="I56" s="10" t="s">
        <v>71</v>
      </c>
      <c r="J56" s="10" t="s">
        <v>72</v>
      </c>
      <c r="K56" s="11" t="s">
        <v>73</v>
      </c>
      <c r="L56" s="34" t="s">
        <v>74</v>
      </c>
      <c r="M56" s="12"/>
      <c r="N56" s="34" t="s">
        <v>76</v>
      </c>
      <c r="O56" s="13"/>
      <c r="P56" s="13"/>
      <c r="Q56" s="13"/>
      <c r="R56" s="13"/>
      <c r="S56" s="12"/>
    </row>
    <row r="57" spans="1:19" x14ac:dyDescent="0.2">
      <c r="C57" s="14"/>
      <c r="D57" s="14"/>
      <c r="E57" s="14"/>
      <c r="F57" s="36"/>
      <c r="G57" s="23" t="s">
        <v>87</v>
      </c>
      <c r="H57" s="73"/>
      <c r="I57" s="74"/>
      <c r="J57" s="74"/>
      <c r="K57" s="75"/>
      <c r="L57" s="73"/>
      <c r="M57" s="19"/>
      <c r="N57" s="73"/>
      <c r="O57" s="5"/>
      <c r="P57" s="5"/>
      <c r="Q57" s="5"/>
      <c r="R57" s="5"/>
      <c r="S57" s="19"/>
    </row>
    <row r="58" spans="1:19" x14ac:dyDescent="0.2">
      <c r="C58" s="14"/>
      <c r="D58" s="14"/>
      <c r="E58" s="14"/>
      <c r="F58" s="14"/>
      <c r="G58" s="15" t="s">
        <v>88</v>
      </c>
      <c r="H58" s="37" t="s">
        <v>89</v>
      </c>
      <c r="I58" s="44">
        <v>0.8</v>
      </c>
      <c r="J58" s="18">
        <f>I58*$I$14*1000</f>
        <v>80000</v>
      </c>
      <c r="K58" s="632">
        <v>2</v>
      </c>
      <c r="L58" s="46">
        <f t="shared" ref="L58:L66" si="0">J58*K58</f>
        <v>160000</v>
      </c>
      <c r="M58" s="19"/>
      <c r="N58" s="5"/>
      <c r="O58" s="5"/>
      <c r="P58" s="5"/>
      <c r="Q58" s="5"/>
      <c r="R58" s="5"/>
      <c r="S58" s="19"/>
    </row>
    <row r="59" spans="1:19" x14ac:dyDescent="0.2">
      <c r="C59" s="14"/>
      <c r="D59" s="14"/>
      <c r="E59" s="14"/>
      <c r="F59" s="14"/>
      <c r="G59" s="15" t="s">
        <v>90</v>
      </c>
      <c r="H59" s="37" t="s">
        <v>89</v>
      </c>
      <c r="I59" s="44">
        <v>3</v>
      </c>
      <c r="J59" s="18">
        <f>I59*$I$14*1000</f>
        <v>300000</v>
      </c>
      <c r="K59" s="632">
        <v>0.45</v>
      </c>
      <c r="L59" s="46">
        <f t="shared" si="0"/>
        <v>135000</v>
      </c>
      <c r="M59" s="19"/>
      <c r="N59" s="5"/>
      <c r="O59" s="5"/>
      <c r="P59" s="5"/>
      <c r="Q59" s="5"/>
      <c r="R59" s="5"/>
      <c r="S59" s="19"/>
    </row>
    <row r="60" spans="1:19" x14ac:dyDescent="0.2">
      <c r="C60" s="14"/>
      <c r="D60" s="14"/>
      <c r="E60" s="14"/>
      <c r="F60" s="14"/>
      <c r="G60" s="15" t="s">
        <v>91</v>
      </c>
      <c r="H60" s="37" t="s">
        <v>89</v>
      </c>
      <c r="I60" s="44">
        <v>3</v>
      </c>
      <c r="J60" s="18">
        <f>I60*$I$14*1000</f>
        <v>300000</v>
      </c>
      <c r="K60" s="632">
        <v>0.23499999999999999</v>
      </c>
      <c r="L60" s="46">
        <f t="shared" si="0"/>
        <v>70500</v>
      </c>
      <c r="M60" s="19"/>
      <c r="N60" s="5"/>
      <c r="O60" s="5"/>
      <c r="P60" s="5"/>
      <c r="Q60" s="5"/>
      <c r="R60" s="5"/>
      <c r="S60" s="19"/>
    </row>
    <row r="61" spans="1:19" x14ac:dyDescent="0.2">
      <c r="C61" s="14"/>
      <c r="D61" s="14"/>
      <c r="E61" s="14"/>
      <c r="F61" s="14"/>
      <c r="G61" s="5" t="s">
        <v>88</v>
      </c>
      <c r="H61" s="37" t="s">
        <v>89</v>
      </c>
      <c r="I61" s="44">
        <v>0.5</v>
      </c>
      <c r="J61" s="18">
        <f>I61*$I$14*1000</f>
        <v>50000</v>
      </c>
      <c r="K61" s="632">
        <f>K58</f>
        <v>2</v>
      </c>
      <c r="L61" s="46">
        <f t="shared" si="0"/>
        <v>100000</v>
      </c>
      <c r="M61" s="19"/>
      <c r="N61" s="15" t="s">
        <v>92</v>
      </c>
      <c r="O61" s="5"/>
      <c r="P61" s="5"/>
      <c r="Q61" s="5"/>
      <c r="R61" s="5"/>
      <c r="S61" s="19"/>
    </row>
    <row r="62" spans="1:19" x14ac:dyDescent="0.2">
      <c r="C62" s="14"/>
      <c r="D62" s="14"/>
      <c r="E62" s="14"/>
      <c r="F62" s="14"/>
      <c r="G62" s="15" t="s">
        <v>93</v>
      </c>
      <c r="H62" s="37" t="s">
        <v>89</v>
      </c>
      <c r="I62" s="44">
        <v>0.5</v>
      </c>
      <c r="J62" s="18">
        <f>I62*$I$14*1000</f>
        <v>50000</v>
      </c>
      <c r="K62" s="632">
        <v>1</v>
      </c>
      <c r="L62" s="46">
        <f t="shared" si="0"/>
        <v>50000</v>
      </c>
      <c r="M62" s="19"/>
      <c r="N62" s="15" t="s">
        <v>94</v>
      </c>
      <c r="O62" s="5"/>
      <c r="P62" s="5"/>
      <c r="Q62" s="5"/>
      <c r="R62" s="5"/>
      <c r="S62" s="19"/>
    </row>
    <row r="63" spans="1:19" x14ac:dyDescent="0.2">
      <c r="C63" s="14"/>
      <c r="D63" s="14"/>
      <c r="E63" s="14"/>
      <c r="F63" s="14"/>
      <c r="G63" s="15" t="s">
        <v>95</v>
      </c>
      <c r="H63" s="37" t="s">
        <v>96</v>
      </c>
      <c r="I63" s="44">
        <v>300</v>
      </c>
      <c r="J63" s="18">
        <f>I63*$I$16</f>
        <v>100740</v>
      </c>
      <c r="K63" s="632">
        <v>0.65</v>
      </c>
      <c r="L63" s="46">
        <f t="shared" si="0"/>
        <v>65481</v>
      </c>
      <c r="M63" s="19"/>
      <c r="N63" s="15" t="s">
        <v>97</v>
      </c>
      <c r="O63" s="5"/>
      <c r="P63" s="5"/>
      <c r="Q63" s="5"/>
      <c r="R63" s="5"/>
      <c r="S63" s="19"/>
    </row>
    <row r="64" spans="1:19" x14ac:dyDescent="0.2">
      <c r="C64" s="14"/>
      <c r="D64" s="14"/>
      <c r="E64" s="14"/>
      <c r="F64" s="14"/>
      <c r="G64" s="15" t="s">
        <v>98</v>
      </c>
      <c r="H64" s="37" t="s">
        <v>96</v>
      </c>
      <c r="I64" s="44">
        <v>50</v>
      </c>
      <c r="J64" s="18">
        <f>I64*$I$16</f>
        <v>16790</v>
      </c>
      <c r="K64" s="632">
        <v>0.65</v>
      </c>
      <c r="L64" s="46">
        <f t="shared" si="0"/>
        <v>10913.5</v>
      </c>
      <c r="M64" s="19"/>
      <c r="N64" s="15" t="s">
        <v>99</v>
      </c>
      <c r="O64" s="5"/>
      <c r="P64" s="5"/>
      <c r="Q64" s="5"/>
      <c r="R64" s="5"/>
      <c r="S64" s="19"/>
    </row>
    <row r="65" spans="1:19" x14ac:dyDescent="0.2">
      <c r="C65" s="14"/>
      <c r="D65" s="14"/>
      <c r="E65" s="14"/>
      <c r="F65" s="14"/>
      <c r="G65" s="15" t="s">
        <v>100</v>
      </c>
      <c r="H65" s="37" t="s">
        <v>101</v>
      </c>
      <c r="I65" s="44">
        <v>50</v>
      </c>
      <c r="J65" s="18">
        <f>P65*I65</f>
        <v>1500</v>
      </c>
      <c r="K65" s="632">
        <v>100</v>
      </c>
      <c r="L65" s="46">
        <f t="shared" si="0"/>
        <v>150000</v>
      </c>
      <c r="M65" s="19"/>
      <c r="N65" s="15" t="s">
        <v>102</v>
      </c>
      <c r="O65" s="5"/>
      <c r="P65" s="44">
        <v>30</v>
      </c>
      <c r="Q65" s="15" t="s">
        <v>103</v>
      </c>
      <c r="R65" s="5"/>
      <c r="S65" s="19"/>
    </row>
    <row r="66" spans="1:19" x14ac:dyDescent="0.2">
      <c r="C66" s="14"/>
      <c r="D66" s="14"/>
      <c r="E66" s="14"/>
      <c r="F66" s="14"/>
      <c r="G66" s="15" t="s">
        <v>104</v>
      </c>
      <c r="H66" s="681" t="s">
        <v>483</v>
      </c>
      <c r="I66" s="619">
        <v>5</v>
      </c>
      <c r="J66" s="624">
        <f>I66*$I$14*1000</f>
        <v>500000</v>
      </c>
      <c r="K66" s="632">
        <v>1</v>
      </c>
      <c r="L66" s="46">
        <f t="shared" si="0"/>
        <v>500000</v>
      </c>
      <c r="M66" s="19"/>
      <c r="N66" s="5"/>
      <c r="O66" s="5"/>
      <c r="P66" s="5"/>
      <c r="Q66" s="5"/>
      <c r="R66" s="5"/>
      <c r="S66" s="19"/>
    </row>
    <row r="67" spans="1:19" x14ac:dyDescent="0.2">
      <c r="C67" s="14"/>
      <c r="D67" s="14"/>
      <c r="E67" s="14"/>
      <c r="F67" s="14"/>
      <c r="G67" s="15"/>
      <c r="H67" s="37"/>
      <c r="I67" s="15"/>
      <c r="J67" s="15"/>
      <c r="K67" s="15"/>
      <c r="L67" s="46"/>
      <c r="M67" s="19"/>
      <c r="N67" s="5"/>
      <c r="O67" s="5"/>
      <c r="P67" s="5"/>
      <c r="Q67" s="5"/>
      <c r="R67" s="5"/>
      <c r="S67" s="19"/>
    </row>
    <row r="68" spans="1:19" x14ac:dyDescent="0.2">
      <c r="C68" s="14"/>
      <c r="D68" s="14"/>
      <c r="E68" s="14"/>
      <c r="F68" s="14"/>
      <c r="G68" s="23" t="s">
        <v>105</v>
      </c>
      <c r="H68" s="37"/>
      <c r="I68" s="15"/>
      <c r="J68" s="15"/>
      <c r="K68" s="15"/>
      <c r="L68" s="15"/>
      <c r="M68" s="19"/>
      <c r="N68" s="15" t="s">
        <v>106</v>
      </c>
      <c r="O68" s="5"/>
      <c r="P68" s="5"/>
      <c r="Q68" s="5"/>
      <c r="R68" s="5"/>
      <c r="S68" s="19"/>
    </row>
    <row r="69" spans="1:19" x14ac:dyDescent="0.2">
      <c r="C69" s="14"/>
      <c r="D69" s="14"/>
      <c r="E69" s="14"/>
      <c r="F69" s="14"/>
      <c r="G69" s="15" t="s">
        <v>107</v>
      </c>
      <c r="H69" s="37" t="s">
        <v>89</v>
      </c>
      <c r="I69" s="76">
        <v>0.06</v>
      </c>
      <c r="J69" s="18">
        <f t="shared" ref="J69:J74" si="1">I69*$I$14*1000</f>
        <v>6000</v>
      </c>
      <c r="K69" s="77">
        <v>1</v>
      </c>
      <c r="L69" s="46">
        <f t="shared" ref="L69:L74" si="2">J69*K69</f>
        <v>6000</v>
      </c>
      <c r="M69" s="19"/>
      <c r="N69" s="15" t="s">
        <v>106</v>
      </c>
      <c r="O69" s="5"/>
      <c r="P69" s="5"/>
      <c r="Q69" s="5"/>
      <c r="R69" s="5"/>
      <c r="S69" s="19"/>
    </row>
    <row r="70" spans="1:19" x14ac:dyDescent="0.2">
      <c r="C70" s="14"/>
      <c r="D70" s="14"/>
      <c r="E70" s="14"/>
      <c r="F70" s="14"/>
      <c r="G70" s="15" t="s">
        <v>95</v>
      </c>
      <c r="H70" s="37" t="s">
        <v>89</v>
      </c>
      <c r="I70" s="44"/>
      <c r="J70" s="18">
        <f t="shared" si="1"/>
        <v>0</v>
      </c>
      <c r="K70" s="639">
        <f>K63</f>
        <v>0.65</v>
      </c>
      <c r="L70" s="46">
        <f t="shared" si="2"/>
        <v>0</v>
      </c>
      <c r="M70" s="19"/>
      <c r="N70" s="15" t="s">
        <v>106</v>
      </c>
      <c r="O70" s="5"/>
      <c r="P70" s="5"/>
      <c r="Q70" s="5"/>
      <c r="R70" s="5"/>
      <c r="S70" s="19"/>
    </row>
    <row r="71" spans="1:19" x14ac:dyDescent="0.2">
      <c r="C71" s="14"/>
      <c r="D71" s="14"/>
      <c r="E71" s="14"/>
      <c r="F71" s="14"/>
      <c r="G71" s="15" t="s">
        <v>108</v>
      </c>
      <c r="H71" s="37" t="s">
        <v>89</v>
      </c>
      <c r="I71" s="76">
        <v>0.34</v>
      </c>
      <c r="J71" s="18">
        <f t="shared" si="1"/>
        <v>34000</v>
      </c>
      <c r="K71" s="639">
        <f>K59</f>
        <v>0.45</v>
      </c>
      <c r="L71" s="46">
        <f t="shared" si="2"/>
        <v>15300</v>
      </c>
      <c r="M71" s="19"/>
      <c r="N71" s="15" t="s">
        <v>106</v>
      </c>
      <c r="O71" s="5"/>
      <c r="P71" s="5"/>
      <c r="Q71" s="5"/>
      <c r="R71" s="5"/>
      <c r="S71" s="19"/>
    </row>
    <row r="72" spans="1:19" x14ac:dyDescent="0.2">
      <c r="C72" s="14"/>
      <c r="D72" s="14"/>
      <c r="E72" s="14"/>
      <c r="F72" s="14"/>
      <c r="G72" s="15" t="s">
        <v>109</v>
      </c>
      <c r="H72" s="37" t="s">
        <v>110</v>
      </c>
      <c r="I72" s="76"/>
      <c r="J72" s="18">
        <f t="shared" si="1"/>
        <v>0</v>
      </c>
      <c r="K72" s="639">
        <v>1</v>
      </c>
      <c r="L72" s="46">
        <f t="shared" si="2"/>
        <v>0</v>
      </c>
      <c r="M72" s="19"/>
      <c r="N72" s="15" t="s">
        <v>106</v>
      </c>
      <c r="O72" s="5"/>
      <c r="P72" s="5"/>
      <c r="Q72" s="5"/>
      <c r="R72" s="5"/>
      <c r="S72" s="19"/>
    </row>
    <row r="73" spans="1:19" x14ac:dyDescent="0.2">
      <c r="C73" s="14"/>
      <c r="D73" s="14"/>
      <c r="E73" s="14"/>
      <c r="F73" s="14"/>
      <c r="G73" s="15" t="s">
        <v>111</v>
      </c>
      <c r="H73" s="37" t="s">
        <v>110</v>
      </c>
      <c r="I73" s="77"/>
      <c r="J73" s="18">
        <f t="shared" si="1"/>
        <v>0</v>
      </c>
      <c r="K73" s="639">
        <v>2.5</v>
      </c>
      <c r="L73" s="46">
        <f t="shared" si="2"/>
        <v>0</v>
      </c>
      <c r="M73" s="19"/>
      <c r="N73" s="15" t="s">
        <v>106</v>
      </c>
      <c r="O73" s="5"/>
      <c r="P73" s="5"/>
      <c r="Q73" s="5"/>
      <c r="R73" s="5"/>
      <c r="S73" s="19"/>
    </row>
    <row r="74" spans="1:19" x14ac:dyDescent="0.2">
      <c r="C74" s="14"/>
      <c r="D74" s="14"/>
      <c r="E74" s="14"/>
      <c r="F74" s="14"/>
      <c r="G74" s="15" t="s">
        <v>112</v>
      </c>
      <c r="H74" s="37" t="s">
        <v>89</v>
      </c>
      <c r="I74" s="77"/>
      <c r="J74" s="18">
        <f t="shared" si="1"/>
        <v>0</v>
      </c>
      <c r="K74" s="639">
        <f>K61</f>
        <v>2</v>
      </c>
      <c r="L74" s="46">
        <f t="shared" si="2"/>
        <v>0</v>
      </c>
      <c r="M74" s="19"/>
      <c r="N74" s="5"/>
      <c r="O74" s="5"/>
      <c r="P74" s="5"/>
      <c r="Q74" s="5"/>
      <c r="R74" s="5"/>
      <c r="S74" s="19"/>
    </row>
    <row r="75" spans="1:19" x14ac:dyDescent="0.2">
      <c r="C75" s="14"/>
      <c r="D75" s="14"/>
      <c r="E75" s="14"/>
      <c r="F75" s="14"/>
      <c r="G75" s="15"/>
      <c r="H75" s="37"/>
      <c r="I75" s="15"/>
      <c r="J75" s="15"/>
      <c r="K75" s="15"/>
      <c r="L75" s="15"/>
      <c r="M75" s="19"/>
      <c r="N75" s="5"/>
      <c r="O75" s="5"/>
      <c r="P75" s="5"/>
      <c r="Q75" s="5"/>
      <c r="R75" s="23" t="s">
        <v>113</v>
      </c>
      <c r="S75" s="19"/>
    </row>
    <row r="76" spans="1:19" x14ac:dyDescent="0.2">
      <c r="C76" s="14"/>
      <c r="D76" s="14"/>
      <c r="E76" s="14"/>
      <c r="F76" s="14"/>
      <c r="G76" s="23" t="s">
        <v>114</v>
      </c>
      <c r="H76" s="26"/>
      <c r="I76" s="5"/>
      <c r="J76" s="5"/>
      <c r="K76" s="27"/>
      <c r="L76" s="15"/>
      <c r="M76" s="19"/>
      <c r="N76" s="48" t="s">
        <v>115</v>
      </c>
      <c r="O76" s="48" t="s">
        <v>116</v>
      </c>
      <c r="P76" s="48" t="s">
        <v>117</v>
      </c>
      <c r="Q76" s="48" t="s">
        <v>118</v>
      </c>
      <c r="R76" s="48" t="s">
        <v>119</v>
      </c>
      <c r="S76" s="78" t="s">
        <v>120</v>
      </c>
    </row>
    <row r="77" spans="1:19" x14ac:dyDescent="0.2">
      <c r="C77" s="14"/>
      <c r="D77" s="14"/>
      <c r="E77" s="14"/>
      <c r="F77" s="14"/>
      <c r="G77" s="15" t="s">
        <v>115</v>
      </c>
      <c r="H77" s="37" t="s">
        <v>121</v>
      </c>
      <c r="I77" s="77">
        <v>145</v>
      </c>
      <c r="J77" s="18">
        <f>I77*$J$39</f>
        <v>4920908.0330226682</v>
      </c>
      <c r="K77" s="632">
        <f>K60</f>
        <v>0.23499999999999999</v>
      </c>
      <c r="L77" s="46">
        <f>J77*K77</f>
        <v>1156413.387760327</v>
      </c>
      <c r="M77" s="79" t="s">
        <v>122</v>
      </c>
      <c r="N77" s="53">
        <v>0.49</v>
      </c>
      <c r="O77" s="80">
        <v>0.21</v>
      </c>
      <c r="P77" s="80">
        <v>0.18</v>
      </c>
      <c r="Q77" s="81">
        <v>4.7999999999999996E-3</v>
      </c>
      <c r="R77" s="15">
        <v>7.39</v>
      </c>
      <c r="S77" s="82">
        <f>(SUM($I$77*N77,$I$78*O77,$I$79*P77)+1000*Q77)/(SUM($I$77:$I$79)+1000)</f>
        <v>7.5294117647058817E-2</v>
      </c>
    </row>
    <row r="78" spans="1:19" s="85" customFormat="1" x14ac:dyDescent="0.2">
      <c r="A78" s="380"/>
      <c r="B78" s="380"/>
      <c r="C78" s="83"/>
      <c r="D78" s="83"/>
      <c r="E78" s="83"/>
      <c r="F78" s="83"/>
      <c r="G78" s="15" t="s">
        <v>123</v>
      </c>
      <c r="H78" s="37" t="s">
        <v>121</v>
      </c>
      <c r="I78" s="77">
        <v>40</v>
      </c>
      <c r="J78" s="18">
        <f>I78*$J$39</f>
        <v>1357491.8711786671</v>
      </c>
      <c r="K78" s="641">
        <f>K71</f>
        <v>0.45</v>
      </c>
      <c r="L78" s="46">
        <f>J78*K78</f>
        <v>610871.34203040018</v>
      </c>
      <c r="M78" s="79" t="s">
        <v>124</v>
      </c>
      <c r="N78" s="23"/>
      <c r="O78" s="81"/>
      <c r="P78" s="80">
        <v>0.2</v>
      </c>
      <c r="Q78" s="81">
        <v>1E-4</v>
      </c>
      <c r="R78" s="15">
        <v>0.79</v>
      </c>
      <c r="S78" s="82">
        <f>(SUM($I$77*N78,$I$78*O78,$I$79*P78)+1000*Q78)/(SUM($I$77:$I$79)+1000)</f>
        <v>7.7890466531440163E-3</v>
      </c>
    </row>
    <row r="79" spans="1:19" s="85" customFormat="1" x14ac:dyDescent="0.2">
      <c r="A79" s="380"/>
      <c r="B79" s="380"/>
      <c r="C79" s="83"/>
      <c r="D79" s="83"/>
      <c r="E79" s="83"/>
      <c r="F79" s="83"/>
      <c r="G79" s="15" t="s">
        <v>117</v>
      </c>
      <c r="H79" s="37" t="s">
        <v>121</v>
      </c>
      <c r="I79" s="77">
        <v>47.5</v>
      </c>
      <c r="J79" s="18">
        <f>I79*$J$39</f>
        <v>1612021.5970246671</v>
      </c>
      <c r="K79" s="641">
        <f>K59</f>
        <v>0.45</v>
      </c>
      <c r="L79" s="46">
        <f>J79*K79</f>
        <v>725409.71866110025</v>
      </c>
      <c r="M79" s="79" t="s">
        <v>125</v>
      </c>
      <c r="N79" s="23"/>
      <c r="O79" s="80"/>
      <c r="P79" s="77"/>
      <c r="Q79" s="81">
        <v>5.8999999999999999E-3</v>
      </c>
      <c r="R79" s="15">
        <v>0.51</v>
      </c>
      <c r="S79" s="82">
        <f>(SUM($I$77*N79,$I$78*O79,$I$79*P79)+1000*Q79)/(SUM($I$77:$I$79)+1000)</f>
        <v>4.7870182555780931E-3</v>
      </c>
    </row>
    <row r="80" spans="1:19" s="85" customFormat="1" x14ac:dyDescent="0.2">
      <c r="A80" s="571" t="s">
        <v>704</v>
      </c>
      <c r="B80" s="571" t="s">
        <v>86</v>
      </c>
      <c r="C80" s="83"/>
      <c r="D80" s="83"/>
      <c r="E80" s="83"/>
      <c r="F80" s="83"/>
      <c r="G80" s="20" t="s">
        <v>126</v>
      </c>
      <c r="H80" s="37"/>
      <c r="I80" s="64"/>
      <c r="J80" s="25"/>
      <c r="K80" s="18"/>
      <c r="L80" s="25">
        <f>SUM(L58:L79)</f>
        <v>3755888.9484518277</v>
      </c>
      <c r="M80" s="79" t="s">
        <v>127</v>
      </c>
      <c r="N80" s="23"/>
      <c r="O80" s="80">
        <v>0.24</v>
      </c>
      <c r="P80" s="81">
        <v>1.4999999999999999E-2</v>
      </c>
      <c r="Q80" s="81">
        <v>2.8999999999999998E-3</v>
      </c>
      <c r="R80" s="15">
        <v>1.03</v>
      </c>
      <c r="S80" s="82">
        <f>(SUM($I$77*N80,$I$78*O80,$I$79*P80)+1000*Q80)/(SUM($I$77:$I$79)+1000)</f>
        <v>1.0720081135902637E-2</v>
      </c>
    </row>
    <row r="81" spans="1:19" s="85" customFormat="1" x14ac:dyDescent="0.2">
      <c r="A81" s="380"/>
      <c r="B81" s="380"/>
      <c r="C81" s="83"/>
      <c r="D81" s="83"/>
      <c r="E81" s="83"/>
      <c r="F81" s="86"/>
      <c r="G81" s="87"/>
      <c r="H81" s="88"/>
      <c r="I81" s="87"/>
      <c r="J81" s="87"/>
      <c r="K81" s="89"/>
      <c r="L81" s="87"/>
      <c r="M81" s="90"/>
      <c r="N81" s="87"/>
      <c r="O81" s="87"/>
      <c r="P81" s="87"/>
      <c r="Q81" s="87"/>
      <c r="R81" s="87"/>
      <c r="S81" s="90"/>
    </row>
    <row r="82" spans="1:19" ht="25.5" x14ac:dyDescent="0.2">
      <c r="C82" s="14"/>
      <c r="D82" s="14"/>
      <c r="E82" s="14"/>
      <c r="F82" s="36" t="s">
        <v>128</v>
      </c>
      <c r="G82" s="91" t="s">
        <v>129</v>
      </c>
      <c r="H82" s="73" t="s">
        <v>20</v>
      </c>
      <c r="I82" s="74" t="s">
        <v>71</v>
      </c>
      <c r="J82" s="74" t="s">
        <v>72</v>
      </c>
      <c r="K82" s="75" t="s">
        <v>73</v>
      </c>
      <c r="L82" s="74" t="s">
        <v>130</v>
      </c>
      <c r="M82" s="19"/>
      <c r="N82" s="73" t="s">
        <v>76</v>
      </c>
      <c r="O82" s="5"/>
      <c r="P82" s="5"/>
      <c r="Q82" s="5"/>
      <c r="R82" s="5"/>
      <c r="S82" s="19"/>
    </row>
    <row r="83" spans="1:19" x14ac:dyDescent="0.2">
      <c r="C83" s="14"/>
      <c r="D83" s="14"/>
      <c r="E83" s="14"/>
      <c r="F83" s="36"/>
      <c r="G83" s="23" t="s">
        <v>131</v>
      </c>
      <c r="H83" s="73"/>
      <c r="I83" s="74"/>
      <c r="J83" s="74"/>
      <c r="K83" s="75"/>
      <c r="L83" s="73"/>
      <c r="M83" s="19"/>
      <c r="N83" s="73"/>
      <c r="O83" s="5"/>
      <c r="P83" s="5"/>
      <c r="Q83" s="5"/>
      <c r="R83" s="5"/>
      <c r="S83" s="19"/>
    </row>
    <row r="84" spans="1:19" x14ac:dyDescent="0.2">
      <c r="C84" s="14"/>
      <c r="D84" s="14"/>
      <c r="E84" s="14"/>
      <c r="F84" s="14"/>
      <c r="G84" s="15" t="s">
        <v>132</v>
      </c>
      <c r="H84" s="37" t="s">
        <v>133</v>
      </c>
      <c r="I84" s="44">
        <v>1.9</v>
      </c>
      <c r="J84" s="18">
        <f>I84*$I$14*1000</f>
        <v>190000</v>
      </c>
      <c r="K84" s="39">
        <v>5</v>
      </c>
      <c r="L84" s="46">
        <f>J84*K84</f>
        <v>950000</v>
      </c>
      <c r="M84" s="19"/>
      <c r="N84" s="15" t="s">
        <v>134</v>
      </c>
      <c r="O84" s="5"/>
      <c r="P84" s="5"/>
      <c r="Q84" s="5"/>
      <c r="R84" s="5"/>
      <c r="S84" s="19"/>
    </row>
    <row r="85" spans="1:19" x14ac:dyDescent="0.2">
      <c r="C85" s="14"/>
      <c r="D85" s="14"/>
      <c r="E85" s="14"/>
      <c r="F85" s="14"/>
      <c r="G85" s="15" t="s">
        <v>135</v>
      </c>
      <c r="H85" s="37" t="s">
        <v>133</v>
      </c>
      <c r="I85" s="44">
        <v>0.63</v>
      </c>
      <c r="J85" s="18">
        <f>I85*$I$14*1000</f>
        <v>63000</v>
      </c>
      <c r="K85" s="27">
        <f>K84</f>
        <v>5</v>
      </c>
      <c r="L85" s="46">
        <f>J85*K85</f>
        <v>315000</v>
      </c>
      <c r="M85" s="19"/>
      <c r="N85" s="15" t="s">
        <v>136</v>
      </c>
      <c r="O85" s="5"/>
      <c r="P85" s="5"/>
      <c r="Q85" s="5"/>
      <c r="R85" s="5"/>
      <c r="S85" s="19"/>
    </row>
    <row r="86" spans="1:19" x14ac:dyDescent="0.2">
      <c r="A86" s="571" t="s">
        <v>705</v>
      </c>
      <c r="B86" s="571" t="s">
        <v>131</v>
      </c>
      <c r="C86" s="14"/>
      <c r="D86" s="14"/>
      <c r="E86" s="14"/>
      <c r="F86" s="14"/>
      <c r="G86" s="20" t="s">
        <v>137</v>
      </c>
      <c r="H86" s="37"/>
      <c r="I86" s="15"/>
      <c r="J86" s="25">
        <f>SUM(J81:J85)</f>
        <v>253000</v>
      </c>
      <c r="K86" s="27"/>
      <c r="L86" s="25">
        <f>SUM(L81:L85)</f>
        <v>1265000</v>
      </c>
      <c r="M86" s="19"/>
      <c r="N86" s="15" t="s">
        <v>138</v>
      </c>
      <c r="O86" s="5"/>
      <c r="P86" s="5"/>
      <c r="Q86" s="5"/>
      <c r="R86" s="5"/>
      <c r="S86" s="19"/>
    </row>
    <row r="87" spans="1:19" x14ac:dyDescent="0.2">
      <c r="C87" s="14"/>
      <c r="D87" s="14"/>
      <c r="E87" s="14"/>
      <c r="F87" s="14"/>
      <c r="G87" s="61" t="s">
        <v>139</v>
      </c>
      <c r="H87" s="37"/>
      <c r="I87" s="15"/>
      <c r="J87" s="18"/>
      <c r="K87" s="27"/>
      <c r="L87" s="46"/>
      <c r="M87" s="19"/>
      <c r="N87" s="15"/>
      <c r="O87" s="5"/>
      <c r="P87" s="5"/>
      <c r="Q87" s="5"/>
      <c r="R87" s="5"/>
      <c r="S87" s="19"/>
    </row>
    <row r="88" spans="1:19" x14ac:dyDescent="0.2">
      <c r="C88" s="14"/>
      <c r="D88" s="14"/>
      <c r="E88" s="14"/>
      <c r="F88" s="14"/>
      <c r="G88" s="23" t="s">
        <v>140</v>
      </c>
      <c r="H88" s="37"/>
      <c r="I88" s="15"/>
      <c r="J88" s="18"/>
      <c r="K88" s="27"/>
      <c r="L88" s="46"/>
      <c r="M88" s="19"/>
      <c r="N88" s="15"/>
      <c r="O88" s="5"/>
      <c r="P88" s="5"/>
      <c r="Q88" s="5"/>
      <c r="R88" s="5"/>
      <c r="S88" s="19"/>
    </row>
    <row r="89" spans="1:19" x14ac:dyDescent="0.2">
      <c r="C89" s="14"/>
      <c r="D89" s="14"/>
      <c r="E89" s="14"/>
      <c r="F89" s="14"/>
      <c r="G89" s="15" t="s">
        <v>141</v>
      </c>
      <c r="H89" s="37" t="s">
        <v>133</v>
      </c>
      <c r="I89" s="44">
        <v>1.9</v>
      </c>
      <c r="J89" s="18">
        <f>I89*$I$14*1000</f>
        <v>190000</v>
      </c>
      <c r="K89" s="27"/>
      <c r="L89" s="46">
        <f>J89*K89</f>
        <v>0</v>
      </c>
      <c r="M89" s="19"/>
      <c r="N89" s="15" t="s">
        <v>142</v>
      </c>
      <c r="O89" s="5"/>
      <c r="P89" s="5"/>
      <c r="Q89" s="5"/>
      <c r="R89" s="5"/>
      <c r="S89" s="19"/>
    </row>
    <row r="90" spans="1:19" x14ac:dyDescent="0.2">
      <c r="C90" s="14"/>
      <c r="D90" s="14"/>
      <c r="E90" s="14"/>
      <c r="F90" s="14"/>
      <c r="G90" s="15" t="s">
        <v>143</v>
      </c>
      <c r="H90" s="37" t="s">
        <v>133</v>
      </c>
      <c r="I90" s="44">
        <v>0.63</v>
      </c>
      <c r="J90" s="18">
        <f>I90*$I$14*1000</f>
        <v>63000</v>
      </c>
      <c r="K90" s="27"/>
      <c r="L90" s="46">
        <f>J90*K90</f>
        <v>0</v>
      </c>
      <c r="M90" s="19"/>
      <c r="N90" s="15" t="s">
        <v>142</v>
      </c>
      <c r="O90" s="5"/>
      <c r="P90" s="5"/>
      <c r="Q90" s="5"/>
      <c r="R90" s="5"/>
      <c r="S90" s="19"/>
    </row>
    <row r="91" spans="1:19" x14ac:dyDescent="0.2">
      <c r="C91" s="14"/>
      <c r="D91" s="14"/>
      <c r="E91" s="14"/>
      <c r="F91" s="14"/>
      <c r="G91" s="15" t="s">
        <v>144</v>
      </c>
      <c r="H91" s="37" t="s">
        <v>133</v>
      </c>
      <c r="I91" s="44">
        <v>4.0999999999999996</v>
      </c>
      <c r="J91" s="18">
        <f>I91*$I$14*1000</f>
        <v>409999.99999999994</v>
      </c>
      <c r="K91" s="39">
        <v>3</v>
      </c>
      <c r="L91" s="46">
        <f>J91*K91</f>
        <v>1229999.9999999998</v>
      </c>
      <c r="M91" s="19"/>
      <c r="N91" s="15" t="s">
        <v>145</v>
      </c>
      <c r="O91" s="5"/>
      <c r="P91" s="5"/>
      <c r="Q91" s="5"/>
      <c r="R91" s="5"/>
      <c r="S91" s="19"/>
    </row>
    <row r="92" spans="1:19" x14ac:dyDescent="0.2">
      <c r="A92" s="571"/>
      <c r="B92" s="571"/>
      <c r="C92" s="14"/>
      <c r="D92" s="14"/>
      <c r="E92" s="14"/>
      <c r="F92" s="14"/>
      <c r="G92" s="5"/>
      <c r="H92" s="26"/>
      <c r="I92" s="5"/>
      <c r="J92" s="25">
        <f>SUM(J87:J91)</f>
        <v>663000</v>
      </c>
      <c r="K92" s="27"/>
      <c r="L92" s="5"/>
      <c r="M92" s="19"/>
      <c r="N92" s="5"/>
      <c r="O92" s="5"/>
      <c r="P92" s="5"/>
      <c r="Q92" s="5"/>
      <c r="R92" s="5"/>
      <c r="S92" s="19"/>
    </row>
    <row r="93" spans="1:19" x14ac:dyDescent="0.2">
      <c r="C93" s="14"/>
      <c r="D93" s="14"/>
      <c r="E93" s="14"/>
      <c r="F93" s="14"/>
      <c r="G93" s="23" t="s">
        <v>146</v>
      </c>
      <c r="H93" s="26"/>
      <c r="I93" s="5"/>
      <c r="J93" s="5"/>
      <c r="K93" s="27"/>
      <c r="L93" s="5"/>
      <c r="M93" s="19"/>
      <c r="N93" s="5"/>
      <c r="O93" s="5"/>
      <c r="P93" s="59" t="s">
        <v>147</v>
      </c>
      <c r="Q93" s="59" t="s">
        <v>148</v>
      </c>
      <c r="R93" s="5"/>
      <c r="S93" s="19"/>
    </row>
    <row r="94" spans="1:19" x14ac:dyDescent="0.2">
      <c r="C94" s="14"/>
      <c r="D94" s="14"/>
      <c r="E94" s="14"/>
      <c r="F94" s="14"/>
      <c r="G94" s="15" t="s">
        <v>149</v>
      </c>
      <c r="H94" s="37" t="s">
        <v>150</v>
      </c>
      <c r="I94" s="44">
        <v>4</v>
      </c>
      <c r="J94" s="18">
        <f>I94*$I$14*1000</f>
        <v>400000</v>
      </c>
      <c r="K94" s="39">
        <v>1</v>
      </c>
      <c r="L94" s="46">
        <f>K94*J94</f>
        <v>400000</v>
      </c>
      <c r="M94" s="19"/>
      <c r="N94" s="15" t="s">
        <v>151</v>
      </c>
      <c r="O94" s="5"/>
      <c r="P94" s="44">
        <v>26</v>
      </c>
      <c r="Q94" s="5"/>
      <c r="R94" s="79" t="s">
        <v>152</v>
      </c>
      <c r="S94" s="19"/>
    </row>
    <row r="95" spans="1:19" x14ac:dyDescent="0.2">
      <c r="C95" s="14"/>
      <c r="D95" s="14"/>
      <c r="E95" s="14"/>
      <c r="F95" s="14"/>
      <c r="G95" s="15" t="s">
        <v>153</v>
      </c>
      <c r="H95" s="37" t="s">
        <v>150</v>
      </c>
      <c r="I95" s="44">
        <v>90</v>
      </c>
      <c r="J95" s="18">
        <f>I95*$I$14*1000</f>
        <v>9000000</v>
      </c>
      <c r="K95" s="27"/>
      <c r="L95" s="46">
        <f>K95*J95</f>
        <v>0</v>
      </c>
      <c r="M95" s="19"/>
      <c r="N95" s="15" t="s">
        <v>151</v>
      </c>
      <c r="O95" s="5"/>
      <c r="P95" s="44">
        <v>26</v>
      </c>
      <c r="Q95" s="44">
        <v>30</v>
      </c>
      <c r="R95" s="79" t="s">
        <v>152</v>
      </c>
      <c r="S95" s="19"/>
    </row>
    <row r="96" spans="1:19" x14ac:dyDescent="0.2">
      <c r="C96" s="14"/>
      <c r="D96" s="14"/>
      <c r="E96" s="14"/>
      <c r="F96" s="14"/>
      <c r="G96" s="15" t="s">
        <v>154</v>
      </c>
      <c r="H96" s="37" t="s">
        <v>150</v>
      </c>
      <c r="I96" s="44">
        <v>50</v>
      </c>
      <c r="J96" s="18">
        <f>I96*$I$14*1000</f>
        <v>5000000</v>
      </c>
      <c r="K96" s="27"/>
      <c r="L96" s="46">
        <f>K96*J96</f>
        <v>0</v>
      </c>
      <c r="M96" s="19"/>
      <c r="N96" s="15" t="s">
        <v>151</v>
      </c>
      <c r="O96" s="5"/>
      <c r="P96" s="44">
        <v>26</v>
      </c>
      <c r="Q96" s="44">
        <v>30</v>
      </c>
      <c r="R96" s="79" t="s">
        <v>152</v>
      </c>
      <c r="S96" s="19"/>
    </row>
    <row r="97" spans="1:19" x14ac:dyDescent="0.2">
      <c r="C97" s="14"/>
      <c r="D97" s="14"/>
      <c r="E97" s="14"/>
      <c r="F97" s="14"/>
      <c r="G97" s="15" t="s">
        <v>155</v>
      </c>
      <c r="H97" s="37" t="s">
        <v>150</v>
      </c>
      <c r="I97" s="44">
        <v>10</v>
      </c>
      <c r="J97" s="18">
        <f>I97*$I$14*1000</f>
        <v>1000000</v>
      </c>
      <c r="K97" s="27"/>
      <c r="L97" s="46">
        <f>K97*J97</f>
        <v>0</v>
      </c>
      <c r="M97" s="19"/>
      <c r="N97" s="15" t="s">
        <v>151</v>
      </c>
      <c r="O97" s="5"/>
      <c r="P97" s="44">
        <v>26</v>
      </c>
      <c r="Q97" s="44">
        <v>30</v>
      </c>
      <c r="R97" s="79" t="s">
        <v>152</v>
      </c>
      <c r="S97" s="19"/>
    </row>
    <row r="98" spans="1:19" x14ac:dyDescent="0.2">
      <c r="C98" s="14"/>
      <c r="D98" s="14"/>
      <c r="E98" s="14"/>
      <c r="F98" s="14"/>
      <c r="G98" s="48" t="s">
        <v>156</v>
      </c>
      <c r="H98" s="48" t="s">
        <v>65</v>
      </c>
      <c r="I98" s="23"/>
      <c r="J98" s="92">
        <f>SUM(J95:J97)</f>
        <v>15000000</v>
      </c>
      <c r="K98" s="20"/>
      <c r="L98" s="93">
        <f>SUM(L94:L97)</f>
        <v>400000</v>
      </c>
      <c r="M98" s="19"/>
      <c r="N98" s="15"/>
      <c r="O98" s="5"/>
      <c r="P98" s="5"/>
      <c r="Q98" s="5"/>
      <c r="R98" s="5"/>
      <c r="S98" s="19"/>
    </row>
    <row r="99" spans="1:19" x14ac:dyDescent="0.2">
      <c r="C99" s="14"/>
      <c r="D99" s="14"/>
      <c r="E99" s="14"/>
      <c r="F99" s="14"/>
      <c r="G99" s="656" t="s">
        <v>855</v>
      </c>
      <c r="H99" s="37" t="s">
        <v>157</v>
      </c>
      <c r="I99" s="51">
        <v>0.1</v>
      </c>
      <c r="J99" s="18">
        <f>I99*J98</f>
        <v>1500000</v>
      </c>
      <c r="K99" s="27">
        <f>K94</f>
        <v>1</v>
      </c>
      <c r="L99" s="46">
        <f>K99*J99</f>
        <v>1500000</v>
      </c>
      <c r="M99" s="19"/>
      <c r="N99" s="15"/>
      <c r="O99" s="5"/>
      <c r="P99" s="5"/>
      <c r="Q99" s="5"/>
      <c r="R99" s="5"/>
      <c r="S99" s="19"/>
    </row>
    <row r="100" spans="1:19" x14ac:dyDescent="0.2">
      <c r="A100" s="571" t="s">
        <v>706</v>
      </c>
      <c r="B100" s="571" t="s">
        <v>139</v>
      </c>
      <c r="C100" s="14"/>
      <c r="D100" s="14"/>
      <c r="E100" s="14"/>
      <c r="F100" s="14"/>
      <c r="G100" s="20" t="s">
        <v>158</v>
      </c>
      <c r="H100" s="37"/>
      <c r="I100" s="15"/>
      <c r="J100" s="18"/>
      <c r="K100" s="27"/>
      <c r="L100" s="25">
        <f>SUM(L98:L99,L91)</f>
        <v>3130000</v>
      </c>
      <c r="M100" s="19"/>
      <c r="N100" s="15"/>
      <c r="O100" s="5"/>
      <c r="P100" s="5"/>
      <c r="Q100" s="5"/>
      <c r="R100" s="5"/>
      <c r="S100" s="19"/>
    </row>
    <row r="101" spans="1:19" x14ac:dyDescent="0.2">
      <c r="C101" s="14"/>
      <c r="D101" s="14"/>
      <c r="E101" s="14"/>
      <c r="F101" s="14"/>
      <c r="G101" s="5"/>
      <c r="H101" s="26"/>
      <c r="I101" s="5"/>
      <c r="J101" s="5"/>
      <c r="K101" s="27"/>
      <c r="M101" s="19"/>
      <c r="N101" s="5"/>
      <c r="O101" s="5"/>
      <c r="P101" s="5"/>
      <c r="Q101" s="5"/>
      <c r="R101" s="5"/>
      <c r="S101" s="19"/>
    </row>
    <row r="102" spans="1:19" x14ac:dyDescent="0.2">
      <c r="C102" s="14"/>
      <c r="D102" s="14"/>
      <c r="E102" s="14"/>
      <c r="F102" s="14"/>
      <c r="G102" s="23" t="s">
        <v>159</v>
      </c>
      <c r="H102" s="26"/>
      <c r="I102" s="5"/>
      <c r="J102" s="15"/>
      <c r="K102" s="27"/>
      <c r="L102" s="5"/>
      <c r="M102" s="19"/>
      <c r="N102" s="5"/>
      <c r="O102" s="5"/>
      <c r="P102" s="5"/>
      <c r="Q102" s="15"/>
      <c r="R102" s="5"/>
      <c r="S102" s="19"/>
    </row>
    <row r="103" spans="1:19" x14ac:dyDescent="0.2">
      <c r="C103" s="14"/>
      <c r="D103" s="14"/>
      <c r="E103" s="14"/>
      <c r="F103" s="14"/>
      <c r="G103" s="15" t="s">
        <v>160</v>
      </c>
      <c r="H103" s="37" t="s">
        <v>161</v>
      </c>
      <c r="I103" s="44">
        <v>45</v>
      </c>
      <c r="J103" s="18">
        <f t="shared" ref="J103:J108" si="3">I103*$I$14*1000</f>
        <v>4500000</v>
      </c>
      <c r="K103" s="94"/>
      <c r="L103" s="46"/>
      <c r="M103" s="19"/>
      <c r="N103" s="5"/>
      <c r="O103" s="5"/>
      <c r="P103" s="5"/>
      <c r="Q103" s="5"/>
      <c r="R103" s="5"/>
      <c r="S103" s="19"/>
    </row>
    <row r="104" spans="1:19" x14ac:dyDescent="0.2">
      <c r="C104" s="14"/>
      <c r="D104" s="14"/>
      <c r="E104" s="14"/>
      <c r="F104" s="14"/>
      <c r="G104" s="15" t="s">
        <v>162</v>
      </c>
      <c r="H104" s="37" t="s">
        <v>161</v>
      </c>
      <c r="I104" s="44">
        <v>24</v>
      </c>
      <c r="J104" s="18">
        <f t="shared" si="3"/>
        <v>2400000</v>
      </c>
      <c r="K104" s="94"/>
      <c r="L104" s="46"/>
      <c r="M104" s="19"/>
      <c r="N104" s="5"/>
      <c r="O104" s="5"/>
      <c r="P104" s="5"/>
      <c r="Q104" s="5"/>
      <c r="R104" s="5"/>
      <c r="S104" s="19"/>
    </row>
    <row r="105" spans="1:19" x14ac:dyDescent="0.2">
      <c r="C105" s="14"/>
      <c r="D105" s="14"/>
      <c r="E105" s="14"/>
      <c r="F105" s="14"/>
      <c r="G105" s="15" t="s">
        <v>163</v>
      </c>
      <c r="H105" s="37" t="s">
        <v>161</v>
      </c>
      <c r="I105" s="44">
        <v>9</v>
      </c>
      <c r="J105" s="18">
        <f t="shared" si="3"/>
        <v>900000</v>
      </c>
      <c r="K105" s="94"/>
      <c r="L105" s="46"/>
      <c r="M105" s="19"/>
      <c r="N105" s="5"/>
      <c r="O105" s="5"/>
      <c r="P105" s="5"/>
      <c r="Q105" s="5"/>
      <c r="R105" s="5"/>
      <c r="S105" s="19"/>
    </row>
    <row r="106" spans="1:19" x14ac:dyDescent="0.2">
      <c r="C106" s="14"/>
      <c r="D106" s="14"/>
      <c r="E106" s="14"/>
      <c r="F106" s="14"/>
      <c r="G106" s="15" t="s">
        <v>164</v>
      </c>
      <c r="H106" s="37" t="s">
        <v>165</v>
      </c>
      <c r="I106" s="44">
        <v>20</v>
      </c>
      <c r="J106" s="18">
        <f t="shared" si="3"/>
        <v>2000000</v>
      </c>
      <c r="K106" s="94"/>
      <c r="L106" s="46"/>
      <c r="M106" s="19"/>
      <c r="N106" s="5"/>
      <c r="O106" s="5"/>
      <c r="P106" s="5"/>
      <c r="Q106" s="5"/>
      <c r="R106" s="5"/>
      <c r="S106" s="19"/>
    </row>
    <row r="107" spans="1:19" x14ac:dyDescent="0.2">
      <c r="C107" s="14"/>
      <c r="D107" s="14"/>
      <c r="E107" s="14"/>
      <c r="F107" s="14"/>
      <c r="G107" s="15" t="s">
        <v>166</v>
      </c>
      <c r="H107" s="37" t="s">
        <v>165</v>
      </c>
      <c r="I107" s="44">
        <v>10</v>
      </c>
      <c r="J107" s="18">
        <f t="shared" si="3"/>
        <v>1000000</v>
      </c>
      <c r="K107" s="94"/>
      <c r="L107" s="46"/>
      <c r="M107" s="19"/>
      <c r="N107" s="5"/>
      <c r="O107" s="5"/>
      <c r="P107" s="5"/>
      <c r="Q107" s="5"/>
      <c r="R107" s="5"/>
      <c r="S107" s="19"/>
    </row>
    <row r="108" spans="1:19" x14ac:dyDescent="0.2">
      <c r="C108" s="14"/>
      <c r="D108" s="14"/>
      <c r="E108" s="14"/>
      <c r="F108" s="14"/>
      <c r="G108" s="15" t="s">
        <v>167</v>
      </c>
      <c r="H108" s="37" t="s">
        <v>168</v>
      </c>
      <c r="I108" s="44">
        <v>60</v>
      </c>
      <c r="J108" s="18">
        <f t="shared" si="3"/>
        <v>6000000</v>
      </c>
      <c r="K108" s="94"/>
      <c r="L108" s="46"/>
      <c r="M108" s="19"/>
      <c r="N108" s="5"/>
      <c r="O108" s="5"/>
      <c r="P108" s="5"/>
      <c r="Q108" s="5"/>
      <c r="R108" s="5"/>
      <c r="S108" s="19"/>
    </row>
    <row r="109" spans="1:19" x14ac:dyDescent="0.2">
      <c r="C109" s="14"/>
      <c r="D109" s="14"/>
      <c r="E109" s="14"/>
      <c r="F109" s="14"/>
      <c r="G109" s="15" t="s">
        <v>169</v>
      </c>
      <c r="H109" s="37" t="s">
        <v>170</v>
      </c>
      <c r="I109" s="44">
        <v>350</v>
      </c>
      <c r="J109" s="18">
        <f>I109*I16*24</f>
        <v>2820720</v>
      </c>
      <c r="K109" s="94"/>
      <c r="L109" s="46"/>
      <c r="M109" s="19"/>
      <c r="N109" s="15" t="s">
        <v>171</v>
      </c>
      <c r="O109" s="5"/>
      <c r="P109" s="5"/>
      <c r="Q109" s="5"/>
      <c r="R109" s="5"/>
      <c r="S109" s="19"/>
    </row>
    <row r="110" spans="1:19" x14ac:dyDescent="0.2">
      <c r="A110" s="571" t="s">
        <v>707</v>
      </c>
      <c r="B110" s="571" t="s">
        <v>594</v>
      </c>
      <c r="C110" s="14"/>
      <c r="D110" s="14"/>
      <c r="E110" s="14"/>
      <c r="F110" s="14"/>
      <c r="G110" s="20" t="s">
        <v>172</v>
      </c>
      <c r="H110" s="37" t="s">
        <v>173</v>
      </c>
      <c r="I110" s="5"/>
      <c r="J110" s="25">
        <f>SUM(J103:J109)</f>
        <v>19620720</v>
      </c>
      <c r="K110" s="95">
        <v>0.04</v>
      </c>
      <c r="L110" s="69">
        <f>K110*J110</f>
        <v>784828.8</v>
      </c>
      <c r="M110" s="19"/>
      <c r="N110" s="15" t="s">
        <v>138</v>
      </c>
      <c r="O110" s="5"/>
      <c r="P110" s="5"/>
      <c r="Q110" s="5"/>
      <c r="R110" s="5"/>
      <c r="S110" s="19"/>
    </row>
    <row r="111" spans="1:19" x14ac:dyDescent="0.2">
      <c r="A111" s="571"/>
      <c r="B111" s="571"/>
      <c r="C111" s="14"/>
      <c r="D111" s="14"/>
      <c r="E111" s="14"/>
      <c r="F111" s="14"/>
      <c r="G111" s="20" t="s">
        <v>174</v>
      </c>
      <c r="H111" s="37" t="s">
        <v>175</v>
      </c>
      <c r="I111" s="5"/>
      <c r="J111" s="46">
        <f>J110/I17</f>
        <v>2434.5741512805239</v>
      </c>
      <c r="K111" s="27"/>
      <c r="L111" s="5"/>
      <c r="M111" s="19"/>
      <c r="N111" s="5"/>
      <c r="O111" s="5"/>
      <c r="P111" s="5"/>
      <c r="Q111" s="5"/>
      <c r="R111" s="5"/>
      <c r="S111" s="19"/>
    </row>
    <row r="112" spans="1:19" x14ac:dyDescent="0.2">
      <c r="C112" s="14"/>
      <c r="D112" s="14"/>
      <c r="E112" s="14"/>
      <c r="F112" s="28"/>
      <c r="G112" s="89"/>
      <c r="H112" s="96"/>
      <c r="I112" s="29"/>
      <c r="J112" s="97"/>
      <c r="K112" s="31"/>
      <c r="L112" s="29"/>
      <c r="M112" s="32"/>
      <c r="N112" s="29"/>
      <c r="O112" s="29"/>
      <c r="P112" s="29"/>
      <c r="Q112" s="29"/>
      <c r="R112" s="29"/>
      <c r="S112" s="32"/>
    </row>
    <row r="113" spans="1:19" ht="25.5" x14ac:dyDescent="0.2">
      <c r="C113" s="14"/>
      <c r="D113" s="14"/>
      <c r="E113" s="14"/>
      <c r="F113" s="8" t="s">
        <v>176</v>
      </c>
      <c r="G113" s="33" t="s">
        <v>177</v>
      </c>
      <c r="H113" s="34" t="s">
        <v>20</v>
      </c>
      <c r="I113" s="10" t="s">
        <v>71</v>
      </c>
      <c r="J113" s="10" t="s">
        <v>72</v>
      </c>
      <c r="K113" s="11" t="s">
        <v>73</v>
      </c>
      <c r="L113" s="10" t="s">
        <v>130</v>
      </c>
      <c r="M113" s="12"/>
      <c r="N113" s="34" t="s">
        <v>76</v>
      </c>
      <c r="O113" s="13"/>
      <c r="P113" s="13"/>
      <c r="Q113" s="13"/>
      <c r="R113" s="13"/>
      <c r="S113" s="12"/>
    </row>
    <row r="114" spans="1:19" x14ac:dyDescent="0.2">
      <c r="C114" s="14"/>
      <c r="D114" s="14"/>
      <c r="E114" s="14"/>
      <c r="F114" s="14"/>
      <c r="G114" s="15" t="s">
        <v>178</v>
      </c>
      <c r="H114" s="37" t="s">
        <v>179</v>
      </c>
      <c r="I114" s="44">
        <v>8.35</v>
      </c>
      <c r="J114" s="18">
        <f>I114*$I$14*1000</f>
        <v>835000</v>
      </c>
      <c r="K114" s="27"/>
      <c r="L114" s="5"/>
      <c r="M114" s="19"/>
      <c r="N114" s="15" t="s">
        <v>180</v>
      </c>
      <c r="O114" s="51">
        <v>0.1</v>
      </c>
      <c r="P114" s="5"/>
      <c r="Q114" s="5"/>
      <c r="R114" s="5"/>
      <c r="S114" s="19"/>
    </row>
    <row r="115" spans="1:19" x14ac:dyDescent="0.2">
      <c r="C115" s="14"/>
      <c r="D115" s="14"/>
      <c r="E115" s="14"/>
      <c r="F115" s="14"/>
      <c r="G115" s="15" t="s">
        <v>181</v>
      </c>
      <c r="H115" s="98" t="s">
        <v>182</v>
      </c>
      <c r="I115" s="99">
        <v>0</v>
      </c>
      <c r="J115" s="100">
        <f>L44</f>
        <v>17666365.48501306</v>
      </c>
      <c r="K115" s="101">
        <f>I115*J115/J44</f>
        <v>0</v>
      </c>
      <c r="L115" s="18">
        <f>I115*J115</f>
        <v>0</v>
      </c>
      <c r="M115" s="19"/>
      <c r="N115" s="15" t="s">
        <v>180</v>
      </c>
      <c r="O115" s="51">
        <v>0.35</v>
      </c>
      <c r="P115" s="15" t="s">
        <v>183</v>
      </c>
      <c r="Q115" s="51">
        <v>0.9</v>
      </c>
      <c r="R115" s="5"/>
      <c r="S115" s="19"/>
    </row>
    <row r="116" spans="1:19" x14ac:dyDescent="0.2">
      <c r="C116" s="14"/>
      <c r="D116" s="14"/>
      <c r="E116" s="14"/>
      <c r="F116" s="14"/>
      <c r="G116" s="15" t="s">
        <v>184</v>
      </c>
      <c r="H116" s="37" t="s">
        <v>185</v>
      </c>
      <c r="I116" s="102">
        <v>1</v>
      </c>
      <c r="J116" s="58">
        <f>O116*O118</f>
        <v>3006000</v>
      </c>
      <c r="K116" s="39">
        <v>2.1</v>
      </c>
      <c r="L116" s="46">
        <f>J116*K116*I116</f>
        <v>6312600</v>
      </c>
      <c r="M116" s="19"/>
      <c r="N116" s="15" t="s">
        <v>186</v>
      </c>
      <c r="O116" s="44">
        <v>40</v>
      </c>
      <c r="P116" s="15" t="s">
        <v>187</v>
      </c>
      <c r="Q116" s="5"/>
      <c r="R116" s="5"/>
      <c r="S116" s="19"/>
    </row>
    <row r="117" spans="1:19" x14ac:dyDescent="0.2">
      <c r="A117" s="571" t="s">
        <v>708</v>
      </c>
      <c r="B117" s="571" t="s">
        <v>713</v>
      </c>
      <c r="C117" s="14"/>
      <c r="D117" s="14"/>
      <c r="E117" s="14"/>
      <c r="F117" s="14"/>
      <c r="G117" s="20" t="s">
        <v>188</v>
      </c>
      <c r="H117" s="37"/>
      <c r="I117" s="5"/>
      <c r="J117" s="25"/>
      <c r="K117" s="15"/>
      <c r="L117" s="25">
        <f>SUM(L115:L116)</f>
        <v>6312600</v>
      </c>
      <c r="M117" s="19"/>
      <c r="N117" s="37" t="s">
        <v>133</v>
      </c>
      <c r="O117" s="64">
        <f>Q115*O114*I114</f>
        <v>0.75150000000000006</v>
      </c>
      <c r="Q117" s="5"/>
      <c r="R117" s="5"/>
      <c r="S117" s="19"/>
    </row>
    <row r="118" spans="1:19" x14ac:dyDescent="0.2">
      <c r="C118" s="14"/>
      <c r="D118" s="14"/>
      <c r="E118" s="14"/>
      <c r="F118" s="14"/>
      <c r="G118" s="15"/>
      <c r="H118" s="37"/>
      <c r="I118" s="15"/>
      <c r="J118" s="15"/>
      <c r="K118" s="15"/>
      <c r="L118" s="46"/>
      <c r="M118" s="19"/>
      <c r="N118" s="15"/>
      <c r="O118" s="18">
        <f>O117*$I$14*1000</f>
        <v>75150</v>
      </c>
      <c r="P118" s="15"/>
      <c r="Q118" s="5"/>
      <c r="R118" s="5"/>
      <c r="S118" s="19"/>
    </row>
    <row r="119" spans="1:19" x14ac:dyDescent="0.2">
      <c r="C119" s="14"/>
      <c r="D119" s="14"/>
      <c r="E119" s="14"/>
      <c r="F119" s="28"/>
      <c r="G119" s="29"/>
      <c r="H119" s="96"/>
      <c r="I119" s="29"/>
      <c r="J119" s="29"/>
      <c r="K119" s="31"/>
      <c r="L119" s="29"/>
      <c r="M119" s="32"/>
      <c r="N119" s="29"/>
      <c r="O119" s="29"/>
      <c r="P119" s="29"/>
      <c r="Q119" s="29"/>
      <c r="R119" s="29"/>
      <c r="S119" s="32"/>
    </row>
    <row r="120" spans="1:19" ht="25.5" x14ac:dyDescent="0.2">
      <c r="C120" s="14"/>
      <c r="D120" s="14"/>
      <c r="E120" s="14"/>
      <c r="F120" s="8" t="s">
        <v>189</v>
      </c>
      <c r="G120" s="33" t="s">
        <v>190</v>
      </c>
      <c r="H120" s="34" t="s">
        <v>20</v>
      </c>
      <c r="I120" s="10" t="s">
        <v>71</v>
      </c>
      <c r="J120" s="10" t="s">
        <v>72</v>
      </c>
      <c r="K120" s="11" t="s">
        <v>73</v>
      </c>
      <c r="L120" s="10" t="s">
        <v>130</v>
      </c>
      <c r="M120" s="12"/>
      <c r="N120" s="34" t="s">
        <v>76</v>
      </c>
      <c r="O120" s="13"/>
      <c r="P120" s="13"/>
      <c r="Q120" s="13"/>
      <c r="R120" s="13"/>
      <c r="S120" s="12"/>
    </row>
    <row r="121" spans="1:19" x14ac:dyDescent="0.2">
      <c r="C121" s="14"/>
      <c r="D121" s="14"/>
      <c r="E121" s="14"/>
      <c r="F121" s="14"/>
      <c r="G121" s="15" t="s">
        <v>191</v>
      </c>
      <c r="H121" s="37" t="s">
        <v>192</v>
      </c>
      <c r="I121" s="44">
        <v>1</v>
      </c>
      <c r="J121" s="5">
        <f t="shared" ref="J121:J129" si="4">I121</f>
        <v>1</v>
      </c>
      <c r="K121" s="103">
        <v>185000</v>
      </c>
      <c r="L121" s="46">
        <f t="shared" ref="L121:L131" si="5">K121*J121</f>
        <v>185000</v>
      </c>
      <c r="M121" s="19"/>
      <c r="N121" s="5"/>
      <c r="O121" s="5"/>
      <c r="P121" s="5"/>
      <c r="Q121" s="5"/>
      <c r="R121" s="5"/>
      <c r="S121" s="19"/>
    </row>
    <row r="122" spans="1:19" x14ac:dyDescent="0.2">
      <c r="C122" s="14"/>
      <c r="D122" s="14"/>
      <c r="E122" s="14"/>
      <c r="F122" s="14"/>
      <c r="G122" s="15" t="s">
        <v>193</v>
      </c>
      <c r="H122" s="37" t="s">
        <v>192</v>
      </c>
      <c r="I122" s="44">
        <v>1</v>
      </c>
      <c r="J122" s="5">
        <f t="shared" si="4"/>
        <v>1</v>
      </c>
      <c r="K122" s="103">
        <v>145000</v>
      </c>
      <c r="L122" s="46">
        <f t="shared" si="5"/>
        <v>145000</v>
      </c>
      <c r="M122" s="19"/>
      <c r="N122" s="5"/>
      <c r="O122" s="5"/>
      <c r="P122" s="5"/>
      <c r="Q122" s="5"/>
      <c r="R122" s="5"/>
      <c r="S122" s="19"/>
    </row>
    <row r="123" spans="1:19" x14ac:dyDescent="0.2">
      <c r="C123" s="14"/>
      <c r="D123" s="14"/>
      <c r="E123" s="14"/>
      <c r="F123" s="14"/>
      <c r="G123" s="15" t="s">
        <v>194</v>
      </c>
      <c r="H123" s="37" t="s">
        <v>192</v>
      </c>
      <c r="I123" s="44">
        <v>1</v>
      </c>
      <c r="J123" s="5">
        <f t="shared" si="4"/>
        <v>1</v>
      </c>
      <c r="K123" s="103">
        <v>155000</v>
      </c>
      <c r="L123" s="46">
        <f t="shared" si="5"/>
        <v>155000</v>
      </c>
      <c r="M123" s="19"/>
      <c r="N123" s="5"/>
      <c r="O123" s="5"/>
      <c r="P123" s="5"/>
      <c r="Q123" s="5"/>
      <c r="R123" s="5"/>
      <c r="S123" s="19"/>
    </row>
    <row r="124" spans="1:19" x14ac:dyDescent="0.2">
      <c r="C124" s="14"/>
      <c r="D124" s="14"/>
      <c r="E124" s="14"/>
      <c r="F124" s="14"/>
      <c r="G124" s="15" t="s">
        <v>195</v>
      </c>
      <c r="H124" s="37" t="s">
        <v>192</v>
      </c>
      <c r="I124" s="44">
        <v>3</v>
      </c>
      <c r="J124" s="5">
        <f t="shared" si="4"/>
        <v>3</v>
      </c>
      <c r="K124" s="103">
        <v>75000</v>
      </c>
      <c r="L124" s="46">
        <f t="shared" si="5"/>
        <v>225000</v>
      </c>
      <c r="M124" s="19"/>
      <c r="N124" s="15" t="s">
        <v>196</v>
      </c>
      <c r="O124" s="5"/>
      <c r="P124" s="5"/>
      <c r="Q124" s="5"/>
      <c r="R124" s="5"/>
      <c r="S124" s="19"/>
    </row>
    <row r="125" spans="1:19" x14ac:dyDescent="0.2">
      <c r="C125" s="14"/>
      <c r="D125" s="14"/>
      <c r="E125" s="14"/>
      <c r="F125" s="14"/>
      <c r="G125" s="15" t="s">
        <v>197</v>
      </c>
      <c r="H125" s="37" t="s">
        <v>192</v>
      </c>
      <c r="I125" s="44">
        <v>1</v>
      </c>
      <c r="J125" s="5">
        <f t="shared" si="4"/>
        <v>1</v>
      </c>
      <c r="K125" s="103">
        <v>145000</v>
      </c>
      <c r="L125" s="46">
        <f t="shared" si="5"/>
        <v>145000</v>
      </c>
      <c r="M125" s="19"/>
      <c r="N125" s="5"/>
      <c r="O125" s="5"/>
      <c r="P125" s="5"/>
      <c r="Q125" s="5"/>
      <c r="R125" s="5"/>
      <c r="S125" s="19"/>
    </row>
    <row r="126" spans="1:19" x14ac:dyDescent="0.2">
      <c r="C126" s="14"/>
      <c r="D126" s="14"/>
      <c r="E126" s="14"/>
      <c r="F126" s="14"/>
      <c r="G126" s="15" t="s">
        <v>198</v>
      </c>
      <c r="H126" s="37" t="s">
        <v>192</v>
      </c>
      <c r="I126" s="44">
        <v>3</v>
      </c>
      <c r="J126" s="5">
        <f t="shared" si="4"/>
        <v>3</v>
      </c>
      <c r="K126" s="103">
        <v>145000</v>
      </c>
      <c r="L126" s="46">
        <f t="shared" si="5"/>
        <v>435000</v>
      </c>
      <c r="M126" s="19"/>
      <c r="N126" s="5"/>
      <c r="O126" s="5"/>
      <c r="P126" s="5"/>
      <c r="Q126" s="5"/>
      <c r="R126" s="5"/>
      <c r="S126" s="19"/>
    </row>
    <row r="127" spans="1:19" x14ac:dyDescent="0.2">
      <c r="C127" s="14"/>
      <c r="D127" s="14"/>
      <c r="E127" s="14"/>
      <c r="F127" s="14"/>
      <c r="G127" s="15" t="s">
        <v>199</v>
      </c>
      <c r="H127" s="37" t="s">
        <v>192</v>
      </c>
      <c r="I127" s="44">
        <v>5</v>
      </c>
      <c r="J127" s="5">
        <f t="shared" si="4"/>
        <v>5</v>
      </c>
      <c r="K127" s="103">
        <v>75000</v>
      </c>
      <c r="L127" s="46">
        <f t="shared" si="5"/>
        <v>375000</v>
      </c>
      <c r="M127" s="19"/>
      <c r="N127" s="5"/>
      <c r="O127" s="5"/>
      <c r="P127" s="5"/>
      <c r="Q127" s="5"/>
      <c r="R127" s="5"/>
      <c r="S127" s="19"/>
    </row>
    <row r="128" spans="1:19" x14ac:dyDescent="0.2">
      <c r="C128" s="14"/>
      <c r="D128" s="14"/>
      <c r="E128" s="14"/>
      <c r="F128" s="14"/>
      <c r="G128" s="15" t="s">
        <v>200</v>
      </c>
      <c r="H128" s="37" t="s">
        <v>192</v>
      </c>
      <c r="I128" s="44">
        <v>1</v>
      </c>
      <c r="J128" s="5">
        <f t="shared" si="4"/>
        <v>1</v>
      </c>
      <c r="K128" s="103">
        <v>55000</v>
      </c>
      <c r="L128" s="46">
        <f t="shared" si="5"/>
        <v>55000</v>
      </c>
      <c r="M128" s="19"/>
      <c r="N128" s="5"/>
      <c r="O128" s="5"/>
      <c r="P128" s="5"/>
      <c r="Q128" s="5"/>
      <c r="R128" s="5"/>
      <c r="S128" s="19"/>
    </row>
    <row r="129" spans="1:19" x14ac:dyDescent="0.2">
      <c r="C129" s="14"/>
      <c r="D129" s="14"/>
      <c r="E129" s="14"/>
      <c r="F129" s="14"/>
      <c r="G129" s="15" t="s">
        <v>201</v>
      </c>
      <c r="H129" s="37" t="s">
        <v>192</v>
      </c>
      <c r="I129" s="44">
        <v>1</v>
      </c>
      <c r="J129" s="5">
        <f t="shared" si="4"/>
        <v>1</v>
      </c>
      <c r="K129" s="103">
        <v>65000</v>
      </c>
      <c r="L129" s="46">
        <f t="shared" si="5"/>
        <v>65000</v>
      </c>
      <c r="M129" s="19"/>
      <c r="N129" s="15"/>
      <c r="O129" s="5"/>
      <c r="P129" s="5"/>
      <c r="Q129" s="5"/>
      <c r="R129" s="5"/>
      <c r="S129" s="19"/>
    </row>
    <row r="130" spans="1:19" x14ac:dyDescent="0.2">
      <c r="C130" s="14"/>
      <c r="D130" s="14"/>
      <c r="E130" s="14"/>
      <c r="F130" s="14"/>
      <c r="G130" s="15" t="s">
        <v>202</v>
      </c>
      <c r="H130" s="37" t="s">
        <v>192</v>
      </c>
      <c r="I130" s="44">
        <v>2</v>
      </c>
      <c r="J130" s="5">
        <f>I130*O130</f>
        <v>6</v>
      </c>
      <c r="K130" s="103">
        <v>50000</v>
      </c>
      <c r="L130" s="46">
        <f t="shared" si="5"/>
        <v>300000</v>
      </c>
      <c r="M130" s="19"/>
      <c r="N130" s="15" t="s">
        <v>206</v>
      </c>
      <c r="O130" s="44">
        <v>3</v>
      </c>
      <c r="P130" s="5"/>
      <c r="Q130" s="224" t="s">
        <v>496</v>
      </c>
      <c r="R130" s="5"/>
      <c r="S130" s="19"/>
    </row>
    <row r="131" spans="1:19" x14ac:dyDescent="0.2">
      <c r="C131" s="14"/>
      <c r="D131" s="14"/>
      <c r="E131" s="14"/>
      <c r="F131" s="14"/>
      <c r="G131" s="15" t="s">
        <v>204</v>
      </c>
      <c r="H131" s="37" t="s">
        <v>205</v>
      </c>
      <c r="I131" s="44">
        <v>3</v>
      </c>
      <c r="J131" s="5">
        <f>I131*O131</f>
        <v>12</v>
      </c>
      <c r="K131" s="103">
        <v>65000</v>
      </c>
      <c r="L131" s="46">
        <f t="shared" si="5"/>
        <v>780000</v>
      </c>
      <c r="M131" s="19"/>
      <c r="N131" s="15" t="s">
        <v>206</v>
      </c>
      <c r="O131" s="44">
        <v>4</v>
      </c>
      <c r="P131" s="5"/>
      <c r="Q131" s="5"/>
      <c r="R131" s="5"/>
      <c r="S131" s="19"/>
    </row>
    <row r="132" spans="1:19" x14ac:dyDescent="0.2">
      <c r="C132" s="14"/>
      <c r="D132" s="14"/>
      <c r="E132" s="14"/>
      <c r="F132" s="14"/>
      <c r="G132" s="48" t="s">
        <v>207</v>
      </c>
      <c r="H132" s="26"/>
      <c r="I132" s="5"/>
      <c r="J132" s="104">
        <f>SUM(J121:J131)</f>
        <v>35</v>
      </c>
      <c r="K132" s="27"/>
      <c r="L132" s="93">
        <f>SUM(L121:L131)</f>
        <v>2865000</v>
      </c>
      <c r="M132" s="19"/>
      <c r="N132" s="5"/>
      <c r="O132" s="5"/>
      <c r="P132" s="5"/>
      <c r="Q132" s="5"/>
      <c r="R132" s="5"/>
      <c r="S132" s="19"/>
    </row>
    <row r="133" spans="1:19" x14ac:dyDescent="0.2">
      <c r="C133" s="14"/>
      <c r="D133" s="14"/>
      <c r="E133" s="14"/>
      <c r="F133" s="14"/>
      <c r="G133" s="48" t="s">
        <v>208</v>
      </c>
      <c r="H133" s="37" t="s">
        <v>209</v>
      </c>
      <c r="I133" s="54">
        <v>0.2</v>
      </c>
      <c r="J133" s="40">
        <f>L132</f>
        <v>2865000</v>
      </c>
      <c r="K133" s="27"/>
      <c r="L133" s="46">
        <f>J133*I133</f>
        <v>573000</v>
      </c>
      <c r="M133" s="19"/>
      <c r="N133" s="5"/>
      <c r="O133" s="5"/>
      <c r="P133" s="5"/>
      <c r="Q133" s="5"/>
      <c r="R133" s="5"/>
      <c r="S133" s="19"/>
    </row>
    <row r="134" spans="1:19" x14ac:dyDescent="0.2">
      <c r="A134" s="571" t="s">
        <v>709</v>
      </c>
      <c r="B134" s="571" t="s">
        <v>190</v>
      </c>
      <c r="C134" s="14"/>
      <c r="D134" s="14"/>
      <c r="E134" s="14"/>
      <c r="F134" s="14"/>
      <c r="G134" s="20" t="s">
        <v>210</v>
      </c>
      <c r="H134" s="26"/>
      <c r="I134" s="5"/>
      <c r="J134" s="23"/>
      <c r="K134" s="27"/>
      <c r="L134" s="25">
        <f>SUM(L132:L133)</f>
        <v>3438000</v>
      </c>
      <c r="M134" s="19"/>
      <c r="N134" s="5"/>
      <c r="O134" s="5"/>
      <c r="P134" s="5"/>
      <c r="Q134" s="5"/>
      <c r="R134" s="5"/>
      <c r="S134" s="19"/>
    </row>
    <row r="135" spans="1:19" x14ac:dyDescent="0.2">
      <c r="C135" s="14"/>
      <c r="D135" s="14"/>
      <c r="E135" s="14"/>
      <c r="F135" s="28"/>
      <c r="G135" s="88"/>
      <c r="H135" s="30"/>
      <c r="I135" s="29"/>
      <c r="J135" s="87"/>
      <c r="K135" s="31"/>
      <c r="L135" s="29"/>
      <c r="M135" s="32"/>
      <c r="N135" s="29"/>
      <c r="O135" s="29"/>
      <c r="P135" s="29"/>
      <c r="Q135" s="29"/>
      <c r="R135" s="29"/>
      <c r="S135" s="32"/>
    </row>
    <row r="136" spans="1:19" ht="25.5" x14ac:dyDescent="0.2">
      <c r="C136" s="14"/>
      <c r="D136" s="14"/>
      <c r="E136" s="14"/>
      <c r="F136" s="8" t="s">
        <v>211</v>
      </c>
      <c r="G136" s="33" t="s">
        <v>212</v>
      </c>
      <c r="H136" s="34" t="s">
        <v>20</v>
      </c>
      <c r="I136" s="10" t="s">
        <v>213</v>
      </c>
      <c r="J136" s="10" t="s">
        <v>72</v>
      </c>
      <c r="K136" s="11" t="s">
        <v>73</v>
      </c>
      <c r="L136" s="10" t="s">
        <v>130</v>
      </c>
      <c r="M136" s="12"/>
      <c r="N136" s="1366" t="s">
        <v>1017</v>
      </c>
      <c r="O136" s="1366" t="s">
        <v>248</v>
      </c>
      <c r="P136" s="13"/>
      <c r="Q136" s="13"/>
      <c r="R136" s="13"/>
      <c r="S136" s="12"/>
    </row>
    <row r="137" spans="1:19" x14ac:dyDescent="0.2">
      <c r="C137" s="14"/>
      <c r="D137" s="14"/>
      <c r="E137" s="14"/>
      <c r="F137" s="14"/>
      <c r="G137" s="56" t="s">
        <v>214</v>
      </c>
      <c r="H137" s="37" t="s">
        <v>363</v>
      </c>
      <c r="I137" s="631">
        <f>Assumptions!$F$21*O137</f>
        <v>2056</v>
      </c>
      <c r="J137" s="52">
        <f>I14*1000*I29</f>
        <v>78900</v>
      </c>
      <c r="K137" s="39">
        <f>2.2/32</f>
        <v>6.8750000000000006E-2</v>
      </c>
      <c r="L137" s="18">
        <f>K137*J137*I137</f>
        <v>11152515</v>
      </c>
      <c r="M137" s="19"/>
      <c r="N137" s="1211" t="s">
        <v>324</v>
      </c>
      <c r="O137" s="1211">
        <f>IF(N137="yes",1,2)</f>
        <v>1</v>
      </c>
      <c r="P137" s="5"/>
      <c r="Q137" s="5"/>
      <c r="R137" s="5"/>
      <c r="S137" s="19"/>
    </row>
    <row r="138" spans="1:19" x14ac:dyDescent="0.2">
      <c r="C138" s="14"/>
      <c r="D138" s="14"/>
      <c r="E138" s="14"/>
      <c r="F138" s="14"/>
      <c r="G138" s="48"/>
      <c r="H138" s="26"/>
      <c r="I138" s="5"/>
      <c r="J138" s="23"/>
      <c r="K138" s="27"/>
      <c r="L138" s="5"/>
      <c r="M138" s="19"/>
      <c r="N138" s="5"/>
      <c r="O138" s="5"/>
      <c r="P138" s="5"/>
      <c r="Q138" s="5"/>
      <c r="R138" s="5"/>
      <c r="S138" s="19"/>
    </row>
    <row r="139" spans="1:19" x14ac:dyDescent="0.2">
      <c r="A139" s="571" t="s">
        <v>710</v>
      </c>
      <c r="B139" s="571" t="s">
        <v>184</v>
      </c>
      <c r="C139" s="14"/>
      <c r="D139" s="14"/>
      <c r="E139" s="14"/>
      <c r="F139" s="14"/>
      <c r="G139" s="20" t="s">
        <v>216</v>
      </c>
      <c r="H139" s="26"/>
      <c r="I139" s="5"/>
      <c r="J139" s="23"/>
      <c r="K139" s="27"/>
      <c r="L139" s="40">
        <f>L137</f>
        <v>11152515</v>
      </c>
      <c r="M139" s="19"/>
      <c r="N139" s="5"/>
      <c r="O139" s="5"/>
      <c r="P139" s="5"/>
      <c r="Q139" s="5"/>
      <c r="R139" s="5"/>
      <c r="S139" s="19"/>
    </row>
    <row r="140" spans="1:19" x14ac:dyDescent="0.2">
      <c r="C140" s="14"/>
      <c r="D140" s="14"/>
      <c r="E140" s="14"/>
      <c r="F140" s="14"/>
      <c r="G140" s="48"/>
      <c r="H140" s="26"/>
      <c r="I140" s="5"/>
      <c r="J140" s="23"/>
      <c r="K140" s="27"/>
      <c r="L140" s="5"/>
      <c r="M140" s="19"/>
      <c r="N140" s="5"/>
      <c r="O140" s="5"/>
      <c r="P140" s="5"/>
      <c r="Q140" s="5"/>
      <c r="R140" s="5"/>
      <c r="S140" s="19"/>
    </row>
    <row r="141" spans="1:19" ht="34.5" customHeight="1" x14ac:dyDescent="0.2">
      <c r="C141" s="14"/>
      <c r="D141" s="14"/>
      <c r="E141" s="14"/>
      <c r="F141" s="8" t="s">
        <v>217</v>
      </c>
      <c r="G141" s="9" t="s">
        <v>218</v>
      </c>
      <c r="H141" s="34" t="s">
        <v>20</v>
      </c>
      <c r="I141" s="10" t="s">
        <v>213</v>
      </c>
      <c r="J141" s="10" t="s">
        <v>72</v>
      </c>
      <c r="K141" s="11" t="s">
        <v>73</v>
      </c>
      <c r="L141" s="10" t="s">
        <v>130</v>
      </c>
      <c r="M141" s="12"/>
      <c r="N141" s="105" t="s">
        <v>76</v>
      </c>
      <c r="O141" s="13"/>
      <c r="P141" s="13"/>
      <c r="Q141" s="13"/>
      <c r="R141" s="13"/>
      <c r="S141" s="12"/>
    </row>
    <row r="142" spans="1:19" x14ac:dyDescent="0.2">
      <c r="C142" s="14"/>
      <c r="D142" s="14"/>
      <c r="E142" s="14"/>
      <c r="F142" s="36"/>
      <c r="G142" s="15" t="s">
        <v>219</v>
      </c>
      <c r="H142" s="37" t="s">
        <v>220</v>
      </c>
      <c r="I142" s="51">
        <v>0.03</v>
      </c>
      <c r="J142" s="15">
        <f>SUM(H206:H209)</f>
        <v>56</v>
      </c>
      <c r="K142" s="27"/>
      <c r="L142" s="18">
        <f>I142*J142*1000000</f>
        <v>1680000</v>
      </c>
      <c r="M142" s="19"/>
      <c r="N142" s="14"/>
      <c r="O142" s="5"/>
      <c r="P142" s="5"/>
      <c r="Q142" s="5"/>
      <c r="R142" s="5"/>
      <c r="S142" s="19"/>
    </row>
    <row r="143" spans="1:19" x14ac:dyDescent="0.2">
      <c r="C143" s="14"/>
      <c r="D143" s="14"/>
      <c r="E143" s="14"/>
      <c r="F143" s="36"/>
      <c r="G143" s="15" t="s">
        <v>164</v>
      </c>
      <c r="H143" s="37" t="s">
        <v>220</v>
      </c>
      <c r="I143" s="51">
        <v>0.03</v>
      </c>
      <c r="J143" s="15">
        <f>SUM(H210)</f>
        <v>17</v>
      </c>
      <c r="K143" s="27"/>
      <c r="L143" s="18">
        <f>I143*J143*1000000</f>
        <v>510000</v>
      </c>
      <c r="M143" s="19"/>
      <c r="N143" s="14"/>
      <c r="O143" s="5"/>
      <c r="P143" s="5"/>
      <c r="Q143" s="5"/>
      <c r="R143" s="5"/>
      <c r="S143" s="19"/>
    </row>
    <row r="144" spans="1:19" x14ac:dyDescent="0.2">
      <c r="C144" s="14"/>
      <c r="D144" s="14"/>
      <c r="E144" s="14"/>
      <c r="F144" s="36"/>
      <c r="G144" s="15" t="s">
        <v>221</v>
      </c>
      <c r="H144" s="37" t="s">
        <v>220</v>
      </c>
      <c r="I144" s="51">
        <v>0.03</v>
      </c>
      <c r="J144" s="15">
        <f>SUM(H211)</f>
        <v>11</v>
      </c>
      <c r="K144" s="27"/>
      <c r="L144" s="18">
        <f>I144*J144*1000000</f>
        <v>329999.99999999994</v>
      </c>
      <c r="M144" s="19"/>
      <c r="N144" s="14"/>
      <c r="O144" s="5"/>
      <c r="P144" s="5"/>
      <c r="Q144" s="5"/>
      <c r="R144" s="5"/>
      <c r="S144" s="19"/>
    </row>
    <row r="145" spans="1:19" x14ac:dyDescent="0.2">
      <c r="C145" s="14"/>
      <c r="D145" s="14"/>
      <c r="E145" s="14"/>
      <c r="F145" s="36"/>
      <c r="G145" s="15" t="s">
        <v>222</v>
      </c>
      <c r="H145" s="37" t="s">
        <v>220</v>
      </c>
      <c r="I145" s="51">
        <v>0.03</v>
      </c>
      <c r="J145" s="15">
        <f>H212</f>
        <v>7.5</v>
      </c>
      <c r="K145" s="27"/>
      <c r="L145" s="18">
        <f>I145*J145*1000000</f>
        <v>224999.99999999997</v>
      </c>
      <c r="M145" s="19"/>
      <c r="N145" s="14"/>
      <c r="O145" s="5"/>
      <c r="P145" s="5"/>
      <c r="Q145" s="5"/>
      <c r="R145" s="5"/>
      <c r="S145" s="19"/>
    </row>
    <row r="146" spans="1:19" x14ac:dyDescent="0.2">
      <c r="A146" s="259" t="s">
        <v>711</v>
      </c>
      <c r="B146" s="259" t="s">
        <v>218</v>
      </c>
      <c r="C146" s="14"/>
      <c r="D146" s="14"/>
      <c r="E146" s="14"/>
      <c r="F146" s="36"/>
      <c r="G146" s="20" t="s">
        <v>445</v>
      </c>
      <c r="H146" s="26"/>
      <c r="I146" s="5"/>
      <c r="J146" s="23"/>
      <c r="K146" s="27"/>
      <c r="L146" s="69">
        <f>SUM(L142:L145)</f>
        <v>2745000</v>
      </c>
      <c r="M146" s="19"/>
      <c r="N146" s="14"/>
      <c r="O146" s="5"/>
      <c r="P146" s="5"/>
      <c r="Q146" s="5"/>
      <c r="R146" s="5"/>
      <c r="S146" s="19"/>
    </row>
    <row r="147" spans="1:19" x14ac:dyDescent="0.2">
      <c r="C147" s="14"/>
      <c r="D147" s="14"/>
      <c r="E147" s="14"/>
      <c r="F147" s="36"/>
      <c r="G147" s="20"/>
      <c r="H147" s="26"/>
      <c r="I147" s="5"/>
      <c r="J147" s="23"/>
      <c r="K147" s="27"/>
      <c r="L147" s="40"/>
      <c r="M147" s="19"/>
      <c r="N147" s="28"/>
      <c r="O147" s="29"/>
      <c r="P147" s="29"/>
      <c r="Q147" s="29"/>
      <c r="R147" s="29"/>
      <c r="S147" s="32"/>
    </row>
    <row r="148" spans="1:19" ht="25.5" x14ac:dyDescent="0.2">
      <c r="C148" s="14"/>
      <c r="D148" s="14"/>
      <c r="E148" s="14"/>
      <c r="F148" s="8">
        <v>10</v>
      </c>
      <c r="G148" s="9" t="s">
        <v>223</v>
      </c>
      <c r="H148" s="34" t="s">
        <v>20</v>
      </c>
      <c r="I148" s="10" t="s">
        <v>213</v>
      </c>
      <c r="J148" s="10" t="s">
        <v>72</v>
      </c>
      <c r="K148" s="11" t="s">
        <v>73</v>
      </c>
      <c r="L148" s="10" t="s">
        <v>130</v>
      </c>
      <c r="M148" s="12"/>
      <c r="N148" s="105" t="s">
        <v>76</v>
      </c>
      <c r="O148" s="13"/>
      <c r="P148" s="13"/>
      <c r="Q148" s="13"/>
      <c r="R148" s="13"/>
      <c r="S148" s="12"/>
    </row>
    <row r="149" spans="1:19" x14ac:dyDescent="0.2">
      <c r="C149" s="14"/>
      <c r="D149" s="14"/>
      <c r="E149" s="14"/>
      <c r="F149" s="14"/>
      <c r="G149" s="15" t="s">
        <v>224</v>
      </c>
      <c r="H149" s="37" t="s">
        <v>225</v>
      </c>
      <c r="I149" s="44">
        <v>20</v>
      </c>
      <c r="J149" s="5">
        <f>I149</f>
        <v>20</v>
      </c>
      <c r="K149" s="106">
        <v>2000</v>
      </c>
      <c r="L149" s="18">
        <f>K149*J149</f>
        <v>40000</v>
      </c>
      <c r="M149" s="19"/>
      <c r="N149" s="14"/>
      <c r="O149" s="5"/>
      <c r="P149" s="5"/>
      <c r="Q149" s="5"/>
      <c r="R149" s="5"/>
      <c r="S149" s="19"/>
    </row>
    <row r="150" spans="1:19" x14ac:dyDescent="0.2">
      <c r="C150" s="14"/>
      <c r="D150" s="14"/>
      <c r="E150" s="14"/>
      <c r="F150" s="14"/>
      <c r="G150" s="15" t="s">
        <v>226</v>
      </c>
      <c r="H150" s="37" t="s">
        <v>227</v>
      </c>
      <c r="I150" s="44"/>
      <c r="J150" s="5"/>
      <c r="K150" s="17"/>
      <c r="L150" s="18">
        <f>K150*J150</f>
        <v>0</v>
      </c>
      <c r="M150" s="19"/>
      <c r="N150" s="107" t="s">
        <v>228</v>
      </c>
      <c r="O150" s="5"/>
      <c r="P150" s="5"/>
      <c r="Q150" s="5"/>
      <c r="R150" s="5"/>
      <c r="S150" s="19"/>
    </row>
    <row r="151" spans="1:19" x14ac:dyDescent="0.2">
      <c r="C151" s="14"/>
      <c r="D151" s="14"/>
      <c r="E151" s="14"/>
      <c r="F151" s="14"/>
      <c r="G151" s="15" t="s">
        <v>229</v>
      </c>
      <c r="H151" s="37" t="s">
        <v>227</v>
      </c>
      <c r="I151" s="38">
        <v>1</v>
      </c>
      <c r="J151" s="18">
        <f>I151</f>
        <v>1</v>
      </c>
      <c r="K151" s="106">
        <v>150000</v>
      </c>
      <c r="L151" s="18">
        <f>K151*J151</f>
        <v>150000</v>
      </c>
      <c r="M151" s="19"/>
      <c r="N151" s="14"/>
      <c r="O151" s="5"/>
      <c r="P151" s="5"/>
      <c r="Q151" s="5"/>
      <c r="R151" s="5"/>
      <c r="S151" s="19"/>
    </row>
    <row r="152" spans="1:19" x14ac:dyDescent="0.2">
      <c r="C152" s="14"/>
      <c r="D152" s="14"/>
      <c r="E152" s="14"/>
      <c r="F152" s="14"/>
      <c r="G152" s="15" t="s">
        <v>230</v>
      </c>
      <c r="H152" s="37" t="s">
        <v>227</v>
      </c>
      <c r="I152" s="38">
        <v>1</v>
      </c>
      <c r="J152" s="18">
        <f>I152</f>
        <v>1</v>
      </c>
      <c r="K152" s="106">
        <v>1000000</v>
      </c>
      <c r="L152" s="18">
        <f>K152*J152</f>
        <v>1000000</v>
      </c>
      <c r="M152" s="19"/>
      <c r="N152" s="14"/>
      <c r="O152" s="5"/>
      <c r="P152" s="5"/>
      <c r="Q152" s="5"/>
      <c r="R152" s="5"/>
      <c r="S152" s="19"/>
    </row>
    <row r="153" spans="1:19" x14ac:dyDescent="0.2">
      <c r="C153" s="14"/>
      <c r="D153" s="14"/>
      <c r="E153" s="14"/>
      <c r="F153" s="14"/>
      <c r="G153" s="15" t="s">
        <v>231</v>
      </c>
      <c r="H153" s="37" t="s">
        <v>220</v>
      </c>
      <c r="I153" s="108">
        <v>3.0000000000000001E-3</v>
      </c>
      <c r="J153" s="109">
        <f>SUM(I220:J220)</f>
        <v>147.860625</v>
      </c>
      <c r="K153" s="17">
        <f>J153*I153*1000000</f>
        <v>443581.875</v>
      </c>
      <c r="L153" s="18">
        <f>K153</f>
        <v>443581.875</v>
      </c>
      <c r="M153" s="19"/>
      <c r="N153" s="14"/>
      <c r="O153" s="5"/>
      <c r="P153" s="5"/>
      <c r="Q153" s="5"/>
      <c r="R153" s="5"/>
      <c r="S153" s="19"/>
    </row>
    <row r="154" spans="1:19" x14ac:dyDescent="0.2">
      <c r="C154" s="14"/>
      <c r="D154" s="14"/>
      <c r="E154" s="14"/>
      <c r="F154" s="14"/>
      <c r="G154" s="15" t="s">
        <v>232</v>
      </c>
      <c r="H154" s="37" t="s">
        <v>233</v>
      </c>
      <c r="I154" s="110">
        <v>75</v>
      </c>
      <c r="J154" s="46">
        <f>I154</f>
        <v>75</v>
      </c>
      <c r="K154" s="106">
        <v>1000</v>
      </c>
      <c r="L154" s="18">
        <f>K154*J154</f>
        <v>75000</v>
      </c>
      <c r="M154" s="19"/>
      <c r="N154" s="14"/>
      <c r="O154" s="5"/>
      <c r="P154" s="5"/>
      <c r="Q154" s="5"/>
      <c r="R154" s="5"/>
      <c r="S154" s="19"/>
    </row>
    <row r="155" spans="1:19" x14ac:dyDescent="0.2">
      <c r="C155" s="14"/>
      <c r="D155" s="14"/>
      <c r="E155" s="14"/>
      <c r="F155" s="14"/>
      <c r="G155" s="15" t="s">
        <v>234</v>
      </c>
      <c r="H155" s="37" t="s">
        <v>235</v>
      </c>
      <c r="I155" s="44">
        <v>200</v>
      </c>
      <c r="J155" s="43">
        <f>I16</f>
        <v>335.8</v>
      </c>
      <c r="K155" s="17">
        <f>J155*I155</f>
        <v>67160</v>
      </c>
      <c r="L155" s="18">
        <f>K155</f>
        <v>67160</v>
      </c>
      <c r="M155" s="19"/>
      <c r="N155" s="14"/>
      <c r="O155" s="5"/>
      <c r="P155" s="5"/>
      <c r="Q155" s="5"/>
      <c r="R155" s="5"/>
      <c r="S155" s="19"/>
    </row>
    <row r="156" spans="1:19" x14ac:dyDescent="0.2">
      <c r="A156" s="259" t="s">
        <v>712</v>
      </c>
      <c r="B156" s="259" t="s">
        <v>717</v>
      </c>
      <c r="C156" s="14"/>
      <c r="D156" s="14"/>
      <c r="E156" s="14"/>
      <c r="F156" s="14"/>
      <c r="G156" s="20" t="s">
        <v>364</v>
      </c>
      <c r="H156" s="26"/>
      <c r="I156" s="5"/>
      <c r="J156" s="23"/>
      <c r="K156" s="27"/>
      <c r="L156" s="69">
        <f>SUM(L152:L155)</f>
        <v>1585741.875</v>
      </c>
      <c r="M156" s="19"/>
      <c r="N156" s="14"/>
      <c r="O156" s="5"/>
      <c r="P156" s="5"/>
      <c r="Q156" s="5"/>
      <c r="R156" s="5"/>
      <c r="S156" s="19"/>
    </row>
    <row r="157" spans="1:19" x14ac:dyDescent="0.2">
      <c r="C157" s="14"/>
      <c r="D157" s="14"/>
      <c r="E157" s="14"/>
      <c r="F157" s="14"/>
      <c r="G157" s="5"/>
      <c r="H157" s="26"/>
      <c r="I157" s="5"/>
      <c r="J157" s="5"/>
      <c r="K157" s="27"/>
      <c r="L157" s="5"/>
      <c r="M157" s="19"/>
      <c r="N157" s="28"/>
      <c r="O157" s="29"/>
      <c r="P157" s="29"/>
      <c r="Q157" s="29"/>
      <c r="R157" s="29"/>
      <c r="S157" s="32"/>
    </row>
    <row r="158" spans="1:19" ht="25.5" x14ac:dyDescent="0.2">
      <c r="C158" s="14"/>
      <c r="D158" s="14"/>
      <c r="E158" s="14"/>
      <c r="F158" s="8">
        <v>11</v>
      </c>
      <c r="G158" s="9" t="s">
        <v>236</v>
      </c>
      <c r="H158" s="34" t="s">
        <v>20</v>
      </c>
      <c r="I158" s="10" t="s">
        <v>213</v>
      </c>
      <c r="J158" s="10" t="s">
        <v>72</v>
      </c>
      <c r="K158" s="11" t="s">
        <v>73</v>
      </c>
      <c r="L158" s="10" t="s">
        <v>130</v>
      </c>
      <c r="M158" s="13"/>
      <c r="N158" s="105" t="s">
        <v>76</v>
      </c>
      <c r="O158" s="13"/>
      <c r="P158" s="13"/>
      <c r="Q158" s="13"/>
      <c r="R158" s="13"/>
      <c r="S158" s="12"/>
    </row>
    <row r="159" spans="1:19" x14ac:dyDescent="0.2">
      <c r="C159" s="14"/>
      <c r="D159" s="14"/>
      <c r="E159" s="14"/>
      <c r="F159" s="14"/>
      <c r="G159" s="15" t="s">
        <v>237</v>
      </c>
      <c r="H159" s="37" t="s">
        <v>238</v>
      </c>
      <c r="I159" s="44"/>
      <c r="J159" s="5"/>
      <c r="K159" s="84"/>
      <c r="L159" s="5"/>
      <c r="M159" s="5"/>
      <c r="N159" s="14"/>
      <c r="O159" s="5"/>
      <c r="P159" s="5"/>
      <c r="Q159" s="5"/>
      <c r="R159" s="5"/>
      <c r="S159" s="19"/>
    </row>
    <row r="160" spans="1:19" ht="14.25" x14ac:dyDescent="0.2">
      <c r="C160" s="14"/>
      <c r="D160" s="14"/>
      <c r="E160" s="14"/>
      <c r="F160" s="14"/>
      <c r="G160" s="15" t="s">
        <v>221</v>
      </c>
      <c r="H160" s="37" t="s">
        <v>239</v>
      </c>
      <c r="I160" s="110">
        <v>4000</v>
      </c>
      <c r="J160" s="5"/>
      <c r="K160" s="39"/>
      <c r="L160" s="5"/>
      <c r="M160" s="5"/>
      <c r="N160" s="107" t="s">
        <v>240</v>
      </c>
      <c r="O160" s="5"/>
      <c r="P160" s="51">
        <v>0.6</v>
      </c>
      <c r="Q160" s="15" t="s">
        <v>241</v>
      </c>
      <c r="R160" s="44">
        <v>37</v>
      </c>
      <c r="S160" s="79" t="s">
        <v>242</v>
      </c>
    </row>
    <row r="161" spans="3:26" x14ac:dyDescent="0.2">
      <c r="C161" s="14"/>
      <c r="D161" s="14"/>
      <c r="E161" s="14"/>
      <c r="F161" s="14"/>
      <c r="G161" s="5"/>
      <c r="H161" s="37" t="s">
        <v>243</v>
      </c>
      <c r="I161" s="110">
        <f>I160*P160*R160</f>
        <v>88800</v>
      </c>
      <c r="J161" s="43">
        <f>I16</f>
        <v>335.8</v>
      </c>
      <c r="K161" s="39">
        <f>7/1000</f>
        <v>7.0000000000000001E-3</v>
      </c>
      <c r="L161" s="111"/>
      <c r="M161" s="5"/>
      <c r="N161" s="14"/>
      <c r="O161" s="5"/>
      <c r="P161" s="5"/>
      <c r="Q161" s="5"/>
      <c r="R161" s="5"/>
      <c r="S161" s="19"/>
    </row>
    <row r="162" spans="3:26" x14ac:dyDescent="0.2">
      <c r="C162" s="14"/>
      <c r="D162" s="14"/>
      <c r="E162" s="14"/>
      <c r="F162" s="14"/>
      <c r="G162" s="15" t="s">
        <v>244</v>
      </c>
      <c r="H162" s="37" t="s">
        <v>245</v>
      </c>
      <c r="I162" s="112">
        <f>J110/1000</f>
        <v>19620.72</v>
      </c>
      <c r="J162" s="112">
        <f>I16*24*J111/1000</f>
        <v>19620.72</v>
      </c>
      <c r="K162" s="44">
        <v>80</v>
      </c>
      <c r="L162" s="18">
        <f>K162*J162</f>
        <v>1569657.6</v>
      </c>
      <c r="M162" s="5"/>
      <c r="N162" s="107" t="s">
        <v>246</v>
      </c>
      <c r="O162" s="5"/>
      <c r="P162" s="5"/>
      <c r="Q162" s="5"/>
      <c r="R162" s="5"/>
      <c r="S162" s="19"/>
    </row>
    <row r="163" spans="3:26" x14ac:dyDescent="0.2">
      <c r="C163" s="14"/>
      <c r="D163" s="14"/>
      <c r="E163" s="14"/>
      <c r="F163" s="14"/>
      <c r="G163" s="15" t="s">
        <v>247</v>
      </c>
      <c r="H163" s="37"/>
      <c r="I163" s="5"/>
      <c r="J163" s="5"/>
      <c r="K163" s="5"/>
      <c r="L163" s="5"/>
      <c r="M163" s="5"/>
      <c r="N163" s="107"/>
      <c r="O163" s="5"/>
      <c r="P163" s="5"/>
      <c r="Q163" s="5"/>
      <c r="R163" s="5"/>
      <c r="S163" s="19"/>
    </row>
    <row r="164" spans="3:26" x14ac:dyDescent="0.2">
      <c r="C164" s="14"/>
      <c r="D164" s="14"/>
      <c r="E164" s="14"/>
      <c r="F164" s="14"/>
      <c r="G164" s="20" t="s">
        <v>365</v>
      </c>
      <c r="H164" s="37"/>
      <c r="I164" s="5"/>
      <c r="J164" s="5"/>
      <c r="K164" s="5"/>
      <c r="L164" s="62">
        <f>SUM(L159:L162)</f>
        <v>1569657.6</v>
      </c>
      <c r="M164" s="5"/>
      <c r="N164" s="113"/>
      <c r="O164" s="29"/>
      <c r="P164" s="29"/>
      <c r="Q164" s="29"/>
      <c r="R164" s="29"/>
      <c r="S164" s="32"/>
    </row>
    <row r="165" spans="3:26" x14ac:dyDescent="0.2">
      <c r="C165" s="14"/>
      <c r="D165" s="14"/>
      <c r="E165" s="14"/>
      <c r="F165" s="14"/>
      <c r="G165" s="20"/>
      <c r="H165" s="37"/>
      <c r="I165" s="5"/>
      <c r="J165" s="5"/>
      <c r="K165" s="5"/>
      <c r="L165" s="5"/>
      <c r="M165" s="5"/>
      <c r="N165" s="173"/>
      <c r="O165" s="29"/>
      <c r="P165" s="29"/>
      <c r="Q165" s="29"/>
      <c r="R165" s="29"/>
      <c r="S165" s="29"/>
    </row>
    <row r="166" spans="3:26" x14ac:dyDescent="0.2">
      <c r="C166" s="14"/>
      <c r="D166" s="14"/>
      <c r="E166" s="14"/>
      <c r="F166" s="14"/>
      <c r="G166" s="15"/>
      <c r="H166" s="37"/>
      <c r="I166" s="114">
        <v>0</v>
      </c>
      <c r="J166" s="115">
        <v>1</v>
      </c>
      <c r="K166" s="115">
        <v>2</v>
      </c>
      <c r="L166" s="115">
        <v>3</v>
      </c>
      <c r="M166" s="115">
        <v>4</v>
      </c>
      <c r="N166" s="115">
        <v>5</v>
      </c>
      <c r="O166" s="115">
        <v>6</v>
      </c>
      <c r="P166" s="115">
        <v>7</v>
      </c>
      <c r="Q166" s="115">
        <v>8</v>
      </c>
      <c r="R166" s="115">
        <v>9</v>
      </c>
      <c r="S166" s="115">
        <v>10</v>
      </c>
      <c r="T166" s="115">
        <v>11</v>
      </c>
      <c r="U166" s="115">
        <v>12</v>
      </c>
      <c r="V166" s="115">
        <v>13</v>
      </c>
      <c r="W166" s="115">
        <v>14</v>
      </c>
      <c r="X166" s="115">
        <v>15</v>
      </c>
      <c r="Y166" s="116">
        <v>16</v>
      </c>
      <c r="Z166" s="5"/>
    </row>
    <row r="167" spans="3:26" x14ac:dyDescent="0.2">
      <c r="C167" s="14"/>
      <c r="D167" s="14"/>
      <c r="E167" s="14"/>
      <c r="F167" s="8">
        <v>12</v>
      </c>
      <c r="G167" s="117" t="s">
        <v>248</v>
      </c>
      <c r="H167" s="118"/>
      <c r="I167" s="10" t="s">
        <v>249</v>
      </c>
      <c r="J167" s="11" t="s">
        <v>250</v>
      </c>
      <c r="K167" s="11" t="s">
        <v>251</v>
      </c>
      <c r="L167" s="11" t="s">
        <v>252</v>
      </c>
      <c r="M167" s="11" t="s">
        <v>253</v>
      </c>
      <c r="N167" s="11" t="s">
        <v>254</v>
      </c>
      <c r="O167" s="11" t="s">
        <v>255</v>
      </c>
      <c r="P167" s="11" t="s">
        <v>256</v>
      </c>
      <c r="Q167" s="11" t="s">
        <v>257</v>
      </c>
      <c r="R167" s="11" t="s">
        <v>258</v>
      </c>
      <c r="S167" s="11" t="s">
        <v>259</v>
      </c>
      <c r="T167" s="11" t="s">
        <v>260</v>
      </c>
      <c r="U167" s="11" t="s">
        <v>261</v>
      </c>
      <c r="V167" s="11" t="s">
        <v>262</v>
      </c>
      <c r="W167" s="11" t="s">
        <v>263</v>
      </c>
      <c r="X167" s="11" t="s">
        <v>264</v>
      </c>
      <c r="Y167" s="119" t="s">
        <v>265</v>
      </c>
    </row>
    <row r="168" spans="3:26" x14ac:dyDescent="0.2">
      <c r="C168" s="14"/>
      <c r="D168" s="14"/>
      <c r="E168" s="14"/>
      <c r="F168" s="14"/>
      <c r="G168" s="15" t="s">
        <v>266</v>
      </c>
      <c r="H168" s="37"/>
      <c r="I168" s="120">
        <v>0</v>
      </c>
      <c r="J168" s="121">
        <f t="shared" ref="J168:Y169" si="6">I168</f>
        <v>0</v>
      </c>
      <c r="K168" s="121">
        <f t="shared" si="6"/>
        <v>0</v>
      </c>
      <c r="L168" s="121">
        <f t="shared" si="6"/>
        <v>0</v>
      </c>
      <c r="M168" s="121">
        <f t="shared" si="6"/>
        <v>0</v>
      </c>
      <c r="N168" s="122">
        <f t="shared" si="6"/>
        <v>0</v>
      </c>
      <c r="O168" s="121">
        <f t="shared" si="6"/>
        <v>0</v>
      </c>
      <c r="P168" s="121">
        <f t="shared" si="6"/>
        <v>0</v>
      </c>
      <c r="Q168" s="121">
        <f t="shared" si="6"/>
        <v>0</v>
      </c>
      <c r="R168" s="121">
        <f t="shared" si="6"/>
        <v>0</v>
      </c>
      <c r="S168" s="121">
        <f t="shared" si="6"/>
        <v>0</v>
      </c>
      <c r="T168" s="121">
        <f t="shared" si="6"/>
        <v>0</v>
      </c>
      <c r="U168" s="121">
        <f t="shared" si="6"/>
        <v>0</v>
      </c>
      <c r="V168" s="121">
        <f t="shared" si="6"/>
        <v>0</v>
      </c>
      <c r="W168" s="121">
        <f t="shared" si="6"/>
        <v>0</v>
      </c>
      <c r="X168" s="121">
        <f t="shared" si="6"/>
        <v>0</v>
      </c>
      <c r="Y168" s="123">
        <f t="shared" si="6"/>
        <v>0</v>
      </c>
      <c r="Z168" s="124"/>
    </row>
    <row r="169" spans="3:26" x14ac:dyDescent="0.2">
      <c r="C169" s="14"/>
      <c r="D169" s="14"/>
      <c r="E169" s="14"/>
      <c r="F169" s="14"/>
      <c r="G169" s="15" t="s">
        <v>267</v>
      </c>
      <c r="H169" s="37"/>
      <c r="I169" s="120">
        <v>0</v>
      </c>
      <c r="J169" s="121">
        <f t="shared" si="6"/>
        <v>0</v>
      </c>
      <c r="K169" s="121">
        <f t="shared" si="6"/>
        <v>0</v>
      </c>
      <c r="L169" s="121">
        <f t="shared" si="6"/>
        <v>0</v>
      </c>
      <c r="M169" s="121">
        <f t="shared" si="6"/>
        <v>0</v>
      </c>
      <c r="N169" s="122">
        <f t="shared" si="6"/>
        <v>0</v>
      </c>
      <c r="O169" s="121">
        <f t="shared" si="6"/>
        <v>0</v>
      </c>
      <c r="P169" s="121">
        <f t="shared" si="6"/>
        <v>0</v>
      </c>
      <c r="Q169" s="121">
        <f t="shared" si="6"/>
        <v>0</v>
      </c>
      <c r="R169" s="121">
        <f t="shared" si="6"/>
        <v>0</v>
      </c>
      <c r="S169" s="121">
        <f t="shared" si="6"/>
        <v>0</v>
      </c>
      <c r="T169" s="121">
        <f t="shared" si="6"/>
        <v>0</v>
      </c>
      <c r="U169" s="121">
        <f t="shared" si="6"/>
        <v>0</v>
      </c>
      <c r="V169" s="121">
        <f t="shared" si="6"/>
        <v>0</v>
      </c>
      <c r="W169" s="121">
        <f t="shared" si="6"/>
        <v>0</v>
      </c>
      <c r="X169" s="121">
        <f t="shared" si="6"/>
        <v>0</v>
      </c>
      <c r="Y169" s="123">
        <f t="shared" si="6"/>
        <v>0</v>
      </c>
      <c r="Z169" s="124"/>
    </row>
    <row r="170" spans="3:26" x14ac:dyDescent="0.2">
      <c r="C170" s="14"/>
      <c r="D170" s="14"/>
      <c r="E170" s="14"/>
      <c r="F170" s="14"/>
      <c r="G170" s="15" t="s">
        <v>268</v>
      </c>
      <c r="H170" s="37"/>
      <c r="I170" s="125">
        <v>1</v>
      </c>
      <c r="J170" s="121"/>
      <c r="K170" s="121"/>
      <c r="L170" s="121"/>
      <c r="M170" s="121"/>
      <c r="N170" s="122"/>
      <c r="O170" s="121"/>
      <c r="P170" s="121"/>
      <c r="Q170" s="121"/>
      <c r="R170" s="121"/>
      <c r="S170" s="121"/>
      <c r="T170" s="121"/>
      <c r="U170" s="121"/>
      <c r="V170" s="121"/>
      <c r="W170" s="121"/>
      <c r="X170" s="121"/>
      <c r="Y170" s="123"/>
      <c r="Z170" s="124"/>
    </row>
    <row r="171" spans="3:26" x14ac:dyDescent="0.2">
      <c r="C171" s="14"/>
      <c r="D171" s="14"/>
      <c r="E171" s="14"/>
      <c r="F171" s="14"/>
      <c r="G171" s="15" t="s">
        <v>269</v>
      </c>
      <c r="H171" s="37"/>
      <c r="I171" s="125">
        <v>1</v>
      </c>
      <c r="J171" s="15"/>
      <c r="K171" s="5"/>
      <c r="L171" s="5"/>
      <c r="M171" s="5"/>
      <c r="N171" s="15"/>
      <c r="O171" s="5"/>
      <c r="P171" s="5"/>
      <c r="Q171" s="5"/>
      <c r="R171" s="5"/>
      <c r="S171" s="5"/>
      <c r="T171" s="5"/>
      <c r="U171" s="5"/>
      <c r="V171" s="5"/>
      <c r="W171" s="5"/>
      <c r="X171" s="5"/>
      <c r="Y171" s="19"/>
    </row>
    <row r="172" spans="3:26" x14ac:dyDescent="0.2">
      <c r="C172" s="14"/>
      <c r="D172" s="14"/>
      <c r="E172" s="14"/>
      <c r="F172" s="14"/>
      <c r="G172" s="15" t="s">
        <v>270</v>
      </c>
      <c r="H172" s="37"/>
      <c r="I172" s="44">
        <v>0</v>
      </c>
      <c r="J172" s="67">
        <v>0</v>
      </c>
      <c r="K172" s="126">
        <v>0.75</v>
      </c>
      <c r="L172" s="126">
        <v>1</v>
      </c>
      <c r="M172" s="54">
        <f t="shared" ref="M172:Y172" si="7">L172</f>
        <v>1</v>
      </c>
      <c r="N172" s="54">
        <f t="shared" si="7"/>
        <v>1</v>
      </c>
      <c r="O172" s="54">
        <f t="shared" si="7"/>
        <v>1</v>
      </c>
      <c r="P172" s="54">
        <f t="shared" si="7"/>
        <v>1</v>
      </c>
      <c r="Q172" s="54">
        <f t="shared" si="7"/>
        <v>1</v>
      </c>
      <c r="R172" s="54">
        <f t="shared" si="7"/>
        <v>1</v>
      </c>
      <c r="S172" s="54">
        <f t="shared" si="7"/>
        <v>1</v>
      </c>
      <c r="T172" s="54">
        <f t="shared" si="7"/>
        <v>1</v>
      </c>
      <c r="U172" s="54">
        <f t="shared" si="7"/>
        <v>1</v>
      </c>
      <c r="V172" s="54">
        <f t="shared" si="7"/>
        <v>1</v>
      </c>
      <c r="W172" s="54">
        <f t="shared" si="7"/>
        <v>1</v>
      </c>
      <c r="X172" s="54">
        <f t="shared" si="7"/>
        <v>1</v>
      </c>
      <c r="Y172" s="127">
        <f t="shared" si="7"/>
        <v>1</v>
      </c>
      <c r="Z172" s="54"/>
    </row>
    <row r="173" spans="3:26" x14ac:dyDescent="0.2">
      <c r="C173" s="14"/>
      <c r="D173" s="14"/>
      <c r="E173" s="14"/>
      <c r="F173" s="14"/>
      <c r="G173" s="128" t="s">
        <v>271</v>
      </c>
      <c r="H173" s="37"/>
      <c r="I173" s="129">
        <f t="shared" ref="I173:Y173" si="8">(1+I168)^I166</f>
        <v>1</v>
      </c>
      <c r="J173" s="129">
        <f t="shared" si="8"/>
        <v>1</v>
      </c>
      <c r="K173" s="129">
        <f t="shared" si="8"/>
        <v>1</v>
      </c>
      <c r="L173" s="129">
        <f t="shared" si="8"/>
        <v>1</v>
      </c>
      <c r="M173" s="129">
        <f t="shared" si="8"/>
        <v>1</v>
      </c>
      <c r="N173" s="129">
        <f t="shared" si="8"/>
        <v>1</v>
      </c>
      <c r="O173" s="129">
        <f t="shared" si="8"/>
        <v>1</v>
      </c>
      <c r="P173" s="129">
        <f t="shared" si="8"/>
        <v>1</v>
      </c>
      <c r="Q173" s="129">
        <f t="shared" si="8"/>
        <v>1</v>
      </c>
      <c r="R173" s="129">
        <f t="shared" si="8"/>
        <v>1</v>
      </c>
      <c r="S173" s="129">
        <f t="shared" si="8"/>
        <v>1</v>
      </c>
      <c r="T173" s="129">
        <f t="shared" si="8"/>
        <v>1</v>
      </c>
      <c r="U173" s="129">
        <f t="shared" si="8"/>
        <v>1</v>
      </c>
      <c r="V173" s="129">
        <f t="shared" si="8"/>
        <v>1</v>
      </c>
      <c r="W173" s="129">
        <f t="shared" si="8"/>
        <v>1</v>
      </c>
      <c r="X173" s="129">
        <f t="shared" si="8"/>
        <v>1</v>
      </c>
      <c r="Y173" s="130">
        <f t="shared" si="8"/>
        <v>1</v>
      </c>
      <c r="Z173" s="129"/>
    </row>
    <row r="174" spans="3:26" x14ac:dyDescent="0.2">
      <c r="C174" s="14"/>
      <c r="D174" s="14"/>
      <c r="E174" s="14"/>
      <c r="F174" s="14"/>
      <c r="G174" s="128" t="s">
        <v>272</v>
      </c>
      <c r="H174" s="37"/>
      <c r="I174" s="129">
        <f t="shared" ref="I174:Y174" si="9">(1+I169)^I166</f>
        <v>1</v>
      </c>
      <c r="J174" s="129">
        <f t="shared" si="9"/>
        <v>1</v>
      </c>
      <c r="K174" s="129">
        <f t="shared" si="9"/>
        <v>1</v>
      </c>
      <c r="L174" s="129">
        <f t="shared" si="9"/>
        <v>1</v>
      </c>
      <c r="M174" s="129">
        <f t="shared" si="9"/>
        <v>1</v>
      </c>
      <c r="N174" s="129">
        <f t="shared" si="9"/>
        <v>1</v>
      </c>
      <c r="O174" s="129">
        <f t="shared" si="9"/>
        <v>1</v>
      </c>
      <c r="P174" s="129">
        <f t="shared" si="9"/>
        <v>1</v>
      </c>
      <c r="Q174" s="129">
        <f t="shared" si="9"/>
        <v>1</v>
      </c>
      <c r="R174" s="129">
        <f t="shared" si="9"/>
        <v>1</v>
      </c>
      <c r="S174" s="129">
        <f t="shared" si="9"/>
        <v>1</v>
      </c>
      <c r="T174" s="129">
        <f t="shared" si="9"/>
        <v>1</v>
      </c>
      <c r="U174" s="129">
        <f t="shared" si="9"/>
        <v>1</v>
      </c>
      <c r="V174" s="129">
        <f t="shared" si="9"/>
        <v>1</v>
      </c>
      <c r="W174" s="129">
        <f t="shared" si="9"/>
        <v>1</v>
      </c>
      <c r="X174" s="129">
        <f t="shared" si="9"/>
        <v>1</v>
      </c>
      <c r="Y174" s="130">
        <f t="shared" si="9"/>
        <v>1</v>
      </c>
      <c r="Z174" s="129"/>
    </row>
    <row r="175" spans="3:26" s="259" customFormat="1" x14ac:dyDescent="0.2">
      <c r="C175" s="269"/>
      <c r="D175" s="269"/>
      <c r="E175" s="269"/>
      <c r="F175" s="269"/>
      <c r="G175" s="339" t="s">
        <v>547</v>
      </c>
      <c r="H175" s="294"/>
      <c r="I175" s="336">
        <v>100</v>
      </c>
      <c r="J175" s="336"/>
      <c r="K175" s="336"/>
      <c r="L175" s="336"/>
      <c r="M175" s="336"/>
      <c r="N175" s="336"/>
      <c r="O175" s="336"/>
      <c r="P175" s="336"/>
      <c r="Q175" s="336"/>
      <c r="R175" s="336"/>
      <c r="S175" s="336"/>
      <c r="T175" s="336"/>
      <c r="U175" s="336"/>
      <c r="V175" s="336"/>
      <c r="W175" s="336"/>
      <c r="X175" s="336"/>
      <c r="Y175" s="337"/>
      <c r="Z175" s="336"/>
    </row>
    <row r="176" spans="3:26" s="259" customFormat="1" x14ac:dyDescent="0.2">
      <c r="C176" s="269"/>
      <c r="D176" s="269"/>
      <c r="E176" s="269"/>
      <c r="F176" s="269"/>
      <c r="G176" s="339" t="s">
        <v>548</v>
      </c>
      <c r="H176" s="294"/>
      <c r="I176" s="336">
        <v>0.66</v>
      </c>
      <c r="J176" s="336"/>
      <c r="K176" s="336"/>
      <c r="L176" s="336"/>
      <c r="M176" s="336"/>
      <c r="N176" s="336"/>
      <c r="O176" s="336"/>
      <c r="P176" s="336"/>
      <c r="Q176" s="336"/>
      <c r="R176" s="336"/>
      <c r="S176" s="336"/>
      <c r="T176" s="336"/>
      <c r="U176" s="336"/>
      <c r="V176" s="336"/>
      <c r="W176" s="336"/>
      <c r="X176" s="336"/>
      <c r="Y176" s="337"/>
      <c r="Z176" s="336"/>
    </row>
    <row r="177" spans="3:27" x14ac:dyDescent="0.2">
      <c r="C177" s="14"/>
      <c r="D177" s="14"/>
      <c r="E177" s="14"/>
      <c r="F177" s="14"/>
      <c r="G177" s="131" t="s">
        <v>273</v>
      </c>
      <c r="H177" s="37"/>
      <c r="I177" s="132">
        <v>1</v>
      </c>
      <c r="J177" s="129"/>
      <c r="K177" s="129"/>
      <c r="L177" s="129"/>
      <c r="M177" s="129"/>
      <c r="N177" s="129"/>
      <c r="O177" s="129"/>
      <c r="P177" s="129"/>
      <c r="Q177" s="129"/>
      <c r="R177" s="129"/>
      <c r="S177" s="129"/>
      <c r="T177" s="129"/>
      <c r="U177" s="129"/>
      <c r="V177" s="129"/>
      <c r="W177" s="129"/>
      <c r="X177" s="129"/>
      <c r="Y177" s="130"/>
      <c r="Z177" s="129"/>
    </row>
    <row r="178" spans="3:27" x14ac:dyDescent="0.2">
      <c r="C178" s="14"/>
      <c r="D178" s="14"/>
      <c r="E178" s="14"/>
      <c r="F178" s="14"/>
      <c r="G178" s="131" t="s">
        <v>274</v>
      </c>
      <c r="H178" s="37"/>
      <c r="I178" s="132">
        <v>0.4</v>
      </c>
      <c r="J178" s="132">
        <v>0.6</v>
      </c>
      <c r="K178" s="129"/>
      <c r="L178" s="129"/>
      <c r="M178" s="129"/>
      <c r="N178" s="129"/>
      <c r="O178" s="129"/>
      <c r="P178" s="129"/>
      <c r="Q178" s="129"/>
      <c r="R178" s="129"/>
      <c r="S178" s="129"/>
      <c r="T178" s="129"/>
      <c r="U178" s="129"/>
      <c r="V178" s="129"/>
      <c r="W178" s="129"/>
      <c r="X178" s="129"/>
      <c r="Y178" s="130"/>
      <c r="Z178" s="129"/>
    </row>
    <row r="179" spans="3:27" x14ac:dyDescent="0.2">
      <c r="C179" s="14"/>
      <c r="D179" s="14"/>
      <c r="E179" s="14"/>
      <c r="F179" s="14"/>
      <c r="G179" s="131" t="s">
        <v>275</v>
      </c>
      <c r="H179" s="37"/>
      <c r="I179" s="108">
        <v>0.01</v>
      </c>
      <c r="J179" s="133">
        <f t="shared" ref="J179:Y179" si="10">I179</f>
        <v>0.01</v>
      </c>
      <c r="K179" s="133">
        <f t="shared" si="10"/>
        <v>0.01</v>
      </c>
      <c r="L179" s="133">
        <f t="shared" si="10"/>
        <v>0.01</v>
      </c>
      <c r="M179" s="133">
        <f t="shared" si="10"/>
        <v>0.01</v>
      </c>
      <c r="N179" s="133">
        <f t="shared" si="10"/>
        <v>0.01</v>
      </c>
      <c r="O179" s="133">
        <f t="shared" si="10"/>
        <v>0.01</v>
      </c>
      <c r="P179" s="133">
        <f t="shared" si="10"/>
        <v>0.01</v>
      </c>
      <c r="Q179" s="133">
        <f t="shared" si="10"/>
        <v>0.01</v>
      </c>
      <c r="R179" s="133">
        <f t="shared" si="10"/>
        <v>0.01</v>
      </c>
      <c r="S179" s="133">
        <f t="shared" si="10"/>
        <v>0.01</v>
      </c>
      <c r="T179" s="133">
        <f t="shared" si="10"/>
        <v>0.01</v>
      </c>
      <c r="U179" s="133">
        <f t="shared" si="10"/>
        <v>0.01</v>
      </c>
      <c r="V179" s="133">
        <f t="shared" si="10"/>
        <v>0.01</v>
      </c>
      <c r="W179" s="133">
        <f t="shared" si="10"/>
        <v>0.01</v>
      </c>
      <c r="X179" s="133">
        <f t="shared" si="10"/>
        <v>0.01</v>
      </c>
      <c r="Y179" s="134">
        <f t="shared" si="10"/>
        <v>0.01</v>
      </c>
      <c r="Z179" s="133"/>
    </row>
    <row r="180" spans="3:27" x14ac:dyDescent="0.2">
      <c r="C180" s="14"/>
      <c r="D180" s="14"/>
      <c r="E180" s="14"/>
      <c r="F180" s="14"/>
      <c r="G180" s="15" t="s">
        <v>276</v>
      </c>
      <c r="H180" s="37"/>
      <c r="I180" s="51">
        <v>0.2</v>
      </c>
      <c r="J180" s="15" t="s">
        <v>277</v>
      </c>
      <c r="K180" s="5"/>
      <c r="L180" s="5"/>
      <c r="M180" s="5"/>
      <c r="N180" s="15"/>
      <c r="O180" s="5"/>
      <c r="P180" s="5"/>
      <c r="Q180" s="5"/>
      <c r="R180" s="5"/>
      <c r="S180" s="5"/>
      <c r="T180" s="5"/>
      <c r="U180" s="5"/>
      <c r="V180" s="5"/>
      <c r="W180" s="5"/>
      <c r="X180" s="5"/>
      <c r="Y180" s="19"/>
    </row>
    <row r="181" spans="3:27" x14ac:dyDescent="0.2">
      <c r="C181" s="14"/>
      <c r="D181" s="14"/>
      <c r="E181" s="14"/>
      <c r="F181" s="14"/>
      <c r="G181" s="5"/>
      <c r="H181" s="26"/>
      <c r="I181" s="5"/>
      <c r="J181" s="5"/>
      <c r="K181" s="27"/>
      <c r="L181" s="5"/>
      <c r="M181" s="5"/>
      <c r="N181" s="5"/>
      <c r="O181" s="5"/>
      <c r="P181" s="5"/>
      <c r="Q181" s="5"/>
      <c r="R181" s="5"/>
      <c r="S181" s="5"/>
      <c r="T181" s="5"/>
      <c r="U181" s="5"/>
      <c r="V181" s="5"/>
      <c r="W181" s="5"/>
      <c r="X181" s="5"/>
      <c r="Y181" s="19"/>
    </row>
    <row r="182" spans="3:27" x14ac:dyDescent="0.2">
      <c r="C182" s="14"/>
      <c r="D182" s="14"/>
      <c r="E182" s="14"/>
      <c r="F182" s="8">
        <v>13</v>
      </c>
      <c r="G182" s="33" t="s">
        <v>278</v>
      </c>
      <c r="H182" s="34"/>
      <c r="I182" s="135" t="s">
        <v>249</v>
      </c>
      <c r="J182" s="63" t="s">
        <v>250</v>
      </c>
      <c r="K182" s="10" t="s">
        <v>251</v>
      </c>
      <c r="L182" s="10" t="s">
        <v>252</v>
      </c>
      <c r="M182" s="10" t="s">
        <v>253</v>
      </c>
      <c r="N182" s="10" t="s">
        <v>254</v>
      </c>
      <c r="O182" s="10" t="s">
        <v>255</v>
      </c>
      <c r="P182" s="10" t="s">
        <v>256</v>
      </c>
      <c r="Q182" s="10" t="s">
        <v>257</v>
      </c>
      <c r="R182" s="10" t="s">
        <v>258</v>
      </c>
      <c r="S182" s="10" t="s">
        <v>259</v>
      </c>
      <c r="T182" s="10" t="s">
        <v>260</v>
      </c>
      <c r="U182" s="10" t="s">
        <v>261</v>
      </c>
      <c r="V182" s="10" t="s">
        <v>262</v>
      </c>
      <c r="W182" s="10" t="s">
        <v>263</v>
      </c>
      <c r="X182" s="10" t="s">
        <v>264</v>
      </c>
      <c r="Y182" s="63" t="s">
        <v>265</v>
      </c>
      <c r="AA182" s="10"/>
    </row>
    <row r="183" spans="3:27" x14ac:dyDescent="0.2">
      <c r="C183" s="14"/>
      <c r="D183" s="14"/>
      <c r="E183" s="14"/>
      <c r="F183" s="36"/>
      <c r="G183" s="23" t="s">
        <v>279</v>
      </c>
      <c r="H183" s="73"/>
      <c r="I183" s="136"/>
      <c r="J183" s="137"/>
      <c r="K183" s="74"/>
      <c r="L183" s="74"/>
      <c r="M183" s="74"/>
      <c r="N183" s="74"/>
      <c r="O183" s="74"/>
      <c r="P183" s="74"/>
      <c r="Q183" s="74"/>
      <c r="R183" s="74"/>
      <c r="S183" s="74"/>
      <c r="T183" s="74"/>
      <c r="U183" s="74"/>
      <c r="V183" s="74"/>
      <c r="W183" s="74"/>
      <c r="X183" s="74"/>
      <c r="Y183" s="137"/>
      <c r="Z183" s="74"/>
      <c r="AA183" s="74"/>
    </row>
    <row r="184" spans="3:27" x14ac:dyDescent="0.2">
      <c r="C184" s="14"/>
      <c r="D184" s="14"/>
      <c r="E184" s="14"/>
      <c r="F184" s="14"/>
      <c r="G184" s="15" t="s">
        <v>280</v>
      </c>
      <c r="H184" s="37"/>
      <c r="I184" s="107"/>
      <c r="J184" s="19"/>
      <c r="K184" s="138">
        <f t="shared" ref="K184:Y184" si="11">K172*$I$170*K173*$L$14</f>
        <v>67500000</v>
      </c>
      <c r="L184" s="138">
        <f t="shared" si="11"/>
        <v>90000000</v>
      </c>
      <c r="M184" s="138">
        <f t="shared" si="11"/>
        <v>90000000</v>
      </c>
      <c r="N184" s="138">
        <f t="shared" si="11"/>
        <v>90000000</v>
      </c>
      <c r="O184" s="138">
        <f t="shared" si="11"/>
        <v>90000000</v>
      </c>
      <c r="P184" s="138">
        <f t="shared" si="11"/>
        <v>90000000</v>
      </c>
      <c r="Q184" s="138">
        <f t="shared" si="11"/>
        <v>90000000</v>
      </c>
      <c r="R184" s="138">
        <f t="shared" si="11"/>
        <v>90000000</v>
      </c>
      <c r="S184" s="138">
        <f t="shared" si="11"/>
        <v>90000000</v>
      </c>
      <c r="T184" s="138">
        <f t="shared" si="11"/>
        <v>90000000</v>
      </c>
      <c r="U184" s="138">
        <f t="shared" si="11"/>
        <v>90000000</v>
      </c>
      <c r="V184" s="138">
        <f t="shared" si="11"/>
        <v>90000000</v>
      </c>
      <c r="W184" s="138">
        <f t="shared" si="11"/>
        <v>90000000</v>
      </c>
      <c r="X184" s="138">
        <f t="shared" si="11"/>
        <v>90000000</v>
      </c>
      <c r="Y184" s="139">
        <f t="shared" si="11"/>
        <v>90000000</v>
      </c>
      <c r="Z184" s="17"/>
    </row>
    <row r="185" spans="3:27" x14ac:dyDescent="0.2">
      <c r="C185" s="185">
        <v>8</v>
      </c>
      <c r="D185" s="185" t="s">
        <v>631</v>
      </c>
      <c r="E185" s="14"/>
      <c r="F185" s="14"/>
      <c r="G185" s="15" t="s">
        <v>281</v>
      </c>
      <c r="H185" s="37"/>
      <c r="I185" s="107"/>
      <c r="J185" s="19"/>
      <c r="K185" s="138">
        <f t="shared" ref="K185:Y185" si="12">K172*$I$170*K173*$L$162</f>
        <v>1177243.2000000002</v>
      </c>
      <c r="L185" s="138">
        <f t="shared" si="12"/>
        <v>1569657.6</v>
      </c>
      <c r="M185" s="138">
        <f t="shared" si="12"/>
        <v>1569657.6</v>
      </c>
      <c r="N185" s="138">
        <f t="shared" si="12"/>
        <v>1569657.6</v>
      </c>
      <c r="O185" s="138">
        <f t="shared" si="12"/>
        <v>1569657.6</v>
      </c>
      <c r="P185" s="138">
        <f t="shared" si="12"/>
        <v>1569657.6</v>
      </c>
      <c r="Q185" s="138">
        <f t="shared" si="12"/>
        <v>1569657.6</v>
      </c>
      <c r="R185" s="138">
        <f t="shared" si="12"/>
        <v>1569657.6</v>
      </c>
      <c r="S185" s="138">
        <f t="shared" si="12"/>
        <v>1569657.6</v>
      </c>
      <c r="T185" s="138">
        <f t="shared" si="12"/>
        <v>1569657.6</v>
      </c>
      <c r="U185" s="138">
        <f t="shared" si="12"/>
        <v>1569657.6</v>
      </c>
      <c r="V185" s="138">
        <f t="shared" si="12"/>
        <v>1569657.6</v>
      </c>
      <c r="W185" s="138">
        <f t="shared" si="12"/>
        <v>1569657.6</v>
      </c>
      <c r="X185" s="138">
        <f t="shared" si="12"/>
        <v>1569657.6</v>
      </c>
      <c r="Y185" s="139">
        <f t="shared" si="12"/>
        <v>1569657.6</v>
      </c>
      <c r="Z185" s="17"/>
    </row>
    <row r="186" spans="3:27" x14ac:dyDescent="0.2">
      <c r="C186" s="185">
        <v>8</v>
      </c>
      <c r="D186" s="185" t="s">
        <v>631</v>
      </c>
      <c r="E186" s="14"/>
      <c r="F186" s="14"/>
      <c r="G186" s="15" t="s">
        <v>118</v>
      </c>
      <c r="H186" s="26"/>
      <c r="I186" s="14"/>
      <c r="J186" s="19"/>
      <c r="K186" s="138">
        <f t="shared" ref="K186:Y186" si="13">K172*$I$170*K173*$L$44</f>
        <v>13249774.113759795</v>
      </c>
      <c r="L186" s="138">
        <f t="shared" si="13"/>
        <v>17666365.48501306</v>
      </c>
      <c r="M186" s="138">
        <f t="shared" si="13"/>
        <v>17666365.48501306</v>
      </c>
      <c r="N186" s="138">
        <f t="shared" si="13"/>
        <v>17666365.48501306</v>
      </c>
      <c r="O186" s="138">
        <f t="shared" si="13"/>
        <v>17666365.48501306</v>
      </c>
      <c r="P186" s="138">
        <f t="shared" si="13"/>
        <v>17666365.48501306</v>
      </c>
      <c r="Q186" s="138">
        <f t="shared" si="13"/>
        <v>17666365.48501306</v>
      </c>
      <c r="R186" s="138">
        <f t="shared" si="13"/>
        <v>17666365.48501306</v>
      </c>
      <c r="S186" s="138">
        <f t="shared" si="13"/>
        <v>17666365.48501306</v>
      </c>
      <c r="T186" s="138">
        <f t="shared" si="13"/>
        <v>17666365.48501306</v>
      </c>
      <c r="U186" s="138">
        <f t="shared" si="13"/>
        <v>17666365.48501306</v>
      </c>
      <c r="V186" s="138">
        <f t="shared" si="13"/>
        <v>17666365.48501306</v>
      </c>
      <c r="W186" s="138">
        <f t="shared" si="13"/>
        <v>17666365.48501306</v>
      </c>
      <c r="X186" s="138">
        <f t="shared" si="13"/>
        <v>17666365.48501306</v>
      </c>
      <c r="Y186" s="139">
        <f t="shared" si="13"/>
        <v>17666365.48501306</v>
      </c>
      <c r="Z186" s="17"/>
    </row>
    <row r="187" spans="3:27" x14ac:dyDescent="0.2">
      <c r="C187" s="14"/>
      <c r="D187" s="14"/>
      <c r="E187" s="14"/>
      <c r="F187" s="14"/>
      <c r="G187" s="15"/>
      <c r="H187" s="26"/>
      <c r="I187" s="14"/>
      <c r="J187" s="19"/>
      <c r="K187" s="141">
        <f>SUM(K184:K186)</f>
        <v>81927017.313759804</v>
      </c>
      <c r="L187" s="141">
        <f t="shared" ref="L187:Y187" si="14">SUM(L184:L186)</f>
        <v>109236023.08501306</v>
      </c>
      <c r="M187" s="141">
        <f t="shared" si="14"/>
        <v>109236023.08501306</v>
      </c>
      <c r="N187" s="141">
        <f t="shared" si="14"/>
        <v>109236023.08501306</v>
      </c>
      <c r="O187" s="141">
        <f t="shared" si="14"/>
        <v>109236023.08501306</v>
      </c>
      <c r="P187" s="141">
        <f t="shared" si="14"/>
        <v>109236023.08501306</v>
      </c>
      <c r="Q187" s="141">
        <f t="shared" si="14"/>
        <v>109236023.08501306</v>
      </c>
      <c r="R187" s="141">
        <f t="shared" si="14"/>
        <v>109236023.08501306</v>
      </c>
      <c r="S187" s="141">
        <f t="shared" si="14"/>
        <v>109236023.08501306</v>
      </c>
      <c r="T187" s="141">
        <f t="shared" si="14"/>
        <v>109236023.08501306</v>
      </c>
      <c r="U187" s="141">
        <f t="shared" si="14"/>
        <v>109236023.08501306</v>
      </c>
      <c r="V187" s="141">
        <f t="shared" si="14"/>
        <v>109236023.08501306</v>
      </c>
      <c r="W187" s="141">
        <f t="shared" si="14"/>
        <v>109236023.08501306</v>
      </c>
      <c r="X187" s="141">
        <f t="shared" si="14"/>
        <v>109236023.08501306</v>
      </c>
      <c r="Y187" s="141">
        <f t="shared" si="14"/>
        <v>109236023.08501306</v>
      </c>
      <c r="Z187" s="17"/>
    </row>
    <row r="188" spans="3:27" x14ac:dyDescent="0.2">
      <c r="C188" s="14"/>
      <c r="D188" s="14"/>
      <c r="E188" s="14"/>
      <c r="F188" s="14"/>
      <c r="G188" s="627" t="s">
        <v>282</v>
      </c>
      <c r="H188" s="629"/>
      <c r="I188" s="621"/>
      <c r="J188" s="625"/>
      <c r="K188" s="666"/>
      <c r="L188" s="666"/>
      <c r="M188" s="187"/>
      <c r="N188" s="187"/>
      <c r="O188" s="187"/>
      <c r="P188" s="187"/>
      <c r="Q188" s="187"/>
      <c r="R188" s="187"/>
      <c r="S188" s="187"/>
      <c r="T188" s="187"/>
      <c r="U188" s="187"/>
      <c r="V188" s="187"/>
      <c r="W188" s="187"/>
      <c r="X188" s="187"/>
      <c r="Y188" s="187"/>
      <c r="Z188" s="17"/>
    </row>
    <row r="189" spans="3:27" x14ac:dyDescent="0.2">
      <c r="C189" s="185">
        <v>7</v>
      </c>
      <c r="D189" s="185" t="s">
        <v>184</v>
      </c>
      <c r="E189" s="14"/>
      <c r="F189" s="14"/>
      <c r="G189" s="656" t="s">
        <v>280</v>
      </c>
      <c r="H189" s="629"/>
      <c r="I189" s="621"/>
      <c r="J189" s="625"/>
      <c r="K189" s="643">
        <f>-SUM($L$139)*$I$171*K172*K174</f>
        <v>-8364386.25</v>
      </c>
      <c r="L189" s="643">
        <f t="shared" ref="L189:Y189" si="15">-SUM($L$139)*$I$171*L172*L174</f>
        <v>-11152515</v>
      </c>
      <c r="M189" s="138">
        <f t="shared" si="15"/>
        <v>-11152515</v>
      </c>
      <c r="N189" s="138">
        <f t="shared" si="15"/>
        <v>-11152515</v>
      </c>
      <c r="O189" s="138">
        <f t="shared" si="15"/>
        <v>-11152515</v>
      </c>
      <c r="P189" s="138">
        <f t="shared" si="15"/>
        <v>-11152515</v>
      </c>
      <c r="Q189" s="138">
        <f t="shared" si="15"/>
        <v>-11152515</v>
      </c>
      <c r="R189" s="138">
        <f t="shared" si="15"/>
        <v>-11152515</v>
      </c>
      <c r="S189" s="138">
        <f t="shared" si="15"/>
        <v>-11152515</v>
      </c>
      <c r="T189" s="138">
        <f t="shared" si="15"/>
        <v>-11152515</v>
      </c>
      <c r="U189" s="138">
        <f t="shared" si="15"/>
        <v>-11152515</v>
      </c>
      <c r="V189" s="138">
        <f t="shared" si="15"/>
        <v>-11152515</v>
      </c>
      <c r="W189" s="138">
        <f t="shared" si="15"/>
        <v>-11152515</v>
      </c>
      <c r="X189" s="138">
        <f t="shared" si="15"/>
        <v>-11152515</v>
      </c>
      <c r="Y189" s="138">
        <f t="shared" si="15"/>
        <v>-11152515</v>
      </c>
      <c r="Z189" s="17"/>
    </row>
    <row r="190" spans="3:27" x14ac:dyDescent="0.2">
      <c r="C190" s="185">
        <v>7</v>
      </c>
      <c r="D190" s="185" t="s">
        <v>184</v>
      </c>
      <c r="E190" s="14"/>
      <c r="F190" s="14"/>
      <c r="G190" s="656" t="s">
        <v>468</v>
      </c>
      <c r="H190" s="629"/>
      <c r="I190" s="640"/>
      <c r="J190" s="645"/>
      <c r="K190" s="643">
        <f>-SUM($L$116)*$I$171*K172*K174</f>
        <v>-4734450</v>
      </c>
      <c r="L190" s="643">
        <f t="shared" ref="L190:Y190" si="16">-SUM($L$116)*$I$171*L172*L174</f>
        <v>-6312600</v>
      </c>
      <c r="M190" s="138">
        <f t="shared" si="16"/>
        <v>-6312600</v>
      </c>
      <c r="N190" s="138">
        <f t="shared" si="16"/>
        <v>-6312600</v>
      </c>
      <c r="O190" s="138">
        <f t="shared" si="16"/>
        <v>-6312600</v>
      </c>
      <c r="P190" s="138">
        <f t="shared" si="16"/>
        <v>-6312600</v>
      </c>
      <c r="Q190" s="138">
        <f t="shared" si="16"/>
        <v>-6312600</v>
      </c>
      <c r="R190" s="138">
        <f t="shared" si="16"/>
        <v>-6312600</v>
      </c>
      <c r="S190" s="138">
        <f t="shared" si="16"/>
        <v>-6312600</v>
      </c>
      <c r="T190" s="138">
        <f t="shared" si="16"/>
        <v>-6312600</v>
      </c>
      <c r="U190" s="138">
        <f t="shared" si="16"/>
        <v>-6312600</v>
      </c>
      <c r="V190" s="138">
        <f t="shared" si="16"/>
        <v>-6312600</v>
      </c>
      <c r="W190" s="138">
        <f t="shared" si="16"/>
        <v>-6312600</v>
      </c>
      <c r="X190" s="138">
        <f t="shared" si="16"/>
        <v>-6312600</v>
      </c>
      <c r="Y190" s="138">
        <f t="shared" si="16"/>
        <v>-6312600</v>
      </c>
      <c r="Z190" s="142"/>
    </row>
    <row r="191" spans="3:27" x14ac:dyDescent="0.2">
      <c r="C191" s="14"/>
      <c r="D191" s="14"/>
      <c r="E191" s="14"/>
      <c r="F191" s="14"/>
      <c r="G191" s="656"/>
      <c r="H191" s="629"/>
      <c r="I191" s="640"/>
      <c r="J191" s="645"/>
      <c r="K191" s="643"/>
      <c r="L191" s="666"/>
      <c r="M191" s="187"/>
      <c r="N191" s="187"/>
      <c r="O191" s="187"/>
      <c r="P191" s="187"/>
      <c r="Q191" s="187"/>
      <c r="R191" s="187"/>
      <c r="S191" s="187"/>
      <c r="T191" s="187"/>
      <c r="U191" s="187"/>
      <c r="V191" s="187"/>
      <c r="W191" s="187"/>
      <c r="X191" s="187"/>
      <c r="Y191" s="188"/>
      <c r="Z191" s="189"/>
    </row>
    <row r="192" spans="3:27" x14ac:dyDescent="0.2">
      <c r="C192" s="14"/>
      <c r="D192" s="14"/>
      <c r="E192" s="14"/>
      <c r="F192" s="14"/>
      <c r="G192" s="627" t="s">
        <v>284</v>
      </c>
      <c r="H192" s="629"/>
      <c r="I192" s="640"/>
      <c r="J192" s="645"/>
      <c r="K192" s="643"/>
      <c r="L192" s="643"/>
      <c r="M192" s="138"/>
      <c r="N192" s="138"/>
      <c r="O192" s="138"/>
      <c r="P192" s="138"/>
      <c r="Q192" s="138"/>
      <c r="R192" s="138"/>
      <c r="S192" s="138"/>
      <c r="T192" s="138"/>
      <c r="U192" s="138"/>
      <c r="V192" s="138"/>
      <c r="W192" s="138"/>
      <c r="X192" s="138"/>
      <c r="Y192" s="139"/>
      <c r="Z192" s="20"/>
    </row>
    <row r="193" spans="1:26" x14ac:dyDescent="0.2">
      <c r="C193" s="185">
        <v>1</v>
      </c>
      <c r="D193" s="185" t="s">
        <v>285</v>
      </c>
      <c r="E193" s="185"/>
      <c r="F193" s="14"/>
      <c r="G193" s="15" t="s">
        <v>285</v>
      </c>
      <c r="H193" s="26"/>
      <c r="I193" s="83"/>
      <c r="J193" s="140"/>
      <c r="K193" s="138">
        <f>-K172*$L$54*K174*$I$171</f>
        <v>-52545408.863662876</v>
      </c>
      <c r="L193" s="138">
        <f t="shared" ref="L193:Y193" si="17">-L172*$L$54*L174*$I$171</f>
        <v>-70060545.151550502</v>
      </c>
      <c r="M193" s="138">
        <f t="shared" si="17"/>
        <v>-70060545.151550502</v>
      </c>
      <c r="N193" s="138">
        <f t="shared" si="17"/>
        <v>-70060545.151550502</v>
      </c>
      <c r="O193" s="138">
        <f t="shared" si="17"/>
        <v>-70060545.151550502</v>
      </c>
      <c r="P193" s="138">
        <f t="shared" si="17"/>
        <v>-70060545.151550502</v>
      </c>
      <c r="Q193" s="138">
        <f t="shared" si="17"/>
        <v>-70060545.151550502</v>
      </c>
      <c r="R193" s="138">
        <f t="shared" si="17"/>
        <v>-70060545.151550502</v>
      </c>
      <c r="S193" s="138">
        <f t="shared" si="17"/>
        <v>-70060545.151550502</v>
      </c>
      <c r="T193" s="138">
        <f t="shared" si="17"/>
        <v>-70060545.151550502</v>
      </c>
      <c r="U193" s="138">
        <f t="shared" si="17"/>
        <v>-70060545.151550502</v>
      </c>
      <c r="V193" s="138">
        <f t="shared" si="17"/>
        <v>-70060545.151550502</v>
      </c>
      <c r="W193" s="138">
        <f t="shared" si="17"/>
        <v>-70060545.151550502</v>
      </c>
      <c r="X193" s="138">
        <f t="shared" si="17"/>
        <v>-70060545.151550502</v>
      </c>
      <c r="Y193" s="138">
        <f t="shared" si="17"/>
        <v>-70060545.151550502</v>
      </c>
      <c r="Z193" s="138"/>
    </row>
    <row r="194" spans="1:26" x14ac:dyDescent="0.2">
      <c r="C194" s="185">
        <v>2</v>
      </c>
      <c r="D194" s="185" t="s">
        <v>86</v>
      </c>
      <c r="E194" s="185"/>
      <c r="F194" s="14"/>
      <c r="G194" s="15" t="s">
        <v>86</v>
      </c>
      <c r="H194" s="26"/>
      <c r="I194" s="83"/>
      <c r="J194" s="140"/>
      <c r="K194" s="138">
        <f>-K172*$L$80*K174*$I$171</f>
        <v>-2816916.7113388707</v>
      </c>
      <c r="L194" s="138">
        <f t="shared" ref="L194:Y194" si="18">-L172*$L$80*L174*$I$171</f>
        <v>-3755888.9484518277</v>
      </c>
      <c r="M194" s="138">
        <f t="shared" si="18"/>
        <v>-3755888.9484518277</v>
      </c>
      <c r="N194" s="138">
        <f t="shared" si="18"/>
        <v>-3755888.9484518277</v>
      </c>
      <c r="O194" s="138">
        <f t="shared" si="18"/>
        <v>-3755888.9484518277</v>
      </c>
      <c r="P194" s="138">
        <f t="shared" si="18"/>
        <v>-3755888.9484518277</v>
      </c>
      <c r="Q194" s="138">
        <f t="shared" si="18"/>
        <v>-3755888.9484518277</v>
      </c>
      <c r="R194" s="138">
        <f t="shared" si="18"/>
        <v>-3755888.9484518277</v>
      </c>
      <c r="S194" s="138">
        <f t="shared" si="18"/>
        <v>-3755888.9484518277</v>
      </c>
      <c r="T194" s="138">
        <f t="shared" si="18"/>
        <v>-3755888.9484518277</v>
      </c>
      <c r="U194" s="138">
        <f t="shared" si="18"/>
        <v>-3755888.9484518277</v>
      </c>
      <c r="V194" s="138">
        <f t="shared" si="18"/>
        <v>-3755888.9484518277</v>
      </c>
      <c r="W194" s="138">
        <f t="shared" si="18"/>
        <v>-3755888.9484518277</v>
      </c>
      <c r="X194" s="138">
        <f t="shared" si="18"/>
        <v>-3755888.9484518277</v>
      </c>
      <c r="Y194" s="138">
        <f t="shared" si="18"/>
        <v>-3755888.9484518277</v>
      </c>
      <c r="Z194" s="23"/>
    </row>
    <row r="195" spans="1:26" x14ac:dyDescent="0.2">
      <c r="C195" s="185">
        <v>3</v>
      </c>
      <c r="D195" s="185" t="s">
        <v>129</v>
      </c>
      <c r="E195" s="185"/>
      <c r="F195" s="14"/>
      <c r="G195" s="15" t="s">
        <v>139</v>
      </c>
      <c r="H195" s="26"/>
      <c r="I195" s="83"/>
      <c r="J195" s="140"/>
      <c r="K195" s="138">
        <f>-K172*$L$100*K174*$I$171</f>
        <v>-2347500</v>
      </c>
      <c r="L195" s="138">
        <f t="shared" ref="L195:Y195" si="19">-L172*$L$100*L174*$I$171</f>
        <v>-3130000</v>
      </c>
      <c r="M195" s="138">
        <f t="shared" si="19"/>
        <v>-3130000</v>
      </c>
      <c r="N195" s="138">
        <f t="shared" si="19"/>
        <v>-3130000</v>
      </c>
      <c r="O195" s="138">
        <f t="shared" si="19"/>
        <v>-3130000</v>
      </c>
      <c r="P195" s="138">
        <f t="shared" si="19"/>
        <v>-3130000</v>
      </c>
      <c r="Q195" s="138">
        <f t="shared" si="19"/>
        <v>-3130000</v>
      </c>
      <c r="R195" s="138">
        <f t="shared" si="19"/>
        <v>-3130000</v>
      </c>
      <c r="S195" s="138">
        <f t="shared" si="19"/>
        <v>-3130000</v>
      </c>
      <c r="T195" s="138">
        <f t="shared" si="19"/>
        <v>-3130000</v>
      </c>
      <c r="U195" s="138">
        <f t="shared" si="19"/>
        <v>-3130000</v>
      </c>
      <c r="V195" s="138">
        <f t="shared" si="19"/>
        <v>-3130000</v>
      </c>
      <c r="W195" s="138">
        <f t="shared" si="19"/>
        <v>-3130000</v>
      </c>
      <c r="X195" s="138">
        <f t="shared" si="19"/>
        <v>-3130000</v>
      </c>
      <c r="Y195" s="138">
        <f t="shared" si="19"/>
        <v>-3130000</v>
      </c>
      <c r="Z195" s="23"/>
    </row>
    <row r="196" spans="1:26" x14ac:dyDescent="0.2">
      <c r="C196" s="185">
        <v>3</v>
      </c>
      <c r="D196" s="185" t="s">
        <v>129</v>
      </c>
      <c r="E196" s="185"/>
      <c r="F196" s="14"/>
      <c r="G196" s="15" t="s">
        <v>286</v>
      </c>
      <c r="H196" s="26"/>
      <c r="I196" s="83"/>
      <c r="J196" s="140"/>
      <c r="K196" s="143">
        <f>-SUM($L$86,$L$110)*K172*K174*$I$171</f>
        <v>-1537371.6</v>
      </c>
      <c r="L196" s="143">
        <f t="shared" ref="L196:Y196" si="20">-SUM($L$86,$L$110)*L172*L174*$I$171</f>
        <v>-2049828.8</v>
      </c>
      <c r="M196" s="143">
        <f t="shared" si="20"/>
        <v>-2049828.8</v>
      </c>
      <c r="N196" s="143">
        <f t="shared" si="20"/>
        <v>-2049828.8</v>
      </c>
      <c r="O196" s="143">
        <f t="shared" si="20"/>
        <v>-2049828.8</v>
      </c>
      <c r="P196" s="143">
        <f t="shared" si="20"/>
        <v>-2049828.8</v>
      </c>
      <c r="Q196" s="143">
        <f t="shared" si="20"/>
        <v>-2049828.8</v>
      </c>
      <c r="R196" s="143">
        <f t="shared" si="20"/>
        <v>-2049828.8</v>
      </c>
      <c r="S196" s="143">
        <f t="shared" si="20"/>
        <v>-2049828.8</v>
      </c>
      <c r="T196" s="143">
        <f t="shared" si="20"/>
        <v>-2049828.8</v>
      </c>
      <c r="U196" s="143">
        <f t="shared" si="20"/>
        <v>-2049828.8</v>
      </c>
      <c r="V196" s="143">
        <f t="shared" si="20"/>
        <v>-2049828.8</v>
      </c>
      <c r="W196" s="143">
        <f t="shared" si="20"/>
        <v>-2049828.8</v>
      </c>
      <c r="X196" s="143">
        <f t="shared" si="20"/>
        <v>-2049828.8</v>
      </c>
      <c r="Y196" s="143">
        <f t="shared" si="20"/>
        <v>-2049828.8</v>
      </c>
      <c r="Z196" s="23"/>
    </row>
    <row r="197" spans="1:26" x14ac:dyDescent="0.2">
      <c r="C197" s="185">
        <v>4</v>
      </c>
      <c r="D197" s="185" t="str">
        <f>G197</f>
        <v>Maintenance</v>
      </c>
      <c r="E197" s="185"/>
      <c r="F197" s="14"/>
      <c r="G197" s="15" t="s">
        <v>218</v>
      </c>
      <c r="H197" s="26"/>
      <c r="I197" s="83"/>
      <c r="J197" s="140"/>
      <c r="K197" s="138">
        <f>-$L$146*K172*K174*$I$171</f>
        <v>-2058750</v>
      </c>
      <c r="L197" s="138">
        <f t="shared" ref="L197:Y197" si="21">-$L$146*L172*L174*$I$171</f>
        <v>-2745000</v>
      </c>
      <c r="M197" s="138">
        <f t="shared" si="21"/>
        <v>-2745000</v>
      </c>
      <c r="N197" s="138">
        <f t="shared" si="21"/>
        <v>-2745000</v>
      </c>
      <c r="O197" s="138">
        <f t="shared" si="21"/>
        <v>-2745000</v>
      </c>
      <c r="P197" s="138">
        <f t="shared" si="21"/>
        <v>-2745000</v>
      </c>
      <c r="Q197" s="138">
        <f t="shared" si="21"/>
        <v>-2745000</v>
      </c>
      <c r="R197" s="138">
        <f t="shared" si="21"/>
        <v>-2745000</v>
      </c>
      <c r="S197" s="138">
        <f t="shared" si="21"/>
        <v>-2745000</v>
      </c>
      <c r="T197" s="138">
        <f t="shared" si="21"/>
        <v>-2745000</v>
      </c>
      <c r="U197" s="138">
        <f t="shared" si="21"/>
        <v>-2745000</v>
      </c>
      <c r="V197" s="138">
        <f t="shared" si="21"/>
        <v>-2745000</v>
      </c>
      <c r="W197" s="138">
        <f t="shared" si="21"/>
        <v>-2745000</v>
      </c>
      <c r="X197" s="138">
        <f t="shared" si="21"/>
        <v>-2745000</v>
      </c>
      <c r="Y197" s="138">
        <f t="shared" si="21"/>
        <v>-2745000</v>
      </c>
      <c r="Z197" s="23"/>
    </row>
    <row r="198" spans="1:26" x14ac:dyDescent="0.2">
      <c r="C198" s="185">
        <v>5</v>
      </c>
      <c r="D198" s="185" t="str">
        <f>G198</f>
        <v>Personnel</v>
      </c>
      <c r="E198" s="185"/>
      <c r="F198" s="14"/>
      <c r="G198" s="15" t="s">
        <v>190</v>
      </c>
      <c r="H198" s="26"/>
      <c r="I198" s="83"/>
      <c r="J198" s="140"/>
      <c r="K198" s="138">
        <f>-$L$134*K172*K174*$I$171</f>
        <v>-2578500</v>
      </c>
      <c r="L198" s="138">
        <f t="shared" ref="L198:Y198" si="22">-$L$134*L172*L174*$I$171</f>
        <v>-3438000</v>
      </c>
      <c r="M198" s="138">
        <f t="shared" si="22"/>
        <v>-3438000</v>
      </c>
      <c r="N198" s="138">
        <f t="shared" si="22"/>
        <v>-3438000</v>
      </c>
      <c r="O198" s="138">
        <f t="shared" si="22"/>
        <v>-3438000</v>
      </c>
      <c r="P198" s="138">
        <f t="shared" si="22"/>
        <v>-3438000</v>
      </c>
      <c r="Q198" s="138">
        <f t="shared" si="22"/>
        <v>-3438000</v>
      </c>
      <c r="R198" s="138">
        <f t="shared" si="22"/>
        <v>-3438000</v>
      </c>
      <c r="S198" s="138">
        <f t="shared" si="22"/>
        <v>-3438000</v>
      </c>
      <c r="T198" s="138">
        <f t="shared" si="22"/>
        <v>-3438000</v>
      </c>
      <c r="U198" s="138">
        <f t="shared" si="22"/>
        <v>-3438000</v>
      </c>
      <c r="V198" s="138">
        <f t="shared" si="22"/>
        <v>-3438000</v>
      </c>
      <c r="W198" s="138">
        <f t="shared" si="22"/>
        <v>-3438000</v>
      </c>
      <c r="X198" s="138">
        <f t="shared" si="22"/>
        <v>-3438000</v>
      </c>
      <c r="Y198" s="138">
        <f t="shared" si="22"/>
        <v>-3438000</v>
      </c>
      <c r="Z198" s="23"/>
    </row>
    <row r="199" spans="1:26" x14ac:dyDescent="0.2">
      <c r="C199" s="185">
        <v>6</v>
      </c>
      <c r="D199" s="185" t="s">
        <v>448</v>
      </c>
      <c r="E199" s="185"/>
      <c r="F199" s="14"/>
      <c r="G199" s="15" t="s">
        <v>288</v>
      </c>
      <c r="H199" s="26"/>
      <c r="I199" s="83"/>
      <c r="J199" s="140"/>
      <c r="K199" s="138">
        <f>-$L$156*K172*K174*$I$171</f>
        <v>-1189306.40625</v>
      </c>
      <c r="L199" s="138">
        <f t="shared" ref="L199:Y199" si="23">-$L$156*L172*L174*$I$171</f>
        <v>-1585741.875</v>
      </c>
      <c r="M199" s="138">
        <f t="shared" si="23"/>
        <v>-1585741.875</v>
      </c>
      <c r="N199" s="138">
        <f t="shared" si="23"/>
        <v>-1585741.875</v>
      </c>
      <c r="O199" s="138">
        <f t="shared" si="23"/>
        <v>-1585741.875</v>
      </c>
      <c r="P199" s="138">
        <f t="shared" si="23"/>
        <v>-1585741.875</v>
      </c>
      <c r="Q199" s="138">
        <f t="shared" si="23"/>
        <v>-1585741.875</v>
      </c>
      <c r="R199" s="138">
        <f t="shared" si="23"/>
        <v>-1585741.875</v>
      </c>
      <c r="S199" s="138">
        <f t="shared" si="23"/>
        <v>-1585741.875</v>
      </c>
      <c r="T199" s="138">
        <f t="shared" si="23"/>
        <v>-1585741.875</v>
      </c>
      <c r="U199" s="138">
        <f t="shared" si="23"/>
        <v>-1585741.875</v>
      </c>
      <c r="V199" s="138">
        <f t="shared" si="23"/>
        <v>-1585741.875</v>
      </c>
      <c r="W199" s="138">
        <f t="shared" si="23"/>
        <v>-1585741.875</v>
      </c>
      <c r="X199" s="138">
        <f t="shared" si="23"/>
        <v>-1585741.875</v>
      </c>
      <c r="Y199" s="138">
        <f t="shared" si="23"/>
        <v>-1585741.875</v>
      </c>
      <c r="Z199" s="23"/>
    </row>
    <row r="200" spans="1:26" x14ac:dyDescent="0.2">
      <c r="C200" s="14"/>
      <c r="D200" s="14"/>
      <c r="E200" s="14"/>
      <c r="F200" s="14"/>
      <c r="G200" s="15" t="s">
        <v>289</v>
      </c>
      <c r="H200" s="26"/>
      <c r="I200" s="83"/>
      <c r="J200" s="140"/>
      <c r="K200" s="138"/>
      <c r="L200" s="138"/>
      <c r="M200" s="138"/>
      <c r="N200" s="138"/>
      <c r="O200" s="138"/>
      <c r="P200" s="138"/>
      <c r="Q200" s="138"/>
      <c r="R200" s="138"/>
      <c r="S200" s="138"/>
      <c r="T200" s="138"/>
      <c r="U200" s="138"/>
      <c r="V200" s="138"/>
      <c r="W200" s="138"/>
      <c r="X200" s="138"/>
      <c r="Y200" s="139"/>
      <c r="Z200" s="23"/>
    </row>
    <row r="201" spans="1:26" x14ac:dyDescent="0.2">
      <c r="C201" s="14"/>
      <c r="D201" s="14"/>
      <c r="E201" s="14"/>
      <c r="F201" s="14"/>
      <c r="G201" s="656" t="s">
        <v>247</v>
      </c>
      <c r="H201" s="26"/>
      <c r="I201" s="83"/>
      <c r="J201" s="140"/>
      <c r="K201" s="20"/>
      <c r="L201" s="23"/>
      <c r="M201" s="23"/>
      <c r="N201" s="23"/>
      <c r="O201" s="23"/>
      <c r="P201" s="23"/>
      <c r="Q201" s="23"/>
      <c r="R201" s="23"/>
      <c r="S201" s="23"/>
      <c r="T201" s="23"/>
      <c r="U201" s="23"/>
      <c r="V201" s="23"/>
      <c r="W201" s="23"/>
      <c r="X201" s="23"/>
      <c r="Y201" s="140"/>
      <c r="Z201" s="23"/>
    </row>
    <row r="202" spans="1:26" s="259" customFormat="1" x14ac:dyDescent="0.2">
      <c r="A202" s="259" t="s">
        <v>715</v>
      </c>
      <c r="B202" s="259" t="s">
        <v>692</v>
      </c>
      <c r="C202" s="185">
        <v>4</v>
      </c>
      <c r="D202" s="185" t="s">
        <v>218</v>
      </c>
      <c r="E202" s="269"/>
      <c r="F202" s="269"/>
      <c r="G202" s="272" t="s">
        <v>275</v>
      </c>
      <c r="H202" s="271"/>
      <c r="I202" s="322"/>
      <c r="J202" s="321"/>
      <c r="K202" s="325">
        <f>-K219*10^6</f>
        <v>-1478606.2500000002</v>
      </c>
      <c r="L202" s="325">
        <f t="shared" ref="L202:Y202" si="24">-L219*10^6</f>
        <v>-1478606.2500000002</v>
      </c>
      <c r="M202" s="325">
        <f t="shared" si="24"/>
        <v>-1478606.2500000002</v>
      </c>
      <c r="N202" s="325">
        <f t="shared" si="24"/>
        <v>-1478606.2500000002</v>
      </c>
      <c r="O202" s="325">
        <f t="shared" si="24"/>
        <v>-1478606.2500000002</v>
      </c>
      <c r="P202" s="325">
        <f t="shared" si="24"/>
        <v>-1478606.2500000002</v>
      </c>
      <c r="Q202" s="325">
        <f t="shared" si="24"/>
        <v>-1478606.2500000002</v>
      </c>
      <c r="R202" s="325">
        <f t="shared" si="24"/>
        <v>-1478606.2500000002</v>
      </c>
      <c r="S202" s="325">
        <f t="shared" si="24"/>
        <v>-1478606.2500000002</v>
      </c>
      <c r="T202" s="325">
        <f t="shared" si="24"/>
        <v>-1478606.2500000002</v>
      </c>
      <c r="U202" s="325">
        <f t="shared" si="24"/>
        <v>-1478606.2500000002</v>
      </c>
      <c r="V202" s="325">
        <f t="shared" si="24"/>
        <v>-1478606.2500000002</v>
      </c>
      <c r="W202" s="325">
        <f t="shared" si="24"/>
        <v>-1478606.2500000002</v>
      </c>
      <c r="X202" s="325">
        <f t="shared" si="24"/>
        <v>-1478606.2500000002</v>
      </c>
      <c r="Y202" s="325">
        <f t="shared" si="24"/>
        <v>-1478606.2500000002</v>
      </c>
      <c r="Z202" s="287"/>
    </row>
    <row r="203" spans="1:26" x14ac:dyDescent="0.2">
      <c r="C203" s="14"/>
      <c r="D203" s="14"/>
      <c r="E203" s="14"/>
      <c r="F203" s="14"/>
      <c r="G203" s="23" t="s">
        <v>290</v>
      </c>
      <c r="H203" s="26"/>
      <c r="I203" s="83"/>
      <c r="J203" s="140"/>
      <c r="K203" s="144">
        <f>SUM(K187:K199)</f>
        <v>3754427.4825080577</v>
      </c>
      <c r="L203" s="144">
        <f t="shared" ref="L203:Y203" si="25">SUM(L187:L199)</f>
        <v>5005903.3100107312</v>
      </c>
      <c r="M203" s="144">
        <f t="shared" si="25"/>
        <v>5005903.3100107312</v>
      </c>
      <c r="N203" s="144">
        <f t="shared" si="25"/>
        <v>5005903.3100107312</v>
      </c>
      <c r="O203" s="144">
        <f t="shared" si="25"/>
        <v>5005903.3100107312</v>
      </c>
      <c r="P203" s="144">
        <f t="shared" si="25"/>
        <v>5005903.3100107312</v>
      </c>
      <c r="Q203" s="144">
        <f t="shared" si="25"/>
        <v>5005903.3100107312</v>
      </c>
      <c r="R203" s="144">
        <f t="shared" si="25"/>
        <v>5005903.3100107312</v>
      </c>
      <c r="S203" s="144">
        <f t="shared" si="25"/>
        <v>5005903.3100107312</v>
      </c>
      <c r="T203" s="144">
        <f t="shared" si="25"/>
        <v>5005903.3100107312</v>
      </c>
      <c r="U203" s="144">
        <f t="shared" si="25"/>
        <v>5005903.3100107312</v>
      </c>
      <c r="V203" s="144">
        <f t="shared" si="25"/>
        <v>5005903.3100107312</v>
      </c>
      <c r="W203" s="144">
        <f t="shared" si="25"/>
        <v>5005903.3100107312</v>
      </c>
      <c r="X203" s="144">
        <f t="shared" si="25"/>
        <v>5005903.3100107312</v>
      </c>
      <c r="Y203" s="144">
        <f t="shared" si="25"/>
        <v>5005903.3100107312</v>
      </c>
      <c r="Z203" s="23"/>
    </row>
    <row r="204" spans="1:26" x14ac:dyDescent="0.2">
      <c r="C204" s="14"/>
      <c r="D204" s="14"/>
      <c r="E204" s="14"/>
      <c r="F204" s="14"/>
      <c r="G204" s="5"/>
      <c r="H204" s="26"/>
      <c r="I204" s="14"/>
      <c r="J204" s="19"/>
      <c r="K204" s="27"/>
      <c r="L204" s="5"/>
      <c r="M204" s="5"/>
      <c r="N204" s="5"/>
      <c r="O204" s="5"/>
      <c r="P204" s="5"/>
      <c r="Q204" s="5"/>
      <c r="R204" s="5"/>
      <c r="S204" s="5"/>
      <c r="T204" s="5"/>
      <c r="U204" s="5"/>
      <c r="V204" s="5"/>
      <c r="W204" s="5"/>
      <c r="X204" s="5"/>
      <c r="Y204" s="19"/>
    </row>
    <row r="205" spans="1:26" x14ac:dyDescent="0.2">
      <c r="C205" s="14"/>
      <c r="D205" s="14"/>
      <c r="E205" s="14"/>
      <c r="F205" s="8">
        <v>14</v>
      </c>
      <c r="G205" s="33" t="s">
        <v>291</v>
      </c>
      <c r="H205" s="34" t="s">
        <v>681</v>
      </c>
      <c r="I205" s="135" t="s">
        <v>249</v>
      </c>
      <c r="J205" s="63" t="s">
        <v>250</v>
      </c>
      <c r="K205" s="10" t="s">
        <v>251</v>
      </c>
      <c r="L205" s="10" t="s">
        <v>252</v>
      </c>
      <c r="M205" s="10" t="s">
        <v>253</v>
      </c>
      <c r="N205" s="10" t="s">
        <v>254</v>
      </c>
      <c r="O205" s="10" t="s">
        <v>255</v>
      </c>
      <c r="P205" s="10" t="s">
        <v>256</v>
      </c>
      <c r="Q205" s="10" t="s">
        <v>257</v>
      </c>
      <c r="R205" s="10" t="s">
        <v>258</v>
      </c>
      <c r="S205" s="10" t="s">
        <v>259</v>
      </c>
      <c r="T205" s="10" t="s">
        <v>260</v>
      </c>
      <c r="U205" s="10" t="s">
        <v>261</v>
      </c>
      <c r="V205" s="10" t="s">
        <v>262</v>
      </c>
      <c r="W205" s="10" t="s">
        <v>263</v>
      </c>
      <c r="X205" s="10" t="s">
        <v>264</v>
      </c>
      <c r="Y205" s="63" t="s">
        <v>265</v>
      </c>
    </row>
    <row r="206" spans="1:26" x14ac:dyDescent="0.2">
      <c r="C206" s="5"/>
      <c r="D206" s="5"/>
      <c r="E206" s="5"/>
      <c r="F206" s="14"/>
      <c r="G206" s="15" t="s">
        <v>292</v>
      </c>
      <c r="H206" s="145">
        <v>10</v>
      </c>
      <c r="I206" s="146">
        <f>(I$178*$H206*$I$174*$I$177)*($I$14/$I$175)^I176</f>
        <v>4</v>
      </c>
      <c r="J206" s="147">
        <f>J$178*$H206*$J$174*$I$177*($I$14/$I$175)^I176</f>
        <v>6</v>
      </c>
      <c r="K206" s="27"/>
      <c r="L206" s="5"/>
      <c r="M206" s="5"/>
      <c r="N206" s="5"/>
      <c r="O206" s="5"/>
      <c r="P206" s="5"/>
      <c r="Q206" s="5"/>
      <c r="R206" s="5"/>
      <c r="S206" s="5"/>
      <c r="T206" s="5"/>
      <c r="U206" s="5"/>
      <c r="V206" s="5"/>
      <c r="W206" s="5"/>
      <c r="X206" s="5"/>
      <c r="Y206" s="19"/>
    </row>
    <row r="207" spans="1:26" x14ac:dyDescent="0.2">
      <c r="C207" s="5"/>
      <c r="D207" s="5"/>
      <c r="E207" s="5"/>
      <c r="F207" s="14"/>
      <c r="G207" s="15" t="s">
        <v>293</v>
      </c>
      <c r="H207" s="145">
        <v>18</v>
      </c>
      <c r="I207" s="146">
        <f>I$178*$H207*$I$174*$I$177*($I$14/$I$175)^I176</f>
        <v>7.2</v>
      </c>
      <c r="J207" s="147">
        <f>J$178*$H207*$J$174*$I$177*($I$14/$I$175)^I176</f>
        <v>10.799999999999999</v>
      </c>
      <c r="K207" s="27"/>
      <c r="L207" s="5"/>
      <c r="M207" s="5"/>
      <c r="N207" s="5"/>
      <c r="O207" s="5"/>
      <c r="P207" s="5"/>
      <c r="Q207" s="5"/>
      <c r="R207" s="5"/>
      <c r="S207" s="5"/>
      <c r="T207" s="5"/>
      <c r="U207" s="5"/>
      <c r="V207" s="5"/>
      <c r="W207" s="5"/>
      <c r="X207" s="5"/>
      <c r="Y207" s="19"/>
    </row>
    <row r="208" spans="1:26" x14ac:dyDescent="0.2">
      <c r="C208" s="5"/>
      <c r="D208" s="5"/>
      <c r="E208" s="5"/>
      <c r="F208" s="14"/>
      <c r="G208" s="15" t="s">
        <v>294</v>
      </c>
      <c r="H208" s="145">
        <v>23</v>
      </c>
      <c r="I208" s="146">
        <f>I$178*$H208*$I$174*$I$177*($I$14/$I$175)^I176</f>
        <v>9.2000000000000011</v>
      </c>
      <c r="J208" s="147">
        <f>J$178*$H208*$J$174*$I$177*($I$14/$I$175)^I176</f>
        <v>13.799999999999999</v>
      </c>
      <c r="K208" s="27"/>
      <c r="L208" s="5"/>
      <c r="M208" s="5"/>
      <c r="N208" s="5"/>
      <c r="O208" s="5"/>
      <c r="P208" s="5"/>
      <c r="Q208" s="5"/>
      <c r="R208" s="5"/>
      <c r="S208" s="5"/>
      <c r="T208" s="5"/>
      <c r="U208" s="5"/>
      <c r="V208" s="5"/>
      <c r="W208" s="5"/>
      <c r="X208" s="5"/>
      <c r="Y208" s="19"/>
    </row>
    <row r="209" spans="3:26" x14ac:dyDescent="0.2">
      <c r="C209" s="5"/>
      <c r="D209" s="5"/>
      <c r="E209" s="5"/>
      <c r="F209" s="14"/>
      <c r="G209" s="15" t="s">
        <v>295</v>
      </c>
      <c r="H209" s="145">
        <v>5</v>
      </c>
      <c r="I209" s="146">
        <f>I$178*$H209*$I$174*$I$177*($I$14/$I$175)^I176</f>
        <v>2</v>
      </c>
      <c r="J209" s="147">
        <f>J$178*$H209*$J$174*$I$177*($I$14/$I$175)^I176</f>
        <v>3</v>
      </c>
      <c r="K209" s="27"/>
      <c r="L209" s="5"/>
      <c r="M209" s="5"/>
      <c r="N209" s="5"/>
      <c r="O209" s="5"/>
      <c r="P209" s="5"/>
      <c r="Q209" s="5"/>
      <c r="R209" s="5"/>
      <c r="S209" s="5"/>
      <c r="T209" s="5"/>
      <c r="U209" s="5"/>
      <c r="V209" s="5"/>
      <c r="W209" s="5"/>
      <c r="X209" s="5"/>
      <c r="Y209" s="19"/>
    </row>
    <row r="210" spans="3:26" x14ac:dyDescent="0.2">
      <c r="C210" s="5"/>
      <c r="D210" s="5"/>
      <c r="E210" s="54">
        <v>0</v>
      </c>
      <c r="F210" s="14"/>
      <c r="G210" s="15" t="s">
        <v>296</v>
      </c>
      <c r="H210" s="145">
        <v>17</v>
      </c>
      <c r="I210" s="146">
        <f>I$178*$H210*$I$174*$I$177*($I$14/$I$175)^I176</f>
        <v>6.8000000000000007</v>
      </c>
      <c r="J210" s="147">
        <f>J$178*$H210*$J$174*$I$177*($I$14/$I$175)^I176</f>
        <v>10.199999999999999</v>
      </c>
      <c r="K210" s="27"/>
      <c r="L210" s="5"/>
      <c r="M210" s="5"/>
      <c r="N210" s="5"/>
      <c r="O210" s="5"/>
      <c r="P210" s="5"/>
      <c r="Q210" s="5"/>
      <c r="R210" s="5"/>
      <c r="S210" s="5"/>
      <c r="T210" s="5"/>
      <c r="U210" s="5"/>
      <c r="V210" s="5"/>
      <c r="W210" s="5"/>
      <c r="X210" s="5"/>
      <c r="Y210" s="19"/>
    </row>
    <row r="211" spans="3:26" x14ac:dyDescent="0.2">
      <c r="C211" s="5"/>
      <c r="D211" s="5"/>
      <c r="E211" s="5"/>
      <c r="F211" s="14"/>
      <c r="G211" s="15" t="s">
        <v>167</v>
      </c>
      <c r="H211" s="145">
        <v>11</v>
      </c>
      <c r="I211" s="146">
        <f>I$178*$H211*$I$174*$I$177*($I$14/$I$175)^I176</f>
        <v>4.4000000000000004</v>
      </c>
      <c r="J211" s="147">
        <f>J$178*$H211*$J$174*$I$177*($I$14/$I$175)^I176</f>
        <v>6.6</v>
      </c>
      <c r="K211" s="27"/>
      <c r="L211" s="5"/>
      <c r="M211" s="5"/>
      <c r="N211" s="5"/>
      <c r="O211" s="5"/>
      <c r="P211" s="5"/>
      <c r="Q211" s="5"/>
      <c r="R211" s="5"/>
      <c r="S211" s="5"/>
      <c r="T211" s="5"/>
      <c r="U211" s="5"/>
      <c r="V211" s="5"/>
      <c r="W211" s="5"/>
      <c r="X211" s="5"/>
      <c r="Y211" s="19"/>
    </row>
    <row r="212" spans="3:26" x14ac:dyDescent="0.2">
      <c r="C212" s="5"/>
      <c r="D212" s="5"/>
      <c r="E212" s="5"/>
      <c r="F212" s="14"/>
      <c r="G212" s="15" t="s">
        <v>297</v>
      </c>
      <c r="H212" s="145">
        <v>7.5</v>
      </c>
      <c r="I212" s="146">
        <f>I$178*$H212*$I$174*$I$177*($I$14/$I$175)^I176</f>
        <v>3</v>
      </c>
      <c r="J212" s="147">
        <f>J$178*$H212*$J$174*$I$177*($I$14/$I$175)^I176</f>
        <v>4.5</v>
      </c>
      <c r="K212" s="27"/>
      <c r="L212" s="5"/>
      <c r="M212" s="5"/>
      <c r="N212" s="5"/>
      <c r="O212" s="5"/>
      <c r="P212" s="5"/>
      <c r="Q212" s="5"/>
      <c r="R212" s="5"/>
      <c r="S212" s="5"/>
      <c r="T212" s="5"/>
      <c r="U212" s="5"/>
      <c r="V212" s="5"/>
      <c r="W212" s="5"/>
      <c r="X212" s="5"/>
      <c r="Y212" s="19"/>
    </row>
    <row r="213" spans="3:26" x14ac:dyDescent="0.2">
      <c r="C213" s="5"/>
      <c r="D213" s="5"/>
      <c r="E213" s="5"/>
      <c r="F213" s="14"/>
      <c r="G213" s="15" t="s">
        <v>366</v>
      </c>
      <c r="H213" s="145">
        <v>5</v>
      </c>
      <c r="I213" s="651">
        <f>I$178*$H213*$I$174*$I$177*($I$14/$I$175)^I176</f>
        <v>2</v>
      </c>
      <c r="J213" s="652">
        <f>J$178*$H213*$J$174*$I$177*($I$14/$I$175)^I176</f>
        <v>3</v>
      </c>
      <c r="K213" s="630"/>
      <c r="L213" s="5"/>
      <c r="M213" s="5"/>
      <c r="N213" s="5"/>
      <c r="O213" s="5"/>
      <c r="P213" s="5"/>
      <c r="Q213" s="5"/>
      <c r="R213" s="5"/>
      <c r="S213" s="5"/>
      <c r="T213" s="5"/>
      <c r="U213" s="5"/>
      <c r="V213" s="5"/>
      <c r="W213" s="5"/>
      <c r="X213" s="5"/>
      <c r="Y213" s="19"/>
    </row>
    <row r="214" spans="3:26" x14ac:dyDescent="0.2">
      <c r="C214" s="5"/>
      <c r="D214" s="5"/>
      <c r="E214" s="5"/>
      <c r="F214" s="14"/>
      <c r="G214" s="15" t="s">
        <v>298</v>
      </c>
      <c r="H214" s="16">
        <v>0.125</v>
      </c>
      <c r="I214" s="651">
        <f>$H$214*SUM(I206:I213)</f>
        <v>4.8250000000000002</v>
      </c>
      <c r="J214" s="652">
        <f>$H$214*SUM(J206:J213)</f>
        <v>7.2374999999999998</v>
      </c>
      <c r="K214" s="622" t="s">
        <v>367</v>
      </c>
      <c r="M214" s="5"/>
      <c r="N214" s="5"/>
      <c r="O214" s="5"/>
      <c r="P214" s="5"/>
      <c r="Q214" s="5"/>
      <c r="R214" s="5"/>
      <c r="S214" s="5"/>
      <c r="T214" s="5"/>
      <c r="U214" s="5"/>
      <c r="V214" s="5"/>
      <c r="W214" s="5"/>
      <c r="X214" s="5"/>
      <c r="Y214" s="19"/>
    </row>
    <row r="215" spans="3:26" x14ac:dyDescent="0.2">
      <c r="C215" s="5"/>
      <c r="D215" s="5"/>
      <c r="E215" s="5"/>
      <c r="F215" s="14"/>
      <c r="G215" s="15" t="s">
        <v>368</v>
      </c>
      <c r="H215" s="16">
        <v>0.1</v>
      </c>
      <c r="I215" s="651">
        <f>$H$215*SUM(I206:I214)</f>
        <v>4.3425000000000002</v>
      </c>
      <c r="J215" s="652">
        <f>$H$215*SUM(J206:J214)</f>
        <v>6.5137500000000008</v>
      </c>
      <c r="K215" s="636" t="s">
        <v>369</v>
      </c>
      <c r="L215" s="15"/>
      <c r="M215" s="5"/>
      <c r="N215" s="5"/>
      <c r="O215" s="5"/>
      <c r="P215" s="5"/>
      <c r="Q215" s="5"/>
      <c r="R215" s="5"/>
      <c r="S215" s="5"/>
      <c r="T215" s="5"/>
      <c r="U215" s="5"/>
      <c r="V215" s="5"/>
      <c r="W215" s="5"/>
      <c r="X215" s="5"/>
      <c r="Y215" s="19"/>
    </row>
    <row r="216" spans="3:26" x14ac:dyDescent="0.2">
      <c r="C216" s="5"/>
      <c r="D216" s="5"/>
      <c r="E216" s="5"/>
      <c r="F216" s="14"/>
      <c r="G216" s="15" t="s">
        <v>370</v>
      </c>
      <c r="H216" s="145">
        <v>5</v>
      </c>
      <c r="I216" s="651">
        <f>H216</f>
        <v>5</v>
      </c>
      <c r="J216" s="652"/>
      <c r="K216" s="635" t="s">
        <v>371</v>
      </c>
      <c r="L216" s="5"/>
      <c r="M216" s="5"/>
      <c r="N216" s="5"/>
      <c r="O216" s="5"/>
      <c r="P216" s="5"/>
      <c r="Q216" s="5"/>
      <c r="R216" s="5"/>
      <c r="S216" s="5"/>
      <c r="T216" s="5"/>
      <c r="U216" s="5"/>
      <c r="V216" s="5"/>
      <c r="W216" s="5"/>
      <c r="X216" s="5"/>
      <c r="Y216" s="19"/>
    </row>
    <row r="217" spans="3:26" x14ac:dyDescent="0.2">
      <c r="C217" s="5"/>
      <c r="D217" s="5"/>
      <c r="E217" s="5"/>
      <c r="F217" s="14"/>
      <c r="G217" s="15" t="s">
        <v>372</v>
      </c>
      <c r="H217" s="145">
        <v>10</v>
      </c>
      <c r="I217" s="651">
        <f>I$178*$H217*$I$174*$I$177</f>
        <v>4</v>
      </c>
      <c r="J217" s="652">
        <f>J$178*$H217*$J$174*$I$177</f>
        <v>6</v>
      </c>
      <c r="K217" s="630"/>
      <c r="L217" s="5"/>
      <c r="M217" s="5"/>
      <c r="N217" s="5"/>
      <c r="O217" s="5"/>
      <c r="P217" s="5"/>
      <c r="Q217" s="5"/>
      <c r="R217" s="5"/>
      <c r="S217" s="5"/>
      <c r="T217" s="5"/>
      <c r="U217" s="5"/>
      <c r="V217" s="5"/>
      <c r="W217" s="5"/>
      <c r="X217" s="5"/>
      <c r="Y217" s="19"/>
    </row>
    <row r="218" spans="3:26" x14ac:dyDescent="0.2">
      <c r="C218" s="5"/>
      <c r="D218" s="5"/>
      <c r="E218" s="5"/>
      <c r="F218" s="14"/>
      <c r="G218" s="15" t="s">
        <v>299</v>
      </c>
      <c r="H218" s="148">
        <v>0.1</v>
      </c>
      <c r="I218" s="651">
        <f>$H$218*SUM(I206:I217)</f>
        <v>5.6767500000000011</v>
      </c>
      <c r="J218" s="652">
        <f>$H$218*SUM(J206:J217)</f>
        <v>7.7651250000000012</v>
      </c>
      <c r="K218" s="630"/>
      <c r="L218" s="5"/>
      <c r="M218" s="5"/>
      <c r="N218" s="5"/>
      <c r="O218" s="5"/>
      <c r="P218" s="5"/>
      <c r="Q218" s="5"/>
      <c r="R218" s="5"/>
      <c r="S218" s="5"/>
      <c r="T218" s="5"/>
      <c r="U218" s="5"/>
      <c r="V218" s="5"/>
      <c r="W218" s="5"/>
      <c r="X218" s="5"/>
      <c r="Y218" s="19"/>
    </row>
    <row r="219" spans="3:26" x14ac:dyDescent="0.2">
      <c r="C219" s="185"/>
      <c r="D219" s="185"/>
      <c r="E219" s="5"/>
      <c r="F219" s="14"/>
      <c r="G219" s="163" t="s">
        <v>275</v>
      </c>
      <c r="H219" s="15" t="s">
        <v>300</v>
      </c>
      <c r="I219" s="657"/>
      <c r="J219" s="658"/>
      <c r="K219" s="653">
        <f>K174*K179*SUM($I$220:$J$220)</f>
        <v>1.4786062500000001</v>
      </c>
      <c r="L219" s="653">
        <f t="shared" ref="L219:Y219" si="26">L174*L179*SUM($I$220:$J$220)</f>
        <v>1.4786062500000001</v>
      </c>
      <c r="M219" s="653">
        <f t="shared" si="26"/>
        <v>1.4786062500000001</v>
      </c>
      <c r="N219" s="653">
        <f t="shared" si="26"/>
        <v>1.4786062500000001</v>
      </c>
      <c r="O219" s="653">
        <f t="shared" si="26"/>
        <v>1.4786062500000001</v>
      </c>
      <c r="P219" s="653">
        <f t="shared" si="26"/>
        <v>1.4786062500000001</v>
      </c>
      <c r="Q219" s="653">
        <f t="shared" si="26"/>
        <v>1.4786062500000001</v>
      </c>
      <c r="R219" s="653">
        <f t="shared" si="26"/>
        <v>1.4786062500000001</v>
      </c>
      <c r="S219" s="653">
        <f t="shared" si="26"/>
        <v>1.4786062500000001</v>
      </c>
      <c r="T219" s="653">
        <f t="shared" si="26"/>
        <v>1.4786062500000001</v>
      </c>
      <c r="U219" s="653">
        <f t="shared" si="26"/>
        <v>1.4786062500000001</v>
      </c>
      <c r="V219" s="653">
        <f t="shared" si="26"/>
        <v>1.4786062500000001</v>
      </c>
      <c r="W219" s="653">
        <f t="shared" si="26"/>
        <v>1.4786062500000001</v>
      </c>
      <c r="X219" s="653">
        <f t="shared" si="26"/>
        <v>1.4786062500000001</v>
      </c>
      <c r="Y219" s="653">
        <f t="shared" si="26"/>
        <v>1.4786062500000001</v>
      </c>
      <c r="Z219" s="149">
        <f>Z174*Z179*SUM($I$220:Y220)</f>
        <v>0</v>
      </c>
    </row>
    <row r="220" spans="3:26" x14ac:dyDescent="0.2">
      <c r="C220" s="5"/>
      <c r="D220" s="5"/>
      <c r="E220" s="5"/>
      <c r="F220" s="14"/>
      <c r="G220" s="23" t="s">
        <v>301</v>
      </c>
      <c r="H220" s="26"/>
      <c r="I220" s="659">
        <f t="shared" ref="I220:Y220" si="27">SUM(I206:I219)</f>
        <v>62.444250000000004</v>
      </c>
      <c r="J220" s="660">
        <f t="shared" si="27"/>
        <v>85.416375000000002</v>
      </c>
      <c r="K220" s="654">
        <f t="shared" si="27"/>
        <v>1.4786062500000001</v>
      </c>
      <c r="L220" s="151">
        <f t="shared" si="27"/>
        <v>1.4786062500000001</v>
      </c>
      <c r="M220" s="151">
        <f t="shared" si="27"/>
        <v>1.4786062500000001</v>
      </c>
      <c r="N220" s="151">
        <f t="shared" si="27"/>
        <v>1.4786062500000001</v>
      </c>
      <c r="O220" s="151">
        <f t="shared" si="27"/>
        <v>1.4786062500000001</v>
      </c>
      <c r="P220" s="151">
        <f t="shared" si="27"/>
        <v>1.4786062500000001</v>
      </c>
      <c r="Q220" s="151">
        <f t="shared" si="27"/>
        <v>1.4786062500000001</v>
      </c>
      <c r="R220" s="151">
        <f t="shared" si="27"/>
        <v>1.4786062500000001</v>
      </c>
      <c r="S220" s="151">
        <f t="shared" si="27"/>
        <v>1.4786062500000001</v>
      </c>
      <c r="T220" s="151">
        <f t="shared" si="27"/>
        <v>1.4786062500000001</v>
      </c>
      <c r="U220" s="151">
        <f t="shared" si="27"/>
        <v>1.4786062500000001</v>
      </c>
      <c r="V220" s="151">
        <f t="shared" si="27"/>
        <v>1.4786062500000001</v>
      </c>
      <c r="W220" s="151">
        <f t="shared" si="27"/>
        <v>1.4786062500000001</v>
      </c>
      <c r="X220" s="151">
        <f t="shared" si="27"/>
        <v>1.4786062500000001</v>
      </c>
      <c r="Y220" s="150">
        <f t="shared" si="27"/>
        <v>1.4786062500000001</v>
      </c>
    </row>
    <row r="221" spans="3:26" x14ac:dyDescent="0.2">
      <c r="C221" s="5"/>
      <c r="D221" s="5"/>
      <c r="E221" s="5"/>
      <c r="F221" s="14"/>
      <c r="G221" s="5"/>
      <c r="H221" s="26"/>
      <c r="I221" s="196"/>
      <c r="J221" s="19"/>
      <c r="K221" s="27"/>
      <c r="L221" s="5"/>
      <c r="M221" s="5"/>
      <c r="N221" s="5"/>
      <c r="O221" s="5"/>
      <c r="P221" s="5"/>
      <c r="Q221" s="5"/>
      <c r="R221" s="5"/>
      <c r="S221" s="5"/>
      <c r="T221" s="5"/>
      <c r="U221" s="5"/>
      <c r="V221" s="5"/>
      <c r="W221" s="5"/>
      <c r="X221" s="5"/>
      <c r="Y221" s="19"/>
    </row>
    <row r="222" spans="3:26" x14ac:dyDescent="0.2">
      <c r="C222" s="5"/>
      <c r="D222" s="5"/>
      <c r="E222" s="5"/>
      <c r="F222" s="28"/>
      <c r="G222" s="29"/>
      <c r="H222" s="30"/>
      <c r="I222" s="28"/>
      <c r="J222" s="32"/>
      <c r="K222" s="31"/>
      <c r="L222" s="29"/>
      <c r="M222" s="29"/>
      <c r="N222" s="29"/>
      <c r="O222" s="29"/>
      <c r="P222" s="29"/>
      <c r="Q222" s="29"/>
      <c r="R222" s="29"/>
      <c r="S222" s="29"/>
      <c r="T222" s="29"/>
      <c r="U222" s="29"/>
      <c r="V222" s="29"/>
      <c r="W222" s="29"/>
      <c r="X222" s="29"/>
      <c r="Y222" s="32"/>
    </row>
    <row r="223" spans="3:26" x14ac:dyDescent="0.2">
      <c r="C223" s="5"/>
      <c r="D223" s="5"/>
      <c r="E223" s="5"/>
      <c r="F223" s="5"/>
      <c r="J223" s="5"/>
      <c r="K223" s="27"/>
      <c r="L223" s="5"/>
      <c r="M223" s="5"/>
      <c r="N223" s="5"/>
      <c r="O223" s="5"/>
      <c r="P223" s="5"/>
      <c r="Q223" s="5"/>
      <c r="R223" s="5"/>
      <c r="S223" s="5"/>
    </row>
    <row r="224" spans="3:26" x14ac:dyDescent="0.2">
      <c r="C224" s="5"/>
      <c r="D224" s="5"/>
      <c r="E224" s="5"/>
      <c r="F224" s="5"/>
      <c r="J224" s="5"/>
      <c r="K224" s="27"/>
      <c r="L224" s="5"/>
      <c r="M224" s="5"/>
      <c r="N224" s="5"/>
      <c r="O224" s="5"/>
      <c r="P224" s="5"/>
      <c r="Q224" s="5"/>
      <c r="R224" s="5"/>
      <c r="S224" s="5"/>
    </row>
    <row r="225" spans="3:19" x14ac:dyDescent="0.2">
      <c r="C225" s="5"/>
      <c r="D225" s="5"/>
      <c r="E225" s="5"/>
      <c r="F225" s="5"/>
      <c r="J225" s="5"/>
      <c r="K225" s="27"/>
      <c r="L225" s="5"/>
      <c r="M225" s="5"/>
      <c r="N225" s="5"/>
      <c r="O225" s="5"/>
      <c r="P225" s="5"/>
      <c r="Q225" s="5"/>
      <c r="R225" s="5"/>
      <c r="S225" s="5"/>
    </row>
    <row r="226" spans="3:19" x14ac:dyDescent="0.2">
      <c r="H226" s="617"/>
      <c r="I226" s="617"/>
      <c r="J226" s="617"/>
      <c r="K226" s="617"/>
      <c r="L226" s="617"/>
      <c r="M226" s="617"/>
      <c r="N226" s="617"/>
      <c r="O226" s="617"/>
      <c r="P226" s="617"/>
      <c r="Q226" s="617"/>
      <c r="R226" s="617"/>
      <c r="S226" s="617"/>
    </row>
    <row r="227" spans="3:19" x14ac:dyDescent="0.2">
      <c r="G227" s="617"/>
      <c r="H227" s="617"/>
      <c r="I227" s="617"/>
      <c r="J227" s="617"/>
      <c r="K227" s="617"/>
      <c r="L227" s="617"/>
      <c r="M227" s="617"/>
      <c r="N227" s="617"/>
      <c r="O227" s="617"/>
      <c r="P227" s="617"/>
      <c r="Q227" s="617"/>
      <c r="R227" s="617"/>
      <c r="S227" s="617"/>
    </row>
    <row r="228" spans="3:19" x14ac:dyDescent="0.2">
      <c r="G228" s="617"/>
      <c r="H228" s="617"/>
      <c r="I228" s="617"/>
      <c r="J228" s="617"/>
      <c r="K228" s="617"/>
      <c r="L228" s="617"/>
      <c r="M228" s="617"/>
      <c r="N228" s="617"/>
      <c r="O228" s="617"/>
      <c r="P228" s="617"/>
      <c r="Q228" s="617"/>
      <c r="R228" s="617"/>
      <c r="S228" s="617"/>
    </row>
    <row r="229" spans="3:19" x14ac:dyDescent="0.2">
      <c r="F229" s="152" t="s">
        <v>0</v>
      </c>
      <c r="G229" s="617"/>
      <c r="H229" s="617"/>
      <c r="I229" s="617"/>
      <c r="J229" s="617"/>
      <c r="K229" s="617"/>
      <c r="L229" s="617"/>
      <c r="M229" s="617"/>
      <c r="N229" s="617"/>
      <c r="O229" s="617"/>
      <c r="P229" s="617"/>
      <c r="Q229" s="617"/>
      <c r="R229" s="617"/>
      <c r="S229" s="617"/>
    </row>
    <row r="230" spans="3:19" x14ac:dyDescent="0.2">
      <c r="F230" s="14"/>
      <c r="G230" s="617"/>
      <c r="H230" s="617"/>
      <c r="I230" s="617"/>
      <c r="J230" s="617"/>
      <c r="K230" s="617"/>
      <c r="L230" s="617"/>
      <c r="M230" s="617"/>
      <c r="N230" s="617"/>
      <c r="O230" s="617"/>
      <c r="P230" s="617"/>
      <c r="Q230" s="617"/>
      <c r="R230" s="617"/>
      <c r="S230" s="617"/>
    </row>
    <row r="231" spans="3:19" x14ac:dyDescent="0.2">
      <c r="F231" s="14"/>
      <c r="G231" s="617"/>
      <c r="H231" s="617"/>
      <c r="I231" s="617"/>
      <c r="J231" s="617"/>
      <c r="K231" s="617"/>
      <c r="L231" s="617"/>
      <c r="M231" s="617"/>
      <c r="N231" s="617"/>
      <c r="O231" s="617"/>
      <c r="P231" s="617"/>
      <c r="Q231" s="617"/>
      <c r="R231" s="617"/>
      <c r="S231" s="617"/>
    </row>
    <row r="232" spans="3:19" x14ac:dyDescent="0.2">
      <c r="F232" s="14"/>
      <c r="G232" s="617"/>
      <c r="H232" s="617"/>
      <c r="I232" s="617"/>
      <c r="J232" s="617"/>
      <c r="K232" s="617"/>
      <c r="L232" s="617"/>
      <c r="M232" s="617"/>
      <c r="N232" s="617"/>
      <c r="O232" s="617"/>
      <c r="P232" s="617"/>
      <c r="Q232" s="617"/>
      <c r="R232" s="617"/>
      <c r="S232" s="617"/>
    </row>
    <row r="233" spans="3:19" x14ac:dyDescent="0.2">
      <c r="F233" s="14"/>
      <c r="G233" s="617"/>
      <c r="H233" s="617"/>
      <c r="I233" s="617"/>
      <c r="J233" s="617"/>
      <c r="K233" s="617"/>
      <c r="L233" s="617"/>
      <c r="M233" s="617"/>
      <c r="N233" s="617"/>
      <c r="O233" s="617"/>
      <c r="P233" s="617"/>
      <c r="Q233" s="617"/>
      <c r="R233" s="617"/>
      <c r="S233" s="617"/>
    </row>
    <row r="234" spans="3:19" x14ac:dyDescent="0.2">
      <c r="F234" s="14"/>
      <c r="G234" s="617"/>
      <c r="H234" s="617"/>
      <c r="I234" s="617"/>
      <c r="J234" s="617"/>
      <c r="K234" s="617"/>
      <c r="L234" s="617"/>
      <c r="M234" s="617"/>
      <c r="N234" s="617"/>
      <c r="O234" s="617"/>
      <c r="P234" s="617"/>
      <c r="Q234" s="617"/>
      <c r="R234" s="617"/>
      <c r="S234" s="617"/>
    </row>
    <row r="235" spans="3:19" x14ac:dyDescent="0.2">
      <c r="F235" s="14"/>
      <c r="G235" s="617"/>
      <c r="H235" s="617"/>
      <c r="I235" s="617"/>
      <c r="J235" s="617"/>
      <c r="K235" s="617"/>
      <c r="L235" s="617"/>
      <c r="M235" s="617"/>
      <c r="N235" s="617"/>
      <c r="O235" s="617"/>
      <c r="P235" s="617"/>
      <c r="Q235" s="617"/>
      <c r="R235" s="617"/>
      <c r="S235" s="617"/>
    </row>
    <row r="236" spans="3:19" x14ac:dyDescent="0.2">
      <c r="F236" s="14"/>
      <c r="G236" s="617"/>
      <c r="H236" s="617"/>
      <c r="I236" s="617"/>
      <c r="J236" s="617"/>
      <c r="K236" s="617"/>
      <c r="L236" s="617"/>
      <c r="M236" s="617"/>
      <c r="N236" s="617"/>
      <c r="O236" s="617"/>
      <c r="P236" s="617"/>
      <c r="Q236" s="617"/>
      <c r="R236" s="617"/>
      <c r="S236" s="617"/>
    </row>
    <row r="237" spans="3:19" x14ac:dyDescent="0.2">
      <c r="F237" s="14"/>
      <c r="G237" s="617"/>
      <c r="H237" s="617"/>
      <c r="I237" s="617"/>
      <c r="J237" s="617"/>
      <c r="K237" s="617"/>
      <c r="L237" s="617"/>
      <c r="M237" s="617"/>
      <c r="N237" s="617"/>
      <c r="O237" s="617"/>
      <c r="P237" s="617"/>
      <c r="Q237" s="617"/>
      <c r="R237" s="617"/>
      <c r="S237" s="617"/>
    </row>
    <row r="238" spans="3:19" x14ac:dyDescent="0.2">
      <c r="F238" s="14"/>
      <c r="G238" s="617"/>
      <c r="H238" s="617"/>
      <c r="I238" s="617"/>
      <c r="J238" s="617"/>
      <c r="K238" s="617"/>
      <c r="L238" s="617"/>
      <c r="M238" s="617"/>
      <c r="N238" s="617"/>
      <c r="O238" s="617"/>
      <c r="P238" s="617"/>
      <c r="Q238" s="617"/>
      <c r="R238" s="617"/>
      <c r="S238" s="617"/>
    </row>
    <row r="239" spans="3:19" x14ac:dyDescent="0.2">
      <c r="F239" s="28"/>
      <c r="G239" s="617"/>
      <c r="H239" s="617"/>
      <c r="I239" s="617"/>
      <c r="J239" s="617"/>
      <c r="K239" s="617"/>
      <c r="L239" s="617"/>
      <c r="M239" s="617"/>
      <c r="N239" s="617"/>
      <c r="O239" s="617"/>
      <c r="P239" s="617"/>
      <c r="Q239" s="617"/>
      <c r="R239" s="617"/>
      <c r="S239" s="617"/>
    </row>
    <row r="240" spans="3:19" x14ac:dyDescent="0.2">
      <c r="F240" s="174" t="s">
        <v>18</v>
      </c>
      <c r="G240" s="617"/>
      <c r="H240" s="617"/>
      <c r="I240" s="617"/>
      <c r="J240" s="617"/>
      <c r="K240" s="617"/>
      <c r="L240" s="617"/>
      <c r="M240" s="617"/>
      <c r="N240" s="617"/>
      <c r="O240" s="617"/>
      <c r="P240" s="617"/>
      <c r="Q240" s="617"/>
      <c r="R240" s="617"/>
      <c r="S240" s="617"/>
    </row>
    <row r="241" spans="6:19" x14ac:dyDescent="0.2">
      <c r="F241" s="14"/>
      <c r="G241" s="617"/>
      <c r="H241" s="617"/>
      <c r="I241" s="617"/>
      <c r="J241" s="617"/>
      <c r="K241" s="617"/>
      <c r="L241" s="617"/>
      <c r="M241" s="617"/>
      <c r="N241" s="617"/>
      <c r="O241" s="617"/>
      <c r="P241" s="617"/>
      <c r="Q241" s="617"/>
      <c r="R241" s="617"/>
      <c r="S241" s="617"/>
    </row>
    <row r="242" spans="6:19" x14ac:dyDescent="0.2">
      <c r="F242" s="14"/>
      <c r="G242" s="617"/>
      <c r="H242" s="617"/>
      <c r="I242" s="617"/>
      <c r="J242" s="617"/>
      <c r="K242" s="617"/>
      <c r="L242" s="617"/>
      <c r="M242" s="617"/>
      <c r="N242" s="617"/>
      <c r="O242" s="617"/>
      <c r="P242" s="617"/>
      <c r="Q242" s="617"/>
      <c r="R242" s="617"/>
      <c r="S242" s="617"/>
    </row>
    <row r="243" spans="6:19" x14ac:dyDescent="0.2">
      <c r="F243" s="14"/>
      <c r="G243" s="617"/>
      <c r="H243" s="617"/>
      <c r="I243" s="617"/>
      <c r="J243" s="617"/>
      <c r="K243" s="617"/>
      <c r="L243" s="617"/>
      <c r="M243" s="617"/>
      <c r="N243" s="617"/>
      <c r="O243" s="617"/>
      <c r="P243" s="617"/>
      <c r="Q243" s="617"/>
      <c r="R243" s="617"/>
      <c r="S243" s="617"/>
    </row>
    <row r="244" spans="6:19" x14ac:dyDescent="0.2">
      <c r="F244" s="14"/>
      <c r="G244" s="617"/>
      <c r="H244" s="617"/>
      <c r="I244" s="617"/>
      <c r="J244" s="617"/>
      <c r="K244" s="617"/>
      <c r="L244" s="617"/>
      <c r="M244" s="617"/>
      <c r="N244" s="617"/>
      <c r="O244" s="617"/>
      <c r="P244" s="617"/>
      <c r="Q244" s="617"/>
      <c r="R244" s="617"/>
      <c r="S244" s="617"/>
    </row>
    <row r="245" spans="6:19" x14ac:dyDescent="0.2">
      <c r="F245" s="14"/>
      <c r="G245" s="617"/>
      <c r="H245" s="617"/>
      <c r="I245" s="617"/>
      <c r="J245" s="617"/>
      <c r="K245" s="617"/>
      <c r="L245" s="617"/>
      <c r="M245" s="617"/>
      <c r="N245" s="617"/>
      <c r="O245" s="617"/>
      <c r="P245" s="617"/>
      <c r="Q245" s="617"/>
      <c r="R245" s="617"/>
      <c r="S245" s="617"/>
    </row>
    <row r="246" spans="6:19" x14ac:dyDescent="0.2">
      <c r="F246" s="14"/>
      <c r="G246" s="617"/>
      <c r="H246" s="617"/>
      <c r="I246" s="617"/>
      <c r="J246" s="617"/>
      <c r="K246" s="617"/>
      <c r="L246" s="617"/>
      <c r="M246" s="617"/>
      <c r="N246" s="617"/>
      <c r="O246" s="617"/>
      <c r="P246" s="617"/>
      <c r="Q246" s="617"/>
      <c r="R246" s="617"/>
      <c r="S246" s="617"/>
    </row>
    <row r="247" spans="6:19" x14ac:dyDescent="0.2">
      <c r="F247" s="14"/>
      <c r="G247" s="617"/>
      <c r="H247" s="617"/>
      <c r="I247" s="617"/>
      <c r="J247" s="617"/>
      <c r="K247" s="617"/>
      <c r="L247" s="617"/>
      <c r="M247" s="617"/>
      <c r="N247" s="617"/>
      <c r="O247" s="617"/>
      <c r="P247" s="617"/>
      <c r="Q247" s="617"/>
      <c r="R247" s="617"/>
      <c r="S247" s="617"/>
    </row>
    <row r="248" spans="6:19" x14ac:dyDescent="0.2">
      <c r="F248" s="14"/>
      <c r="G248" s="617"/>
      <c r="H248" s="617"/>
      <c r="I248" s="617"/>
      <c r="J248" s="617"/>
      <c r="K248" s="617"/>
      <c r="L248" s="617"/>
      <c r="M248" s="617"/>
      <c r="N248" s="617"/>
      <c r="O248" s="617"/>
      <c r="P248" s="617"/>
      <c r="Q248" s="617"/>
      <c r="R248" s="617"/>
      <c r="S248" s="617"/>
    </row>
    <row r="249" spans="6:19" x14ac:dyDescent="0.2">
      <c r="F249" s="14"/>
      <c r="G249" s="617"/>
      <c r="H249" s="617"/>
      <c r="I249" s="617"/>
      <c r="J249" s="617"/>
      <c r="K249" s="617"/>
      <c r="L249" s="617"/>
      <c r="M249" s="617"/>
      <c r="N249" s="617"/>
      <c r="O249" s="617"/>
      <c r="P249" s="617"/>
      <c r="Q249" s="617"/>
      <c r="R249" s="617"/>
      <c r="S249" s="617"/>
    </row>
    <row r="250" spans="6:19" x14ac:dyDescent="0.2">
      <c r="F250" s="14"/>
      <c r="G250" s="617"/>
      <c r="H250" s="617"/>
      <c r="I250" s="617"/>
      <c r="J250" s="617"/>
      <c r="K250" s="617"/>
      <c r="L250" s="617"/>
      <c r="M250" s="617"/>
      <c r="N250" s="617"/>
      <c r="O250" s="617"/>
      <c r="P250" s="617"/>
      <c r="Q250" s="617"/>
      <c r="R250" s="617"/>
      <c r="S250" s="617"/>
    </row>
    <row r="251" spans="6:19" x14ac:dyDescent="0.2">
      <c r="F251" s="14"/>
      <c r="G251" s="617"/>
      <c r="H251" s="617"/>
      <c r="I251" s="617"/>
      <c r="J251" s="617"/>
      <c r="K251" s="617"/>
      <c r="L251" s="617"/>
      <c r="M251" s="617"/>
      <c r="N251" s="617"/>
      <c r="O251" s="617"/>
      <c r="P251" s="617"/>
      <c r="Q251" s="617"/>
      <c r="R251" s="617"/>
      <c r="S251" s="617"/>
    </row>
    <row r="252" spans="6:19" x14ac:dyDescent="0.2">
      <c r="F252" s="14"/>
      <c r="G252" s="617"/>
      <c r="H252" s="617"/>
      <c r="I252" s="617"/>
      <c r="J252" s="617"/>
      <c r="K252" s="617"/>
      <c r="L252" s="617"/>
      <c r="M252" s="617"/>
      <c r="N252" s="617"/>
      <c r="O252" s="617"/>
      <c r="P252" s="617"/>
      <c r="Q252" s="617"/>
      <c r="R252" s="617"/>
      <c r="S252" s="617"/>
    </row>
    <row r="253" spans="6:19" x14ac:dyDescent="0.2">
      <c r="F253" s="14"/>
      <c r="G253" s="617"/>
      <c r="H253" s="617"/>
      <c r="I253" s="617"/>
      <c r="J253" s="617"/>
      <c r="K253" s="617"/>
      <c r="L253" s="617"/>
      <c r="M253" s="617"/>
      <c r="N253" s="617"/>
      <c r="O253" s="617"/>
      <c r="P253" s="617"/>
      <c r="Q253" s="617"/>
      <c r="R253" s="617"/>
      <c r="S253" s="617"/>
    </row>
    <row r="254" spans="6:19" x14ac:dyDescent="0.2">
      <c r="F254" s="14"/>
      <c r="G254" s="617"/>
      <c r="H254" s="617"/>
      <c r="I254" s="617"/>
      <c r="J254" s="617"/>
      <c r="K254" s="617"/>
      <c r="L254" s="617"/>
      <c r="M254" s="617"/>
      <c r="N254" s="617"/>
      <c r="O254" s="617"/>
      <c r="P254" s="617"/>
      <c r="Q254" s="617"/>
      <c r="R254" s="617"/>
      <c r="S254" s="617"/>
    </row>
    <row r="255" spans="6:19" x14ac:dyDescent="0.2">
      <c r="F255" s="14"/>
      <c r="G255" s="617"/>
      <c r="H255" s="617"/>
      <c r="I255" s="617"/>
      <c r="J255" s="617"/>
      <c r="K255" s="617"/>
      <c r="L255" s="617"/>
      <c r="M255" s="617"/>
      <c r="N255" s="617"/>
      <c r="O255" s="617"/>
      <c r="P255" s="617"/>
      <c r="Q255" s="617"/>
      <c r="R255" s="617"/>
      <c r="S255" s="617"/>
    </row>
    <row r="256" spans="6:19" x14ac:dyDescent="0.2">
      <c r="F256" s="14"/>
      <c r="G256" s="617"/>
      <c r="H256" s="617"/>
      <c r="I256" s="617"/>
      <c r="J256" s="617"/>
      <c r="K256" s="617"/>
      <c r="L256" s="617"/>
      <c r="M256" s="617"/>
      <c r="N256" s="617"/>
      <c r="O256" s="617"/>
      <c r="P256" s="617"/>
      <c r="Q256" s="617"/>
      <c r="R256" s="617"/>
      <c r="S256" s="617"/>
    </row>
    <row r="257" spans="6:19" x14ac:dyDescent="0.2">
      <c r="F257" s="14"/>
      <c r="G257" s="617"/>
      <c r="H257" s="617"/>
      <c r="I257" s="617"/>
      <c r="J257" s="617"/>
      <c r="K257" s="617"/>
      <c r="L257" s="617"/>
      <c r="M257" s="617"/>
      <c r="N257" s="617"/>
      <c r="O257" s="617"/>
      <c r="P257" s="617"/>
      <c r="Q257" s="617"/>
      <c r="R257" s="617"/>
      <c r="S257" s="617"/>
    </row>
    <row r="258" spans="6:19" x14ac:dyDescent="0.2">
      <c r="F258" s="14"/>
      <c r="G258" s="617"/>
      <c r="H258" s="617"/>
      <c r="I258" s="617"/>
      <c r="J258" s="617"/>
      <c r="K258" s="617"/>
      <c r="L258" s="617"/>
      <c r="M258" s="617"/>
      <c r="N258" s="617"/>
      <c r="O258" s="617"/>
      <c r="P258" s="617"/>
      <c r="Q258" s="617"/>
      <c r="R258" s="617"/>
      <c r="S258" s="617"/>
    </row>
    <row r="259" spans="6:19" x14ac:dyDescent="0.2">
      <c r="F259" s="14"/>
      <c r="G259" s="617"/>
      <c r="H259" s="617"/>
      <c r="I259" s="617"/>
      <c r="J259" s="617"/>
      <c r="K259" s="617"/>
      <c r="L259" s="617"/>
      <c r="M259" s="617"/>
      <c r="N259" s="617"/>
      <c r="O259" s="617"/>
      <c r="P259" s="617"/>
      <c r="Q259" s="617"/>
      <c r="R259" s="617"/>
      <c r="S259" s="617"/>
    </row>
    <row r="260" spans="6:19" x14ac:dyDescent="0.2">
      <c r="F260" s="14"/>
      <c r="G260" s="617"/>
      <c r="H260" s="617"/>
      <c r="I260" s="617"/>
      <c r="J260" s="617"/>
      <c r="K260" s="617"/>
      <c r="L260" s="617"/>
      <c r="M260" s="617"/>
      <c r="N260" s="617"/>
      <c r="O260" s="617"/>
      <c r="P260" s="617"/>
      <c r="Q260" s="617"/>
      <c r="R260" s="617"/>
      <c r="S260" s="617"/>
    </row>
    <row r="261" spans="6:19" x14ac:dyDescent="0.2">
      <c r="F261" s="14"/>
      <c r="G261" s="617"/>
      <c r="H261" s="617"/>
      <c r="I261" s="617"/>
      <c r="J261" s="617"/>
      <c r="K261" s="617"/>
      <c r="L261" s="617"/>
      <c r="M261" s="617"/>
      <c r="N261" s="617"/>
      <c r="O261" s="617"/>
      <c r="P261" s="617"/>
      <c r="Q261" s="617"/>
      <c r="R261" s="617"/>
      <c r="S261" s="617"/>
    </row>
    <row r="262" spans="6:19" x14ac:dyDescent="0.2">
      <c r="F262" s="14"/>
      <c r="G262" s="617"/>
      <c r="H262" s="617"/>
      <c r="I262" s="617"/>
      <c r="J262" s="617"/>
      <c r="K262" s="617"/>
      <c r="L262" s="617"/>
      <c r="M262" s="617"/>
      <c r="N262" s="617"/>
      <c r="O262" s="617"/>
      <c r="P262" s="617"/>
      <c r="Q262" s="617"/>
      <c r="R262" s="617"/>
      <c r="S262" s="617"/>
    </row>
    <row r="263" spans="6:19" x14ac:dyDescent="0.2">
      <c r="F263" s="14"/>
      <c r="G263" s="617"/>
      <c r="H263" s="617"/>
      <c r="I263" s="617"/>
      <c r="J263" s="617"/>
      <c r="K263" s="617"/>
      <c r="L263" s="617"/>
      <c r="M263" s="617"/>
      <c r="N263" s="617"/>
      <c r="O263" s="617"/>
      <c r="P263" s="617"/>
      <c r="Q263" s="617"/>
      <c r="R263" s="617"/>
      <c r="S263" s="617"/>
    </row>
    <row r="264" spans="6:19" x14ac:dyDescent="0.2">
      <c r="F264" s="14"/>
      <c r="G264" s="617"/>
      <c r="H264" s="617"/>
      <c r="I264" s="617"/>
      <c r="J264" s="617"/>
      <c r="K264" s="617"/>
      <c r="L264" s="617"/>
      <c r="M264" s="617"/>
      <c r="N264" s="617"/>
      <c r="O264" s="617"/>
      <c r="P264" s="617"/>
      <c r="Q264" s="617"/>
      <c r="R264" s="617"/>
      <c r="S264" s="617"/>
    </row>
    <row r="265" spans="6:19" x14ac:dyDescent="0.2">
      <c r="F265" s="14"/>
      <c r="G265" s="617"/>
      <c r="H265" s="617"/>
      <c r="I265" s="617"/>
      <c r="J265" s="617"/>
      <c r="K265" s="617"/>
      <c r="L265" s="617"/>
      <c r="M265" s="617"/>
      <c r="N265" s="617"/>
      <c r="O265" s="617"/>
      <c r="P265" s="617"/>
      <c r="Q265" s="617"/>
      <c r="R265" s="617"/>
      <c r="S265" s="617"/>
    </row>
    <row r="266" spans="6:19" x14ac:dyDescent="0.2">
      <c r="F266" s="14"/>
      <c r="G266" s="617"/>
      <c r="H266" s="617"/>
      <c r="I266" s="617"/>
      <c r="J266" s="617"/>
      <c r="K266" s="617"/>
      <c r="L266" s="617"/>
      <c r="M266" s="617"/>
      <c r="N266" s="617"/>
      <c r="O266" s="617"/>
      <c r="P266" s="617"/>
      <c r="Q266" s="617"/>
      <c r="R266" s="617"/>
      <c r="S266" s="617"/>
    </row>
    <row r="267" spans="6:19" x14ac:dyDescent="0.2">
      <c r="F267" s="14"/>
      <c r="G267" s="617"/>
      <c r="H267" s="617"/>
      <c r="I267" s="617"/>
      <c r="J267" s="617"/>
      <c r="K267" s="617"/>
      <c r="L267" s="617"/>
      <c r="M267" s="617"/>
      <c r="N267" s="617"/>
      <c r="O267" s="617"/>
      <c r="P267" s="617"/>
      <c r="Q267" s="617"/>
      <c r="R267" s="617"/>
      <c r="S267" s="617"/>
    </row>
    <row r="268" spans="6:19" x14ac:dyDescent="0.2">
      <c r="F268" s="14"/>
      <c r="G268" s="617"/>
      <c r="H268" s="617"/>
      <c r="I268" s="617"/>
      <c r="J268" s="617"/>
      <c r="K268" s="617"/>
      <c r="L268" s="617"/>
      <c r="M268" s="617"/>
      <c r="N268" s="617"/>
      <c r="O268" s="617"/>
      <c r="P268" s="617"/>
      <c r="Q268" s="617"/>
      <c r="R268" s="617"/>
      <c r="S268" s="617"/>
    </row>
    <row r="269" spans="6:19" x14ac:dyDescent="0.2">
      <c r="F269" s="14"/>
      <c r="G269" s="617"/>
      <c r="H269" s="617"/>
      <c r="I269" s="617"/>
      <c r="J269" s="617"/>
      <c r="K269" s="617"/>
      <c r="L269" s="617"/>
      <c r="M269" s="617"/>
      <c r="N269" s="617"/>
      <c r="O269" s="617"/>
      <c r="P269" s="617"/>
      <c r="Q269" s="617"/>
      <c r="R269" s="617"/>
      <c r="S269" s="617"/>
    </row>
    <row r="270" spans="6:19" x14ac:dyDescent="0.2">
      <c r="F270" s="14"/>
      <c r="G270" s="617"/>
      <c r="H270" s="617"/>
      <c r="I270" s="617"/>
      <c r="J270" s="617"/>
      <c r="K270" s="617"/>
      <c r="L270" s="617"/>
      <c r="M270" s="617"/>
      <c r="N270" s="617"/>
      <c r="O270" s="617"/>
      <c r="P270" s="617"/>
      <c r="Q270" s="617"/>
      <c r="R270" s="617"/>
      <c r="S270" s="617"/>
    </row>
    <row r="271" spans="6:19" x14ac:dyDescent="0.2">
      <c r="F271" s="14"/>
      <c r="G271" s="617"/>
      <c r="H271" s="617"/>
      <c r="I271" s="617"/>
      <c r="J271" s="617"/>
      <c r="K271" s="617"/>
      <c r="L271" s="617"/>
      <c r="M271" s="617"/>
      <c r="N271" s="617"/>
      <c r="O271" s="617"/>
      <c r="P271" s="617"/>
      <c r="Q271" s="617"/>
      <c r="R271" s="617"/>
      <c r="S271" s="617"/>
    </row>
    <row r="272" spans="6:19" x14ac:dyDescent="0.2">
      <c r="F272" s="14"/>
      <c r="G272" s="617"/>
      <c r="H272" s="617"/>
      <c r="I272" s="617"/>
      <c r="J272" s="617"/>
      <c r="K272" s="617"/>
      <c r="L272" s="617"/>
      <c r="M272" s="617"/>
      <c r="N272" s="617"/>
      <c r="O272" s="617"/>
      <c r="P272" s="617"/>
      <c r="Q272" s="617"/>
      <c r="R272" s="617"/>
      <c r="S272" s="617"/>
    </row>
    <row r="273" spans="6:19" x14ac:dyDescent="0.2">
      <c r="F273" s="14"/>
      <c r="G273" s="617"/>
      <c r="H273" s="617"/>
      <c r="I273" s="617"/>
      <c r="J273" s="617"/>
      <c r="K273" s="617"/>
      <c r="L273" s="617"/>
      <c r="M273" s="617"/>
      <c r="N273" s="617"/>
      <c r="O273" s="617"/>
      <c r="P273" s="617"/>
      <c r="Q273" s="617"/>
      <c r="R273" s="617"/>
      <c r="S273" s="617"/>
    </row>
    <row r="274" spans="6:19" x14ac:dyDescent="0.2">
      <c r="F274" s="14"/>
      <c r="G274" s="617"/>
      <c r="H274" s="617"/>
      <c r="I274" s="617"/>
      <c r="J274" s="617"/>
      <c r="K274" s="617"/>
      <c r="L274" s="617"/>
      <c r="M274" s="617"/>
      <c r="N274" s="617"/>
      <c r="O274" s="617"/>
      <c r="P274" s="617"/>
      <c r="Q274" s="617"/>
      <c r="R274" s="617"/>
      <c r="S274" s="617"/>
    </row>
    <row r="275" spans="6:19" x14ac:dyDescent="0.2">
      <c r="F275" s="14"/>
      <c r="G275" s="617"/>
      <c r="H275" s="617"/>
      <c r="I275" s="617"/>
      <c r="J275" s="617"/>
      <c r="K275" s="617"/>
      <c r="L275" s="617"/>
      <c r="M275" s="617"/>
      <c r="N275" s="617"/>
      <c r="O275" s="617"/>
      <c r="P275" s="617"/>
      <c r="Q275" s="617"/>
      <c r="R275" s="617"/>
      <c r="S275" s="617"/>
    </row>
    <row r="276" spans="6:19" x14ac:dyDescent="0.2">
      <c r="F276" s="14"/>
      <c r="G276" s="617"/>
      <c r="H276" s="617"/>
      <c r="I276" s="617"/>
      <c r="J276" s="617"/>
      <c r="K276" s="617"/>
      <c r="L276" s="617"/>
      <c r="M276" s="617"/>
      <c r="N276" s="617"/>
      <c r="O276" s="617"/>
      <c r="P276" s="617"/>
      <c r="Q276" s="617"/>
      <c r="R276" s="617"/>
      <c r="S276" s="617"/>
    </row>
    <row r="277" spans="6:19" x14ac:dyDescent="0.2">
      <c r="F277" s="14"/>
      <c r="G277" s="617"/>
      <c r="H277" s="617"/>
      <c r="I277" s="617"/>
      <c r="J277" s="617"/>
      <c r="K277" s="617"/>
      <c r="L277" s="617"/>
      <c r="M277" s="617"/>
      <c r="N277" s="617"/>
      <c r="O277" s="617"/>
      <c r="P277" s="617"/>
      <c r="Q277" s="617"/>
      <c r="R277" s="617"/>
      <c r="S277" s="617"/>
    </row>
    <row r="278" spans="6:19" x14ac:dyDescent="0.2">
      <c r="F278" s="14"/>
      <c r="G278" s="617"/>
      <c r="H278" s="617"/>
      <c r="I278" s="617"/>
      <c r="J278" s="617"/>
      <c r="K278" s="617"/>
      <c r="L278" s="617"/>
      <c r="M278" s="617"/>
      <c r="N278" s="617"/>
      <c r="O278" s="617"/>
      <c r="P278" s="617"/>
      <c r="Q278" s="617"/>
      <c r="R278" s="617"/>
      <c r="S278" s="617"/>
    </row>
    <row r="279" spans="6:19" x14ac:dyDescent="0.2">
      <c r="F279" s="14"/>
      <c r="G279" s="617"/>
      <c r="H279" s="617"/>
      <c r="I279" s="617"/>
      <c r="J279" s="617"/>
      <c r="K279" s="617"/>
      <c r="L279" s="617"/>
      <c r="M279" s="617"/>
      <c r="N279" s="617"/>
      <c r="O279" s="617"/>
      <c r="P279" s="617"/>
      <c r="Q279" s="617"/>
      <c r="R279" s="617"/>
      <c r="S279" s="617"/>
    </row>
    <row r="280" spans="6:19" x14ac:dyDescent="0.2">
      <c r="F280" s="152" t="s">
        <v>69</v>
      </c>
      <c r="G280" s="617"/>
      <c r="H280" s="617"/>
      <c r="I280" s="617"/>
      <c r="J280" s="617"/>
      <c r="K280" s="617"/>
      <c r="L280" s="617"/>
      <c r="M280" s="617"/>
      <c r="N280" s="617"/>
      <c r="O280" s="617"/>
      <c r="P280" s="617"/>
      <c r="Q280" s="617"/>
      <c r="R280" s="617"/>
      <c r="S280" s="617"/>
    </row>
    <row r="281" spans="6:19" x14ac:dyDescent="0.2">
      <c r="F281" s="14"/>
      <c r="G281" s="617"/>
      <c r="H281" s="617"/>
      <c r="I281" s="617"/>
      <c r="J281" s="617"/>
      <c r="K281" s="617"/>
      <c r="L281" s="617"/>
      <c r="M281" s="617"/>
      <c r="N281" s="617"/>
      <c r="O281" s="617"/>
      <c r="P281" s="617"/>
      <c r="Q281" s="617"/>
      <c r="R281" s="617"/>
      <c r="S281" s="617"/>
    </row>
    <row r="282" spans="6:19" x14ac:dyDescent="0.2">
      <c r="F282" s="14"/>
      <c r="G282" s="617"/>
      <c r="H282" s="617"/>
      <c r="I282" s="617"/>
      <c r="J282" s="617"/>
      <c r="K282" s="617"/>
      <c r="L282" s="617"/>
      <c r="M282" s="617"/>
      <c r="N282" s="617"/>
      <c r="O282" s="617"/>
      <c r="P282" s="617"/>
      <c r="Q282" s="617"/>
      <c r="R282" s="617"/>
      <c r="S282" s="617"/>
    </row>
    <row r="283" spans="6:19" x14ac:dyDescent="0.2">
      <c r="F283" s="14"/>
      <c r="G283" s="617"/>
      <c r="H283" s="617"/>
      <c r="I283" s="617"/>
      <c r="J283" s="617"/>
      <c r="K283" s="617"/>
      <c r="L283" s="617"/>
      <c r="M283" s="617"/>
      <c r="N283" s="617"/>
      <c r="O283" s="617"/>
      <c r="P283" s="617"/>
      <c r="Q283" s="617"/>
      <c r="R283" s="617"/>
      <c r="S283" s="617"/>
    </row>
    <row r="284" spans="6:19" x14ac:dyDescent="0.2">
      <c r="F284" s="14"/>
      <c r="G284" s="617"/>
      <c r="H284" s="617"/>
      <c r="I284" s="617"/>
      <c r="J284" s="617"/>
      <c r="K284" s="617"/>
      <c r="L284" s="617"/>
      <c r="M284" s="617"/>
      <c r="N284" s="617"/>
      <c r="O284" s="617"/>
      <c r="P284" s="617"/>
      <c r="Q284" s="617"/>
      <c r="R284" s="617"/>
      <c r="S284" s="617"/>
    </row>
    <row r="285" spans="6:19" x14ac:dyDescent="0.2">
      <c r="F285" s="14"/>
      <c r="G285" s="617"/>
      <c r="H285" s="617"/>
      <c r="I285" s="617"/>
      <c r="J285" s="617"/>
      <c r="K285" s="617"/>
      <c r="L285" s="617"/>
      <c r="M285" s="617"/>
      <c r="N285" s="617"/>
      <c r="O285" s="617"/>
      <c r="P285" s="617"/>
      <c r="Q285" s="617"/>
      <c r="R285" s="617"/>
      <c r="S285" s="617"/>
    </row>
    <row r="286" spans="6:19" x14ac:dyDescent="0.2">
      <c r="F286" s="14"/>
      <c r="G286" s="617"/>
      <c r="H286" s="617"/>
      <c r="I286" s="617"/>
      <c r="J286" s="617"/>
      <c r="K286" s="617"/>
      <c r="L286" s="617"/>
      <c r="M286" s="617"/>
      <c r="N286" s="617"/>
      <c r="O286" s="617"/>
      <c r="P286" s="617"/>
      <c r="Q286" s="617"/>
      <c r="R286" s="617"/>
      <c r="S286" s="617"/>
    </row>
    <row r="287" spans="6:19" x14ac:dyDescent="0.2">
      <c r="F287" s="14"/>
      <c r="G287" s="617"/>
      <c r="H287" s="617"/>
      <c r="I287" s="617"/>
      <c r="J287" s="617"/>
      <c r="K287" s="617"/>
      <c r="L287" s="617"/>
      <c r="M287" s="617"/>
      <c r="N287" s="617"/>
      <c r="O287" s="617"/>
      <c r="P287" s="617"/>
      <c r="Q287" s="617"/>
      <c r="R287" s="617"/>
      <c r="S287" s="617"/>
    </row>
    <row r="288" spans="6:19" x14ac:dyDescent="0.2">
      <c r="F288" s="14"/>
      <c r="G288" s="617"/>
      <c r="H288" s="617"/>
      <c r="I288" s="617"/>
      <c r="J288" s="617"/>
      <c r="K288" s="617"/>
      <c r="L288" s="617"/>
      <c r="M288" s="617"/>
      <c r="N288" s="617"/>
      <c r="O288" s="617"/>
      <c r="P288" s="617"/>
      <c r="Q288" s="617"/>
      <c r="R288" s="617"/>
      <c r="S288" s="617"/>
    </row>
    <row r="289" spans="6:19" x14ac:dyDescent="0.2">
      <c r="F289" s="14"/>
      <c r="G289" s="617"/>
      <c r="H289" s="617"/>
      <c r="I289" s="617"/>
      <c r="J289" s="617"/>
      <c r="K289" s="617"/>
      <c r="L289" s="617"/>
      <c r="M289" s="617"/>
      <c r="N289" s="617"/>
      <c r="O289" s="617"/>
      <c r="P289" s="617"/>
      <c r="Q289" s="617"/>
      <c r="R289" s="617"/>
      <c r="S289" s="617"/>
    </row>
    <row r="290" spans="6:19" x14ac:dyDescent="0.2">
      <c r="F290" s="14"/>
      <c r="G290" s="617"/>
      <c r="H290" s="617"/>
      <c r="I290" s="617"/>
      <c r="J290" s="617"/>
      <c r="K290" s="617"/>
      <c r="L290" s="617"/>
      <c r="M290" s="617"/>
      <c r="N290" s="617"/>
      <c r="O290" s="617"/>
      <c r="P290" s="617"/>
      <c r="Q290" s="617"/>
      <c r="R290" s="617"/>
      <c r="S290" s="617"/>
    </row>
    <row r="291" spans="6:19" x14ac:dyDescent="0.2">
      <c r="F291" s="14"/>
      <c r="G291" s="617"/>
      <c r="H291" s="617"/>
      <c r="I291" s="617"/>
      <c r="J291" s="617"/>
      <c r="K291" s="617"/>
      <c r="L291" s="617"/>
      <c r="M291" s="617"/>
      <c r="N291" s="617"/>
      <c r="O291" s="617"/>
      <c r="P291" s="617"/>
      <c r="Q291" s="617"/>
      <c r="R291" s="617"/>
      <c r="S291" s="617"/>
    </row>
    <row r="292" spans="6:19" x14ac:dyDescent="0.2">
      <c r="F292" s="14"/>
      <c r="G292" s="617"/>
      <c r="H292" s="617"/>
      <c r="I292" s="617"/>
      <c r="J292" s="617"/>
      <c r="K292" s="617"/>
      <c r="L292" s="617"/>
      <c r="M292" s="617"/>
      <c r="N292" s="617"/>
      <c r="O292" s="617"/>
      <c r="P292" s="617"/>
      <c r="Q292" s="617"/>
      <c r="R292" s="617"/>
      <c r="S292" s="617"/>
    </row>
    <row r="293" spans="6:19" x14ac:dyDescent="0.2">
      <c r="F293" s="14"/>
      <c r="G293" s="617"/>
      <c r="H293" s="617"/>
      <c r="I293" s="617"/>
      <c r="J293" s="617"/>
      <c r="K293" s="617"/>
      <c r="L293" s="617"/>
      <c r="M293" s="617"/>
      <c r="N293" s="617"/>
      <c r="O293" s="617"/>
      <c r="P293" s="617"/>
      <c r="Q293" s="617"/>
      <c r="R293" s="617"/>
      <c r="S293" s="617"/>
    </row>
    <row r="294" spans="6:19" x14ac:dyDescent="0.2">
      <c r="F294" s="14"/>
      <c r="G294" s="617"/>
      <c r="H294" s="617"/>
      <c r="I294" s="617"/>
      <c r="J294" s="617"/>
      <c r="K294" s="617"/>
      <c r="L294" s="617"/>
      <c r="M294" s="617"/>
      <c r="N294" s="617"/>
      <c r="O294" s="617"/>
      <c r="P294" s="617"/>
      <c r="Q294" s="617"/>
      <c r="R294" s="617"/>
      <c r="S294" s="617"/>
    </row>
    <row r="295" spans="6:19" x14ac:dyDescent="0.2">
      <c r="F295" s="14"/>
      <c r="G295" s="617"/>
      <c r="H295" s="617"/>
      <c r="I295" s="617"/>
      <c r="J295" s="617"/>
      <c r="K295" s="617"/>
      <c r="L295" s="617"/>
      <c r="M295" s="617"/>
      <c r="N295" s="617"/>
      <c r="O295" s="617"/>
      <c r="P295" s="617"/>
      <c r="Q295" s="617"/>
      <c r="R295" s="617"/>
      <c r="S295" s="617"/>
    </row>
    <row r="296" spans="6:19" x14ac:dyDescent="0.2">
      <c r="F296" s="14"/>
      <c r="G296" s="617"/>
      <c r="H296" s="617"/>
      <c r="I296" s="617"/>
      <c r="J296" s="617"/>
      <c r="K296" s="617"/>
      <c r="L296" s="617"/>
      <c r="M296" s="617"/>
      <c r="N296" s="617"/>
      <c r="O296" s="617"/>
      <c r="P296" s="617"/>
      <c r="Q296" s="617"/>
      <c r="R296" s="617"/>
      <c r="S296" s="617"/>
    </row>
    <row r="297" spans="6:19" x14ac:dyDescent="0.2">
      <c r="F297" s="14"/>
      <c r="G297" s="617"/>
      <c r="H297" s="617"/>
      <c r="I297" s="617"/>
      <c r="J297" s="617"/>
      <c r="K297" s="617"/>
      <c r="L297" s="617"/>
      <c r="M297" s="617"/>
      <c r="N297" s="617"/>
      <c r="O297" s="617"/>
      <c r="P297" s="617"/>
      <c r="Q297" s="617"/>
      <c r="R297" s="617"/>
      <c r="S297" s="617"/>
    </row>
    <row r="298" spans="6:19" x14ac:dyDescent="0.2">
      <c r="F298" s="14"/>
      <c r="G298" s="617"/>
      <c r="H298" s="617"/>
      <c r="I298" s="617"/>
      <c r="J298" s="617"/>
      <c r="K298" s="617"/>
      <c r="L298" s="617"/>
      <c r="M298" s="617"/>
      <c r="N298" s="617"/>
      <c r="O298" s="617"/>
      <c r="P298" s="617"/>
      <c r="Q298" s="617"/>
      <c r="R298" s="617"/>
      <c r="S298" s="617"/>
    </row>
    <row r="299" spans="6:19" x14ac:dyDescent="0.2">
      <c r="F299" s="14"/>
      <c r="G299" s="617"/>
      <c r="H299" s="617"/>
      <c r="I299" s="617"/>
      <c r="J299" s="617"/>
      <c r="K299" s="617"/>
      <c r="L299" s="617"/>
      <c r="M299" s="617"/>
      <c r="N299" s="617"/>
      <c r="O299" s="617"/>
      <c r="P299" s="617"/>
      <c r="Q299" s="617"/>
      <c r="R299" s="617"/>
      <c r="S299" s="617"/>
    </row>
    <row r="300" spans="6:19" x14ac:dyDescent="0.2">
      <c r="F300" s="14"/>
      <c r="G300" s="617"/>
      <c r="H300" s="617"/>
      <c r="I300" s="617"/>
      <c r="J300" s="617"/>
      <c r="K300" s="617"/>
      <c r="L300" s="617"/>
      <c r="M300" s="617"/>
      <c r="N300" s="617"/>
      <c r="O300" s="617"/>
      <c r="P300" s="617"/>
      <c r="Q300" s="617"/>
      <c r="R300" s="617"/>
      <c r="S300" s="617"/>
    </row>
    <row r="301" spans="6:19" x14ac:dyDescent="0.2">
      <c r="F301" s="14"/>
      <c r="G301" s="617"/>
      <c r="H301" s="617"/>
      <c r="I301" s="617"/>
      <c r="J301" s="617"/>
      <c r="K301" s="617"/>
      <c r="L301" s="617"/>
      <c r="M301" s="617"/>
      <c r="N301" s="617"/>
      <c r="O301" s="617"/>
      <c r="P301" s="617"/>
      <c r="Q301" s="617"/>
      <c r="R301" s="617"/>
      <c r="S301" s="617"/>
    </row>
    <row r="302" spans="6:19" x14ac:dyDescent="0.2">
      <c r="F302" s="14"/>
      <c r="G302" s="617"/>
      <c r="H302" s="617"/>
      <c r="I302" s="617"/>
      <c r="J302" s="617"/>
      <c r="K302" s="617"/>
      <c r="L302" s="617"/>
      <c r="M302" s="617"/>
      <c r="N302" s="617"/>
      <c r="O302" s="617"/>
      <c r="P302" s="617"/>
      <c r="Q302" s="617"/>
      <c r="R302" s="617"/>
      <c r="S302" s="617"/>
    </row>
    <row r="303" spans="6:19" x14ac:dyDescent="0.2">
      <c r="F303" s="14"/>
      <c r="G303" s="617"/>
      <c r="H303" s="617"/>
      <c r="I303" s="617"/>
      <c r="J303" s="617"/>
      <c r="K303" s="617"/>
      <c r="L303" s="617"/>
      <c r="M303" s="617"/>
      <c r="N303" s="617"/>
      <c r="O303" s="617"/>
      <c r="P303" s="617"/>
      <c r="Q303" s="617"/>
      <c r="R303" s="617"/>
      <c r="S303" s="617"/>
    </row>
    <row r="304" spans="6:19" x14ac:dyDescent="0.2">
      <c r="F304" s="14"/>
      <c r="G304" s="617"/>
      <c r="H304" s="617"/>
      <c r="I304" s="617"/>
      <c r="J304" s="617"/>
      <c r="K304" s="617"/>
      <c r="L304" s="617"/>
      <c r="M304" s="617"/>
      <c r="N304" s="617"/>
      <c r="O304" s="617"/>
      <c r="P304" s="617"/>
      <c r="Q304" s="617"/>
      <c r="R304" s="617"/>
      <c r="S304" s="617"/>
    </row>
    <row r="305" spans="6:19" x14ac:dyDescent="0.2">
      <c r="F305" s="14"/>
      <c r="G305" s="617"/>
      <c r="H305" s="617"/>
      <c r="I305" s="617"/>
      <c r="J305" s="617"/>
      <c r="K305" s="617"/>
      <c r="L305" s="617"/>
      <c r="M305" s="617"/>
      <c r="N305" s="617"/>
      <c r="O305" s="617"/>
      <c r="P305" s="617"/>
      <c r="Q305" s="617"/>
      <c r="R305" s="617"/>
      <c r="S305" s="617"/>
    </row>
    <row r="306" spans="6:19" x14ac:dyDescent="0.2">
      <c r="F306" s="14"/>
      <c r="G306" s="617"/>
      <c r="H306" s="617"/>
      <c r="I306" s="617"/>
      <c r="J306" s="617"/>
      <c r="K306" s="617"/>
      <c r="L306" s="617"/>
      <c r="M306" s="617"/>
      <c r="N306" s="617"/>
      <c r="O306" s="617"/>
      <c r="P306" s="617"/>
      <c r="Q306" s="617"/>
      <c r="R306" s="617"/>
      <c r="S306" s="617"/>
    </row>
    <row r="307" spans="6:19" x14ac:dyDescent="0.2">
      <c r="F307" s="14"/>
      <c r="G307" s="617"/>
      <c r="H307" s="617"/>
      <c r="I307" s="617"/>
      <c r="J307" s="617"/>
      <c r="K307" s="617"/>
      <c r="L307" s="617"/>
      <c r="M307" s="617"/>
      <c r="N307" s="617"/>
      <c r="O307" s="617"/>
      <c r="P307" s="617"/>
      <c r="Q307" s="617"/>
      <c r="R307" s="617"/>
      <c r="S307" s="617"/>
    </row>
    <row r="308" spans="6:19" x14ac:dyDescent="0.2">
      <c r="F308" s="14"/>
      <c r="G308" s="617"/>
      <c r="H308" s="617"/>
      <c r="I308" s="617"/>
      <c r="J308" s="617"/>
      <c r="K308" s="617"/>
      <c r="L308" s="617"/>
      <c r="M308" s="617"/>
      <c r="N308" s="617"/>
      <c r="O308" s="617"/>
      <c r="P308" s="617"/>
      <c r="Q308" s="617"/>
      <c r="R308" s="617"/>
      <c r="S308" s="617"/>
    </row>
    <row r="309" spans="6:19" x14ac:dyDescent="0.2">
      <c r="F309" s="14"/>
      <c r="G309" s="617"/>
      <c r="H309" s="617"/>
      <c r="I309" s="617"/>
      <c r="J309" s="617"/>
      <c r="K309" s="617"/>
      <c r="L309" s="617"/>
      <c r="M309" s="617"/>
      <c r="N309" s="617"/>
      <c r="O309" s="617"/>
      <c r="P309" s="617"/>
      <c r="Q309" s="617"/>
      <c r="R309" s="617"/>
      <c r="S309" s="617"/>
    </row>
    <row r="310" spans="6:19" x14ac:dyDescent="0.2">
      <c r="F310" s="14"/>
      <c r="G310" s="617"/>
      <c r="H310" s="617"/>
      <c r="I310" s="617"/>
      <c r="J310" s="617"/>
      <c r="K310" s="617"/>
      <c r="L310" s="617"/>
      <c r="M310" s="617"/>
      <c r="N310" s="617"/>
      <c r="O310" s="617"/>
      <c r="P310" s="617"/>
      <c r="Q310" s="617"/>
      <c r="R310" s="617"/>
      <c r="S310" s="617"/>
    </row>
    <row r="311" spans="6:19" x14ac:dyDescent="0.2">
      <c r="F311" s="14"/>
      <c r="G311" s="617"/>
      <c r="H311" s="617"/>
      <c r="I311" s="617"/>
      <c r="J311" s="617"/>
      <c r="K311" s="617"/>
      <c r="L311" s="617"/>
      <c r="M311" s="617"/>
      <c r="N311" s="617"/>
      <c r="O311" s="617"/>
      <c r="P311" s="617"/>
      <c r="Q311" s="617"/>
      <c r="R311" s="617"/>
      <c r="S311" s="617"/>
    </row>
    <row r="312" spans="6:19" x14ac:dyDescent="0.2">
      <c r="F312" s="14"/>
      <c r="G312" s="617"/>
      <c r="H312" s="617"/>
      <c r="I312" s="617"/>
      <c r="J312" s="617"/>
      <c r="K312" s="617"/>
      <c r="L312" s="617"/>
      <c r="M312" s="617"/>
      <c r="N312" s="617"/>
      <c r="O312" s="617"/>
      <c r="P312" s="617"/>
      <c r="Q312" s="617"/>
      <c r="R312" s="617"/>
      <c r="S312" s="617"/>
    </row>
    <row r="313" spans="6:19" x14ac:dyDescent="0.2">
      <c r="F313" s="14"/>
      <c r="G313" s="617"/>
      <c r="H313" s="617"/>
      <c r="I313" s="617"/>
      <c r="J313" s="617"/>
      <c r="K313" s="617"/>
      <c r="L313" s="617"/>
      <c r="M313" s="617"/>
      <c r="N313" s="617"/>
      <c r="O313" s="617"/>
      <c r="P313" s="617"/>
      <c r="Q313" s="617"/>
      <c r="R313" s="617"/>
      <c r="S313" s="617"/>
    </row>
    <row r="314" spans="6:19" x14ac:dyDescent="0.2">
      <c r="F314" s="14"/>
      <c r="G314" s="617"/>
      <c r="H314" s="617"/>
      <c r="I314" s="617"/>
      <c r="J314" s="617"/>
      <c r="K314" s="617"/>
      <c r="L314" s="617"/>
      <c r="M314" s="617"/>
      <c r="N314" s="617"/>
      <c r="O314" s="617"/>
      <c r="P314" s="617"/>
      <c r="Q314" s="617"/>
      <c r="R314" s="617"/>
      <c r="S314" s="617"/>
    </row>
    <row r="315" spans="6:19" x14ac:dyDescent="0.2">
      <c r="F315" s="14"/>
      <c r="G315" s="617"/>
      <c r="H315" s="617"/>
      <c r="I315" s="617"/>
      <c r="J315" s="617"/>
      <c r="K315" s="617"/>
      <c r="L315" s="617"/>
      <c r="M315" s="617"/>
      <c r="N315" s="617"/>
      <c r="O315" s="617"/>
      <c r="P315" s="617"/>
      <c r="Q315" s="617"/>
      <c r="R315" s="617"/>
      <c r="S315" s="617"/>
    </row>
    <row r="316" spans="6:19" x14ac:dyDescent="0.2">
      <c r="F316" s="14"/>
      <c r="G316" s="617"/>
      <c r="H316" s="617"/>
      <c r="I316" s="617"/>
      <c r="J316" s="617"/>
      <c r="K316" s="617"/>
      <c r="L316" s="617"/>
      <c r="M316" s="617"/>
      <c r="N316" s="617"/>
      <c r="O316" s="617"/>
      <c r="P316" s="617"/>
      <c r="Q316" s="617"/>
      <c r="R316" s="617"/>
      <c r="S316" s="617"/>
    </row>
    <row r="317" spans="6:19" x14ac:dyDescent="0.2">
      <c r="F317" s="14"/>
      <c r="G317" s="617"/>
      <c r="H317" s="617"/>
      <c r="I317" s="617"/>
      <c r="J317" s="617"/>
      <c r="K317" s="617"/>
      <c r="L317" s="617"/>
      <c r="M317" s="617"/>
      <c r="N317" s="617"/>
      <c r="O317" s="617"/>
      <c r="P317" s="617"/>
      <c r="Q317" s="617"/>
      <c r="R317" s="617"/>
      <c r="S317" s="617"/>
    </row>
    <row r="318" spans="6:19" x14ac:dyDescent="0.2">
      <c r="F318" s="14"/>
      <c r="G318" s="617"/>
      <c r="H318" s="617"/>
      <c r="I318" s="617"/>
      <c r="J318" s="617"/>
      <c r="K318" s="617"/>
      <c r="L318" s="617"/>
      <c r="M318" s="617"/>
      <c r="N318" s="617"/>
      <c r="O318" s="617"/>
      <c r="P318" s="617"/>
      <c r="Q318" s="617"/>
      <c r="R318" s="617"/>
      <c r="S318" s="617"/>
    </row>
    <row r="319" spans="6:19" x14ac:dyDescent="0.2">
      <c r="F319" s="14"/>
      <c r="G319" s="617"/>
      <c r="H319" s="617"/>
      <c r="I319" s="617"/>
      <c r="J319" s="617"/>
      <c r="K319" s="617"/>
      <c r="L319" s="617"/>
      <c r="M319" s="617"/>
      <c r="N319" s="617"/>
      <c r="O319" s="617"/>
      <c r="P319" s="617"/>
      <c r="Q319" s="617"/>
      <c r="R319" s="617"/>
      <c r="S319" s="617"/>
    </row>
    <row r="320" spans="6:19" x14ac:dyDescent="0.2">
      <c r="F320" s="14"/>
      <c r="G320" s="617"/>
      <c r="H320" s="617"/>
      <c r="I320" s="617"/>
      <c r="J320" s="617"/>
      <c r="K320" s="617"/>
      <c r="L320" s="617"/>
      <c r="M320" s="617"/>
      <c r="N320" s="617"/>
      <c r="O320" s="617"/>
      <c r="P320" s="617"/>
      <c r="Q320" s="617"/>
      <c r="R320" s="617"/>
      <c r="S320" s="617"/>
    </row>
    <row r="321" spans="6:19" x14ac:dyDescent="0.2">
      <c r="F321" s="14"/>
      <c r="G321" s="617"/>
      <c r="H321" s="617"/>
      <c r="I321" s="617"/>
      <c r="J321" s="617"/>
      <c r="K321" s="617"/>
      <c r="L321" s="617"/>
      <c r="M321" s="617"/>
      <c r="N321" s="617"/>
      <c r="O321" s="617"/>
      <c r="P321" s="617"/>
      <c r="Q321" s="617"/>
      <c r="R321" s="617"/>
      <c r="S321" s="617"/>
    </row>
    <row r="322" spans="6:19" x14ac:dyDescent="0.2">
      <c r="F322" s="14"/>
      <c r="G322" s="617"/>
      <c r="H322" s="617"/>
      <c r="I322" s="617"/>
      <c r="J322" s="617"/>
      <c r="K322" s="617"/>
      <c r="L322" s="617"/>
      <c r="M322" s="617"/>
      <c r="N322" s="617"/>
      <c r="O322" s="617"/>
      <c r="P322" s="617"/>
      <c r="Q322" s="617"/>
      <c r="R322" s="617"/>
      <c r="S322" s="617"/>
    </row>
    <row r="323" spans="6:19" x14ac:dyDescent="0.2">
      <c r="F323" s="14"/>
      <c r="G323" s="617"/>
      <c r="H323" s="617"/>
      <c r="I323" s="617"/>
      <c r="J323" s="617"/>
      <c r="K323" s="617"/>
      <c r="L323" s="617"/>
      <c r="M323" s="617"/>
      <c r="N323" s="617"/>
      <c r="O323" s="617"/>
      <c r="P323" s="617"/>
      <c r="Q323" s="617"/>
      <c r="R323" s="617"/>
      <c r="S323" s="617"/>
    </row>
    <row r="324" spans="6:19" x14ac:dyDescent="0.2">
      <c r="F324" s="14"/>
      <c r="G324" s="617"/>
      <c r="H324" s="617"/>
      <c r="I324" s="617"/>
      <c r="J324" s="617"/>
      <c r="K324" s="617"/>
      <c r="L324" s="617"/>
      <c r="M324" s="617"/>
      <c r="N324" s="617"/>
      <c r="O324" s="617"/>
      <c r="P324" s="617"/>
      <c r="Q324" s="617"/>
      <c r="R324" s="617"/>
      <c r="S324" s="617"/>
    </row>
    <row r="325" spans="6:19" x14ac:dyDescent="0.2">
      <c r="F325" s="14"/>
      <c r="G325" s="617"/>
      <c r="H325" s="617"/>
      <c r="I325" s="617"/>
      <c r="J325" s="617"/>
      <c r="K325" s="617"/>
      <c r="L325" s="617"/>
      <c r="M325" s="617"/>
      <c r="N325" s="617"/>
      <c r="O325" s="617"/>
      <c r="P325" s="617"/>
      <c r="Q325" s="617"/>
      <c r="R325" s="617"/>
      <c r="S325" s="617"/>
    </row>
    <row r="326" spans="6:19" x14ac:dyDescent="0.2">
      <c r="F326" s="14"/>
      <c r="G326" s="617"/>
      <c r="H326" s="617"/>
      <c r="I326" s="617"/>
      <c r="J326" s="617"/>
      <c r="K326" s="617"/>
      <c r="L326" s="617"/>
      <c r="M326" s="617"/>
      <c r="N326" s="617"/>
      <c r="O326" s="617"/>
      <c r="P326" s="617"/>
      <c r="Q326" s="617"/>
      <c r="R326" s="617"/>
      <c r="S326" s="617"/>
    </row>
    <row r="327" spans="6:19" x14ac:dyDescent="0.2">
      <c r="F327" s="14"/>
      <c r="G327" s="617"/>
      <c r="H327" s="617"/>
      <c r="I327" s="617"/>
      <c r="J327" s="617"/>
      <c r="K327" s="617"/>
      <c r="L327" s="617"/>
      <c r="M327" s="617"/>
      <c r="N327" s="617"/>
      <c r="O327" s="617"/>
      <c r="P327" s="617"/>
      <c r="Q327" s="617"/>
      <c r="R327" s="617"/>
      <c r="S327" s="617"/>
    </row>
    <row r="328" spans="6:19" x14ac:dyDescent="0.2">
      <c r="F328" s="14"/>
      <c r="G328" s="617"/>
      <c r="H328" s="617"/>
      <c r="I328" s="617"/>
      <c r="J328" s="617"/>
      <c r="K328" s="617"/>
      <c r="L328" s="617"/>
      <c r="M328" s="617"/>
      <c r="N328" s="617"/>
      <c r="O328" s="617"/>
      <c r="P328" s="617"/>
      <c r="Q328" s="617"/>
      <c r="R328" s="617"/>
      <c r="S328" s="617"/>
    </row>
    <row r="329" spans="6:19" x14ac:dyDescent="0.2">
      <c r="F329" s="14"/>
      <c r="G329" s="617"/>
      <c r="H329" s="617"/>
      <c r="I329" s="617"/>
      <c r="J329" s="617"/>
      <c r="K329" s="617"/>
      <c r="L329" s="617"/>
      <c r="M329" s="617"/>
      <c r="N329" s="617"/>
      <c r="O329" s="617"/>
      <c r="P329" s="617"/>
      <c r="Q329" s="617"/>
      <c r="R329" s="617"/>
      <c r="S329" s="617"/>
    </row>
    <row r="330" spans="6:19" x14ac:dyDescent="0.2">
      <c r="F330" s="14"/>
      <c r="G330" s="617"/>
      <c r="H330" s="617"/>
      <c r="I330" s="617"/>
      <c r="J330" s="617"/>
      <c r="K330" s="617"/>
      <c r="L330" s="617"/>
      <c r="M330" s="617"/>
      <c r="N330" s="617"/>
      <c r="O330" s="617"/>
      <c r="P330" s="617"/>
      <c r="Q330" s="617"/>
      <c r="R330" s="617"/>
      <c r="S330" s="617"/>
    </row>
    <row r="331" spans="6:19" x14ac:dyDescent="0.2">
      <c r="F331" s="14"/>
      <c r="G331" s="617"/>
      <c r="H331" s="617"/>
      <c r="I331" s="617"/>
      <c r="J331" s="617"/>
      <c r="K331" s="617"/>
      <c r="L331" s="617"/>
      <c r="M331" s="617"/>
      <c r="N331" s="617"/>
      <c r="O331" s="617"/>
      <c r="P331" s="617"/>
      <c r="Q331" s="617"/>
      <c r="R331" s="617"/>
      <c r="S331" s="617"/>
    </row>
    <row r="332" spans="6:19" x14ac:dyDescent="0.2">
      <c r="F332" s="14"/>
      <c r="G332" s="617"/>
      <c r="H332" s="617"/>
      <c r="I332" s="617"/>
      <c r="J332" s="617"/>
      <c r="K332" s="617"/>
      <c r="L332" s="617"/>
      <c r="M332" s="617"/>
      <c r="N332" s="617"/>
      <c r="O332" s="617"/>
      <c r="P332" s="617"/>
      <c r="Q332" s="617"/>
      <c r="R332" s="617"/>
      <c r="S332" s="617"/>
    </row>
    <row r="333" spans="6:19" x14ac:dyDescent="0.2">
      <c r="F333" s="14"/>
      <c r="G333" s="617"/>
      <c r="H333" s="617"/>
      <c r="I333" s="617"/>
      <c r="J333" s="617"/>
      <c r="K333" s="617"/>
      <c r="L333" s="617"/>
      <c r="M333" s="617"/>
      <c r="N333" s="617"/>
      <c r="O333" s="617"/>
      <c r="P333" s="617"/>
      <c r="Q333" s="617"/>
      <c r="R333" s="617"/>
      <c r="S333" s="617"/>
    </row>
    <row r="334" spans="6:19" x14ac:dyDescent="0.2">
      <c r="F334" s="14"/>
      <c r="G334" s="617"/>
      <c r="H334" s="617"/>
      <c r="I334" s="617"/>
      <c r="J334" s="617"/>
      <c r="K334" s="617"/>
      <c r="L334" s="617"/>
      <c r="M334" s="617"/>
      <c r="N334" s="617"/>
      <c r="O334" s="617"/>
      <c r="P334" s="617"/>
      <c r="Q334" s="617"/>
      <c r="R334" s="617"/>
      <c r="S334" s="617"/>
    </row>
    <row r="335" spans="6:19" x14ac:dyDescent="0.2">
      <c r="F335" s="14"/>
      <c r="G335" s="617"/>
      <c r="H335" s="617"/>
      <c r="I335" s="617"/>
      <c r="J335" s="617"/>
      <c r="K335" s="617"/>
      <c r="L335" s="617"/>
      <c r="M335" s="617"/>
      <c r="N335" s="617"/>
      <c r="O335" s="617"/>
      <c r="P335" s="617"/>
      <c r="Q335" s="617"/>
      <c r="R335" s="617"/>
      <c r="S335" s="617"/>
    </row>
    <row r="336" spans="6:19" x14ac:dyDescent="0.2">
      <c r="F336" s="14"/>
      <c r="G336" s="617"/>
      <c r="H336" s="617"/>
      <c r="I336" s="617"/>
      <c r="J336" s="617"/>
      <c r="K336" s="617"/>
      <c r="L336" s="617"/>
      <c r="M336" s="617"/>
      <c r="N336" s="617"/>
      <c r="O336" s="617"/>
      <c r="P336" s="617"/>
      <c r="Q336" s="617"/>
      <c r="R336" s="617"/>
      <c r="S336" s="617"/>
    </row>
    <row r="337" spans="6:19" x14ac:dyDescent="0.2">
      <c r="F337" s="14"/>
      <c r="G337" s="617"/>
      <c r="H337" s="617"/>
      <c r="I337" s="617"/>
      <c r="J337" s="617"/>
      <c r="K337" s="617"/>
      <c r="L337" s="617"/>
      <c r="M337" s="617"/>
      <c r="N337" s="617"/>
      <c r="O337" s="617"/>
      <c r="P337" s="617"/>
      <c r="Q337" s="617"/>
      <c r="R337" s="617"/>
      <c r="S337" s="617"/>
    </row>
    <row r="338" spans="6:19" x14ac:dyDescent="0.2">
      <c r="F338" s="14"/>
      <c r="G338" s="617"/>
      <c r="H338" s="617"/>
      <c r="I338" s="617"/>
      <c r="J338" s="617"/>
      <c r="K338" s="617"/>
      <c r="L338" s="617"/>
      <c r="M338" s="617"/>
      <c r="N338" s="617"/>
      <c r="O338" s="617"/>
      <c r="P338" s="617"/>
      <c r="Q338" s="617"/>
      <c r="R338" s="617"/>
      <c r="S338" s="617"/>
    </row>
    <row r="339" spans="6:19" x14ac:dyDescent="0.2">
      <c r="F339" s="14"/>
      <c r="G339" s="617"/>
      <c r="H339" s="617"/>
      <c r="I339" s="617"/>
      <c r="J339" s="617"/>
      <c r="K339" s="617"/>
      <c r="L339" s="617"/>
      <c r="M339" s="617"/>
      <c r="N339" s="617"/>
      <c r="O339" s="617"/>
      <c r="P339" s="617"/>
      <c r="Q339" s="617"/>
      <c r="R339" s="617"/>
      <c r="S339" s="617"/>
    </row>
    <row r="340" spans="6:19" x14ac:dyDescent="0.2">
      <c r="F340" s="14"/>
      <c r="G340" s="617"/>
      <c r="H340" s="617"/>
      <c r="I340" s="617"/>
      <c r="J340" s="617"/>
      <c r="K340" s="617"/>
      <c r="L340" s="617"/>
      <c r="M340" s="617"/>
      <c r="N340" s="617"/>
      <c r="O340" s="617"/>
      <c r="P340" s="617"/>
      <c r="Q340" s="617"/>
      <c r="R340" s="617"/>
      <c r="S340" s="617"/>
    </row>
    <row r="341" spans="6:19" x14ac:dyDescent="0.2">
      <c r="F341" s="14"/>
      <c r="G341" s="617"/>
      <c r="H341" s="617"/>
      <c r="I341" s="617"/>
      <c r="J341" s="617"/>
      <c r="K341" s="617"/>
      <c r="L341" s="617"/>
      <c r="M341" s="617"/>
      <c r="N341" s="617"/>
      <c r="O341" s="617"/>
      <c r="P341" s="617"/>
      <c r="Q341" s="617"/>
      <c r="R341" s="617"/>
      <c r="S341" s="617"/>
    </row>
    <row r="342" spans="6:19" x14ac:dyDescent="0.2">
      <c r="F342" s="14"/>
      <c r="G342" s="617"/>
      <c r="H342" s="617"/>
      <c r="I342" s="617"/>
      <c r="J342" s="617"/>
      <c r="K342" s="617"/>
      <c r="L342" s="617"/>
      <c r="M342" s="617"/>
      <c r="N342" s="617"/>
      <c r="O342" s="617"/>
      <c r="P342" s="617"/>
      <c r="Q342" s="617"/>
      <c r="R342" s="617"/>
      <c r="S342" s="617"/>
    </row>
    <row r="343" spans="6:19" x14ac:dyDescent="0.2">
      <c r="F343" s="152" t="s">
        <v>85</v>
      </c>
      <c r="G343" s="617"/>
      <c r="H343" s="617"/>
      <c r="I343" s="617"/>
      <c r="J343" s="617"/>
      <c r="K343" s="617"/>
      <c r="L343" s="617"/>
      <c r="M343" s="617"/>
      <c r="N343" s="617"/>
      <c r="O343" s="617"/>
      <c r="P343" s="617"/>
      <c r="Q343" s="617"/>
      <c r="R343" s="617"/>
      <c r="S343" s="617"/>
    </row>
    <row r="344" spans="6:19" x14ac:dyDescent="0.2">
      <c r="F344" s="14"/>
      <c r="G344" s="617"/>
      <c r="H344" s="617"/>
      <c r="I344" s="617"/>
      <c r="J344" s="617"/>
      <c r="K344" s="617"/>
      <c r="L344" s="617"/>
      <c r="M344" s="617"/>
      <c r="N344" s="617"/>
      <c r="O344" s="617"/>
      <c r="P344" s="617"/>
      <c r="Q344" s="617"/>
      <c r="R344" s="617"/>
      <c r="S344" s="617"/>
    </row>
    <row r="345" spans="6:19" x14ac:dyDescent="0.2">
      <c r="F345" s="14"/>
      <c r="G345" s="617"/>
      <c r="H345" s="617"/>
      <c r="I345" s="617"/>
      <c r="J345" s="617"/>
      <c r="K345" s="617"/>
      <c r="L345" s="617"/>
      <c r="M345" s="617"/>
      <c r="N345" s="617"/>
      <c r="O345" s="617"/>
      <c r="P345" s="617"/>
      <c r="Q345" s="617"/>
      <c r="R345" s="617"/>
      <c r="S345" s="617"/>
    </row>
    <row r="346" spans="6:19" x14ac:dyDescent="0.2">
      <c r="F346" s="14"/>
      <c r="G346" s="617"/>
      <c r="H346" s="617"/>
      <c r="I346" s="617"/>
      <c r="J346" s="617"/>
      <c r="K346" s="617"/>
      <c r="L346" s="617"/>
      <c r="M346" s="617"/>
      <c r="N346" s="617"/>
      <c r="O346" s="617"/>
      <c r="P346" s="617"/>
      <c r="Q346" s="617"/>
      <c r="R346" s="617"/>
      <c r="S346" s="617"/>
    </row>
    <row r="347" spans="6:19" x14ac:dyDescent="0.2">
      <c r="F347" s="14"/>
      <c r="G347" s="617"/>
      <c r="H347" s="617"/>
      <c r="I347" s="617"/>
      <c r="J347" s="617"/>
      <c r="K347" s="617"/>
      <c r="L347" s="617"/>
      <c r="M347" s="617"/>
      <c r="N347" s="617"/>
      <c r="O347" s="617"/>
      <c r="P347" s="617"/>
      <c r="Q347" s="617"/>
      <c r="R347" s="617"/>
      <c r="S347" s="617"/>
    </row>
    <row r="348" spans="6:19" x14ac:dyDescent="0.2">
      <c r="F348" s="14"/>
      <c r="G348" s="617"/>
      <c r="H348" s="617"/>
      <c r="I348" s="617"/>
      <c r="J348" s="617"/>
      <c r="K348" s="617"/>
      <c r="L348" s="617"/>
      <c r="M348" s="617"/>
      <c r="N348" s="617"/>
      <c r="O348" s="617"/>
      <c r="P348" s="617"/>
      <c r="Q348" s="617"/>
      <c r="R348" s="617"/>
      <c r="S348" s="617"/>
    </row>
    <row r="349" spans="6:19" x14ac:dyDescent="0.2">
      <c r="F349" s="14"/>
      <c r="G349" s="617"/>
      <c r="H349" s="617"/>
      <c r="I349" s="617"/>
      <c r="J349" s="617"/>
      <c r="K349" s="617"/>
      <c r="L349" s="617"/>
      <c r="M349" s="617"/>
      <c r="N349" s="617"/>
      <c r="O349" s="617"/>
      <c r="P349" s="617"/>
      <c r="Q349" s="617"/>
      <c r="R349" s="617"/>
      <c r="S349" s="617"/>
    </row>
    <row r="350" spans="6:19" x14ac:dyDescent="0.2">
      <c r="F350" s="14"/>
      <c r="G350" s="617"/>
      <c r="H350" s="617"/>
      <c r="I350" s="617"/>
      <c r="J350" s="617"/>
      <c r="K350" s="617"/>
      <c r="L350" s="617"/>
      <c r="M350" s="617"/>
      <c r="N350" s="617"/>
      <c r="O350" s="617"/>
      <c r="P350" s="617"/>
      <c r="Q350" s="617"/>
      <c r="R350" s="617"/>
      <c r="S350" s="617"/>
    </row>
    <row r="351" spans="6:19" x14ac:dyDescent="0.2">
      <c r="F351" s="14"/>
      <c r="G351" s="617"/>
      <c r="H351" s="617"/>
      <c r="I351" s="617"/>
      <c r="J351" s="617"/>
      <c r="K351" s="617"/>
      <c r="L351" s="617"/>
      <c r="M351" s="617"/>
      <c r="N351" s="617"/>
      <c r="O351" s="617"/>
      <c r="P351" s="617"/>
      <c r="Q351" s="617"/>
      <c r="R351" s="617"/>
      <c r="S351" s="617"/>
    </row>
    <row r="352" spans="6:19" x14ac:dyDescent="0.2">
      <c r="F352" s="14"/>
      <c r="G352" s="617"/>
      <c r="H352" s="617"/>
      <c r="I352" s="617"/>
      <c r="J352" s="617"/>
      <c r="K352" s="617"/>
      <c r="L352" s="617"/>
      <c r="M352" s="617"/>
      <c r="N352" s="617"/>
      <c r="O352" s="617"/>
      <c r="P352" s="617"/>
      <c r="Q352" s="617"/>
      <c r="R352" s="617"/>
      <c r="S352" s="617"/>
    </row>
    <row r="353" spans="6:19" x14ac:dyDescent="0.2">
      <c r="F353" s="14"/>
      <c r="G353" s="617"/>
      <c r="H353" s="617"/>
      <c r="I353" s="617"/>
      <c r="J353" s="617"/>
      <c r="K353" s="617"/>
      <c r="L353" s="617"/>
      <c r="M353" s="617"/>
      <c r="N353" s="617"/>
      <c r="O353" s="617"/>
      <c r="P353" s="617"/>
      <c r="Q353" s="617"/>
      <c r="R353" s="617"/>
      <c r="S353" s="617"/>
    </row>
    <row r="354" spans="6:19" x14ac:dyDescent="0.2">
      <c r="F354" s="14"/>
      <c r="G354" s="617"/>
      <c r="H354" s="617"/>
      <c r="I354" s="617"/>
      <c r="J354" s="617"/>
      <c r="K354" s="617"/>
      <c r="L354" s="617"/>
      <c r="M354" s="617"/>
      <c r="N354" s="617"/>
      <c r="O354" s="617"/>
      <c r="P354" s="617"/>
      <c r="Q354" s="617"/>
      <c r="R354" s="617"/>
      <c r="S354" s="617"/>
    </row>
    <row r="355" spans="6:19" x14ac:dyDescent="0.2">
      <c r="F355" s="14"/>
      <c r="G355" s="617"/>
      <c r="H355" s="617"/>
      <c r="I355" s="617"/>
      <c r="J355" s="617"/>
      <c r="K355" s="617"/>
      <c r="L355" s="617"/>
      <c r="M355" s="617"/>
      <c r="N355" s="617"/>
      <c r="O355" s="617"/>
      <c r="P355" s="617"/>
      <c r="Q355" s="617"/>
      <c r="R355" s="617"/>
      <c r="S355" s="617"/>
    </row>
    <row r="356" spans="6:19" x14ac:dyDescent="0.2">
      <c r="F356" s="14"/>
      <c r="G356" s="617"/>
      <c r="H356" s="617"/>
      <c r="I356" s="617"/>
      <c r="J356" s="617"/>
      <c r="K356" s="617"/>
      <c r="L356" s="617"/>
      <c r="M356" s="617"/>
      <c r="N356" s="617"/>
      <c r="O356" s="617"/>
      <c r="P356" s="617"/>
      <c r="Q356" s="617"/>
      <c r="R356" s="617"/>
      <c r="S356" s="617"/>
    </row>
    <row r="357" spans="6:19" x14ac:dyDescent="0.2">
      <c r="F357" s="14"/>
      <c r="G357" s="617"/>
      <c r="H357" s="617"/>
      <c r="I357" s="617"/>
      <c r="J357" s="617"/>
      <c r="K357" s="617"/>
      <c r="L357" s="617"/>
      <c r="M357" s="617"/>
      <c r="N357" s="617"/>
      <c r="O357" s="617"/>
      <c r="P357" s="617"/>
      <c r="Q357" s="617"/>
      <c r="R357" s="617"/>
      <c r="S357" s="617"/>
    </row>
    <row r="358" spans="6:19" x14ac:dyDescent="0.2">
      <c r="F358" s="14"/>
      <c r="G358" s="617"/>
      <c r="H358" s="617"/>
      <c r="I358" s="617"/>
      <c r="J358" s="617"/>
      <c r="K358" s="617"/>
      <c r="L358" s="617"/>
      <c r="M358" s="617"/>
      <c r="N358" s="617"/>
      <c r="O358" s="617"/>
      <c r="P358" s="617"/>
      <c r="Q358" s="617"/>
      <c r="R358" s="617"/>
      <c r="S358" s="617"/>
    </row>
    <row r="359" spans="6:19" x14ac:dyDescent="0.2">
      <c r="F359" s="152" t="s">
        <v>128</v>
      </c>
      <c r="G359" s="617"/>
      <c r="H359" s="617"/>
      <c r="I359" s="617"/>
      <c r="J359" s="617"/>
      <c r="K359" s="617"/>
      <c r="L359" s="617"/>
      <c r="M359" s="617"/>
      <c r="N359" s="617"/>
      <c r="O359" s="617"/>
      <c r="P359" s="617"/>
      <c r="Q359" s="617"/>
      <c r="R359" s="617"/>
      <c r="S359" s="617"/>
    </row>
    <row r="360" spans="6:19" x14ac:dyDescent="0.2">
      <c r="F360" s="14"/>
      <c r="G360" s="617"/>
      <c r="H360" s="617"/>
      <c r="I360" s="617"/>
      <c r="J360" s="617"/>
      <c r="K360" s="617"/>
      <c r="L360" s="617"/>
      <c r="M360" s="617"/>
      <c r="N360" s="617"/>
      <c r="O360" s="617"/>
      <c r="P360" s="617"/>
      <c r="Q360" s="617"/>
      <c r="R360" s="617"/>
      <c r="S360" s="617"/>
    </row>
    <row r="361" spans="6:19" x14ac:dyDescent="0.2">
      <c r="F361" s="14"/>
      <c r="G361" s="617"/>
      <c r="H361" s="617"/>
      <c r="I361" s="617"/>
      <c r="J361" s="617"/>
      <c r="K361" s="617"/>
      <c r="L361" s="617"/>
      <c r="M361" s="617"/>
      <c r="N361" s="617"/>
      <c r="O361" s="617"/>
      <c r="P361" s="617"/>
      <c r="Q361" s="617"/>
      <c r="R361" s="617"/>
      <c r="S361" s="617"/>
    </row>
    <row r="362" spans="6:19" x14ac:dyDescent="0.2">
      <c r="F362" s="14"/>
      <c r="G362" s="617"/>
      <c r="H362" s="617"/>
      <c r="I362" s="617"/>
      <c r="J362" s="617"/>
      <c r="K362" s="617"/>
      <c r="L362" s="617"/>
      <c r="M362" s="617"/>
      <c r="N362" s="617"/>
      <c r="O362" s="617"/>
      <c r="P362" s="617"/>
      <c r="Q362" s="617"/>
      <c r="R362" s="617"/>
      <c r="S362" s="617"/>
    </row>
    <row r="363" spans="6:19" x14ac:dyDescent="0.2">
      <c r="F363" s="14"/>
      <c r="G363" s="617"/>
      <c r="H363" s="617"/>
      <c r="I363" s="617"/>
      <c r="J363" s="617"/>
      <c r="K363" s="617"/>
      <c r="L363" s="617"/>
      <c r="M363" s="617"/>
      <c r="N363" s="617"/>
      <c r="O363" s="617"/>
      <c r="P363" s="617"/>
      <c r="Q363" s="617"/>
      <c r="R363" s="617"/>
      <c r="S363" s="617"/>
    </row>
    <row r="364" spans="6:19" x14ac:dyDescent="0.2">
      <c r="F364" s="14"/>
      <c r="G364" s="617"/>
      <c r="H364" s="617"/>
      <c r="I364" s="617"/>
      <c r="J364" s="617"/>
      <c r="K364" s="617"/>
      <c r="L364" s="617"/>
      <c r="M364" s="617"/>
      <c r="N364" s="617"/>
      <c r="O364" s="617"/>
      <c r="P364" s="617"/>
      <c r="Q364" s="617"/>
      <c r="R364" s="617"/>
      <c r="S364" s="617"/>
    </row>
    <row r="365" spans="6:19" x14ac:dyDescent="0.2">
      <c r="F365" s="14"/>
      <c r="G365" s="617"/>
      <c r="H365" s="617"/>
      <c r="I365" s="617"/>
      <c r="J365" s="617"/>
      <c r="K365" s="617"/>
      <c r="L365" s="617"/>
      <c r="M365" s="617"/>
      <c r="N365" s="617"/>
      <c r="O365" s="617"/>
      <c r="P365" s="617"/>
      <c r="Q365" s="617"/>
      <c r="R365" s="617"/>
      <c r="S365" s="617"/>
    </row>
    <row r="366" spans="6:19" x14ac:dyDescent="0.2">
      <c r="F366" s="14"/>
      <c r="G366" s="617"/>
      <c r="H366" s="617"/>
      <c r="I366" s="617"/>
      <c r="J366" s="617"/>
      <c r="K366" s="617"/>
      <c r="L366" s="617"/>
      <c r="M366" s="617"/>
      <c r="N366" s="617"/>
      <c r="O366" s="617"/>
      <c r="P366" s="617"/>
      <c r="Q366" s="617"/>
      <c r="R366" s="617"/>
      <c r="S366" s="617"/>
    </row>
    <row r="367" spans="6:19" x14ac:dyDescent="0.2">
      <c r="F367" s="14"/>
      <c r="G367" s="617"/>
      <c r="H367" s="617"/>
      <c r="I367" s="617"/>
      <c r="J367" s="617"/>
      <c r="K367" s="617"/>
      <c r="L367" s="617"/>
      <c r="M367" s="617"/>
      <c r="N367" s="617"/>
      <c r="O367" s="617"/>
      <c r="P367" s="617"/>
      <c r="Q367" s="617"/>
      <c r="R367" s="617"/>
      <c r="S367" s="617"/>
    </row>
    <row r="368" spans="6:19" x14ac:dyDescent="0.2">
      <c r="F368" s="14"/>
      <c r="G368" s="617"/>
      <c r="H368" s="617"/>
      <c r="I368" s="617"/>
      <c r="J368" s="617"/>
      <c r="K368" s="617"/>
      <c r="L368" s="617"/>
      <c r="M368" s="617"/>
      <c r="N368" s="617"/>
      <c r="O368" s="617"/>
      <c r="P368" s="617"/>
      <c r="Q368" s="617"/>
      <c r="R368" s="617"/>
      <c r="S368" s="617"/>
    </row>
    <row r="369" spans="6:19" x14ac:dyDescent="0.2">
      <c r="F369" s="14"/>
      <c r="G369" s="617"/>
      <c r="H369" s="617"/>
      <c r="I369" s="617"/>
      <c r="J369" s="617"/>
      <c r="K369" s="617"/>
      <c r="L369" s="617"/>
      <c r="M369" s="617"/>
      <c r="N369" s="617"/>
      <c r="O369" s="617"/>
      <c r="P369" s="617"/>
      <c r="Q369" s="617"/>
      <c r="R369" s="617"/>
      <c r="S369" s="617"/>
    </row>
    <row r="370" spans="6:19" x14ac:dyDescent="0.2">
      <c r="F370" s="14"/>
      <c r="G370" s="617"/>
      <c r="H370" s="617"/>
      <c r="I370" s="617"/>
      <c r="J370" s="617"/>
      <c r="K370" s="617"/>
      <c r="L370" s="617"/>
      <c r="M370" s="617"/>
      <c r="N370" s="617"/>
      <c r="O370" s="617"/>
      <c r="P370" s="617"/>
      <c r="Q370" s="617"/>
      <c r="R370" s="617"/>
      <c r="S370" s="617"/>
    </row>
    <row r="371" spans="6:19" x14ac:dyDescent="0.2">
      <c r="F371" s="14"/>
      <c r="G371" s="617"/>
      <c r="H371" s="617"/>
      <c r="I371" s="617"/>
      <c r="J371" s="617"/>
      <c r="K371" s="617"/>
      <c r="L371" s="617"/>
      <c r="M371" s="617"/>
      <c r="N371" s="617"/>
      <c r="O371" s="617"/>
      <c r="P371" s="617"/>
      <c r="Q371" s="617"/>
      <c r="R371" s="617"/>
      <c r="S371" s="617"/>
    </row>
    <row r="372" spans="6:19" x14ac:dyDescent="0.2">
      <c r="F372" s="14"/>
      <c r="G372" s="617"/>
      <c r="H372" s="617"/>
      <c r="I372" s="617"/>
      <c r="J372" s="617"/>
      <c r="K372" s="617"/>
      <c r="L372" s="617"/>
      <c r="M372" s="617"/>
      <c r="N372" s="617"/>
      <c r="O372" s="617"/>
      <c r="P372" s="617"/>
      <c r="Q372" s="617"/>
      <c r="R372" s="617"/>
      <c r="S372" s="617"/>
    </row>
    <row r="373" spans="6:19" x14ac:dyDescent="0.2">
      <c r="F373" s="14"/>
      <c r="G373" s="617"/>
      <c r="H373" s="617"/>
      <c r="I373" s="617"/>
      <c r="J373" s="617"/>
      <c r="K373" s="617"/>
      <c r="L373" s="617"/>
      <c r="M373" s="617"/>
      <c r="N373" s="617"/>
      <c r="O373" s="617"/>
      <c r="P373" s="617"/>
      <c r="Q373" s="617"/>
      <c r="R373" s="617"/>
      <c r="S373" s="617"/>
    </row>
    <row r="374" spans="6:19" x14ac:dyDescent="0.2">
      <c r="F374" s="14"/>
      <c r="G374" s="617"/>
      <c r="H374" s="617"/>
      <c r="I374" s="617"/>
      <c r="J374" s="617"/>
      <c r="K374" s="617"/>
      <c r="L374" s="617"/>
      <c r="M374" s="617"/>
      <c r="N374" s="617"/>
      <c r="O374" s="617"/>
      <c r="P374" s="617"/>
      <c r="Q374" s="617"/>
      <c r="R374" s="617"/>
      <c r="S374" s="617"/>
    </row>
    <row r="375" spans="6:19" x14ac:dyDescent="0.2">
      <c r="F375" s="14"/>
      <c r="G375" s="617"/>
      <c r="H375" s="617"/>
      <c r="I375" s="617"/>
      <c r="J375" s="617"/>
      <c r="K375" s="617"/>
      <c r="L375" s="617"/>
      <c r="M375" s="617"/>
      <c r="N375" s="617"/>
      <c r="O375" s="617"/>
      <c r="P375" s="617"/>
      <c r="Q375" s="617"/>
      <c r="R375" s="617"/>
      <c r="S375" s="617"/>
    </row>
    <row r="376" spans="6:19" x14ac:dyDescent="0.2">
      <c r="F376" s="14"/>
      <c r="G376" s="617"/>
      <c r="H376" s="617"/>
      <c r="I376" s="617"/>
      <c r="J376" s="617"/>
      <c r="K376" s="617"/>
      <c r="L376" s="617"/>
      <c r="M376" s="617"/>
      <c r="N376" s="617"/>
      <c r="O376" s="617"/>
      <c r="P376" s="617"/>
      <c r="Q376" s="617"/>
      <c r="R376" s="617"/>
      <c r="S376" s="617"/>
    </row>
    <row r="377" spans="6:19" x14ac:dyDescent="0.2">
      <c r="F377" s="14"/>
      <c r="G377" s="617"/>
      <c r="H377" s="617"/>
      <c r="I377" s="617"/>
      <c r="J377" s="617"/>
      <c r="K377" s="617"/>
      <c r="L377" s="617"/>
      <c r="M377" s="617"/>
      <c r="N377" s="617"/>
      <c r="O377" s="617"/>
      <c r="P377" s="617"/>
      <c r="Q377" s="617"/>
      <c r="R377" s="617"/>
      <c r="S377" s="617"/>
    </row>
    <row r="378" spans="6:19" x14ac:dyDescent="0.2">
      <c r="F378" s="152" t="s">
        <v>176</v>
      </c>
      <c r="G378" s="617"/>
      <c r="H378" s="617"/>
      <c r="I378" s="617"/>
      <c r="J378" s="617"/>
      <c r="K378" s="617"/>
      <c r="L378" s="617"/>
      <c r="M378" s="617"/>
      <c r="N378" s="617"/>
      <c r="O378" s="617"/>
      <c r="P378" s="617"/>
      <c r="Q378" s="617"/>
      <c r="R378" s="617"/>
      <c r="S378" s="617"/>
    </row>
    <row r="379" spans="6:19" x14ac:dyDescent="0.2">
      <c r="F379" s="14"/>
      <c r="G379" s="617"/>
      <c r="H379" s="617"/>
      <c r="I379" s="617"/>
      <c r="J379" s="617"/>
      <c r="K379" s="617"/>
      <c r="L379" s="617"/>
      <c r="M379" s="617"/>
      <c r="N379" s="617"/>
      <c r="O379" s="617"/>
      <c r="P379" s="617"/>
      <c r="Q379" s="617"/>
      <c r="R379" s="617"/>
      <c r="S379" s="617"/>
    </row>
    <row r="380" spans="6:19" x14ac:dyDescent="0.2">
      <c r="F380" s="14"/>
      <c r="G380" s="617"/>
      <c r="H380" s="617"/>
      <c r="I380" s="617"/>
      <c r="J380" s="617"/>
      <c r="K380" s="617"/>
      <c r="L380" s="617"/>
      <c r="M380" s="617"/>
      <c r="N380" s="617"/>
      <c r="O380" s="617"/>
      <c r="P380" s="617"/>
      <c r="Q380" s="617"/>
      <c r="R380" s="617"/>
      <c r="S380" s="617"/>
    </row>
    <row r="381" spans="6:19" x14ac:dyDescent="0.2">
      <c r="F381" s="14"/>
      <c r="G381" s="617"/>
      <c r="H381" s="617"/>
      <c r="I381" s="617"/>
      <c r="J381" s="617"/>
      <c r="K381" s="617"/>
      <c r="L381" s="617"/>
      <c r="M381" s="617"/>
      <c r="N381" s="617"/>
      <c r="O381" s="617"/>
      <c r="P381" s="617"/>
      <c r="Q381" s="617"/>
      <c r="R381" s="617"/>
      <c r="S381" s="617"/>
    </row>
    <row r="382" spans="6:19" x14ac:dyDescent="0.2">
      <c r="F382" s="14"/>
      <c r="G382" s="617"/>
      <c r="H382" s="617"/>
      <c r="I382" s="617"/>
      <c r="J382" s="617"/>
      <c r="K382" s="617"/>
      <c r="L382" s="617"/>
      <c r="M382" s="617"/>
      <c r="N382" s="617"/>
      <c r="O382" s="617"/>
      <c r="P382" s="617"/>
      <c r="Q382" s="617"/>
      <c r="R382" s="617"/>
      <c r="S382" s="617"/>
    </row>
    <row r="383" spans="6:19" x14ac:dyDescent="0.2">
      <c r="F383" s="14"/>
      <c r="G383" s="617"/>
      <c r="H383" s="617"/>
      <c r="I383" s="617"/>
      <c r="J383" s="617"/>
      <c r="K383" s="617"/>
      <c r="L383" s="617"/>
      <c r="M383" s="617"/>
      <c r="N383" s="617"/>
      <c r="O383" s="617"/>
      <c r="P383" s="617"/>
      <c r="Q383" s="617"/>
      <c r="R383" s="617"/>
      <c r="S383" s="617"/>
    </row>
    <row r="384" spans="6:19" x14ac:dyDescent="0.2">
      <c r="F384" s="14"/>
      <c r="G384" s="617"/>
      <c r="H384" s="617"/>
      <c r="I384" s="617"/>
      <c r="J384" s="617"/>
      <c r="K384" s="617"/>
      <c r="L384" s="617"/>
      <c r="M384" s="617"/>
      <c r="N384" s="617"/>
      <c r="O384" s="617"/>
      <c r="P384" s="617"/>
      <c r="Q384" s="617"/>
      <c r="R384" s="617"/>
      <c r="S384" s="617"/>
    </row>
    <row r="385" spans="6:19" x14ac:dyDescent="0.2">
      <c r="F385" s="14"/>
      <c r="G385" s="617"/>
      <c r="H385" s="617"/>
      <c r="I385" s="617"/>
      <c r="J385" s="617"/>
      <c r="K385" s="617"/>
      <c r="L385" s="617"/>
      <c r="M385" s="617"/>
      <c r="N385" s="617"/>
      <c r="O385" s="617"/>
      <c r="P385" s="617"/>
      <c r="Q385" s="617"/>
      <c r="R385" s="617"/>
      <c r="S385" s="617"/>
    </row>
    <row r="386" spans="6:19" x14ac:dyDescent="0.2">
      <c r="F386" s="14"/>
      <c r="G386" s="617"/>
      <c r="H386" s="617"/>
      <c r="I386" s="617"/>
      <c r="J386" s="617"/>
      <c r="K386" s="617"/>
      <c r="L386" s="617"/>
      <c r="M386" s="617"/>
      <c r="N386" s="617"/>
      <c r="O386" s="617"/>
      <c r="P386" s="617"/>
      <c r="Q386" s="617"/>
      <c r="R386" s="617"/>
      <c r="S386" s="617"/>
    </row>
    <row r="387" spans="6:19" x14ac:dyDescent="0.2">
      <c r="F387" s="14"/>
      <c r="G387" s="617"/>
      <c r="H387" s="617"/>
      <c r="I387" s="617"/>
      <c r="J387" s="617"/>
      <c r="K387" s="617"/>
      <c r="L387" s="617"/>
      <c r="M387" s="617"/>
      <c r="N387" s="617"/>
      <c r="O387" s="617"/>
      <c r="P387" s="617"/>
      <c r="Q387" s="617"/>
      <c r="R387" s="617"/>
      <c r="S387" s="617"/>
    </row>
    <row r="388" spans="6:19" x14ac:dyDescent="0.2">
      <c r="F388" s="14"/>
      <c r="G388" s="617"/>
      <c r="H388" s="617"/>
      <c r="I388" s="617"/>
      <c r="J388" s="617"/>
      <c r="K388" s="617"/>
      <c r="L388" s="617"/>
      <c r="M388" s="617"/>
      <c r="N388" s="617"/>
      <c r="O388" s="617"/>
      <c r="P388" s="617"/>
      <c r="Q388" s="617"/>
      <c r="R388" s="617"/>
      <c r="S388" s="617"/>
    </row>
    <row r="389" spans="6:19" x14ac:dyDescent="0.2">
      <c r="F389" s="14"/>
      <c r="G389" s="617"/>
      <c r="H389" s="617"/>
      <c r="I389" s="617"/>
      <c r="J389" s="617"/>
      <c r="K389" s="617"/>
      <c r="L389" s="617"/>
      <c r="M389" s="617"/>
      <c r="N389" s="617"/>
      <c r="O389" s="617"/>
      <c r="P389" s="617"/>
      <c r="Q389" s="617"/>
      <c r="R389" s="617"/>
      <c r="S389" s="617"/>
    </row>
    <row r="390" spans="6:19" x14ac:dyDescent="0.2">
      <c r="F390" s="14"/>
      <c r="G390" s="617"/>
      <c r="H390" s="617"/>
      <c r="I390" s="617"/>
      <c r="J390" s="617"/>
      <c r="K390" s="617"/>
      <c r="L390" s="617"/>
      <c r="M390" s="617"/>
      <c r="N390" s="617"/>
      <c r="O390" s="617"/>
      <c r="P390" s="617"/>
      <c r="Q390" s="617"/>
      <c r="R390" s="617"/>
      <c r="S390" s="617"/>
    </row>
    <row r="391" spans="6:19" x14ac:dyDescent="0.2">
      <c r="F391" s="14"/>
      <c r="G391" s="617"/>
      <c r="H391" s="617"/>
      <c r="I391" s="617"/>
      <c r="J391" s="617"/>
      <c r="K391" s="617"/>
      <c r="L391" s="617"/>
      <c r="M391" s="617"/>
      <c r="N391" s="617"/>
      <c r="O391" s="617"/>
      <c r="P391" s="617"/>
      <c r="Q391" s="617"/>
      <c r="R391" s="617"/>
      <c r="S391" s="617"/>
    </row>
    <row r="392" spans="6:19" x14ac:dyDescent="0.2">
      <c r="F392" s="14"/>
      <c r="G392" s="617"/>
      <c r="H392" s="617"/>
      <c r="I392" s="617"/>
      <c r="J392" s="617"/>
      <c r="K392" s="617"/>
      <c r="L392" s="617"/>
      <c r="M392" s="617"/>
      <c r="N392" s="617"/>
      <c r="O392" s="617"/>
      <c r="P392" s="617"/>
      <c r="Q392" s="617"/>
      <c r="R392" s="617"/>
      <c r="S392" s="617"/>
    </row>
    <row r="393" spans="6:19" x14ac:dyDescent="0.2">
      <c r="F393" s="14"/>
      <c r="G393" s="617"/>
      <c r="H393" s="617"/>
      <c r="I393" s="617"/>
      <c r="J393" s="617"/>
      <c r="K393" s="617"/>
      <c r="L393" s="617"/>
      <c r="M393" s="617"/>
      <c r="N393" s="617"/>
      <c r="O393" s="617"/>
      <c r="P393" s="617"/>
      <c r="Q393" s="617"/>
      <c r="R393" s="617"/>
      <c r="S393" s="617"/>
    </row>
    <row r="394" spans="6:19" x14ac:dyDescent="0.2">
      <c r="F394" s="14"/>
      <c r="G394" s="617"/>
      <c r="H394" s="617"/>
      <c r="I394" s="617"/>
      <c r="J394" s="617"/>
      <c r="K394" s="617"/>
      <c r="L394" s="617"/>
      <c r="M394" s="617"/>
      <c r="N394" s="617"/>
      <c r="O394" s="617"/>
      <c r="P394" s="617"/>
      <c r="Q394" s="617"/>
      <c r="R394" s="617"/>
      <c r="S394" s="617"/>
    </row>
    <row r="395" spans="6:19" x14ac:dyDescent="0.2">
      <c r="F395" s="14"/>
      <c r="G395" s="617"/>
      <c r="H395" s="617"/>
      <c r="I395" s="617"/>
      <c r="J395" s="617"/>
      <c r="K395" s="617"/>
      <c r="L395" s="617"/>
      <c r="M395" s="617"/>
      <c r="N395" s="617"/>
      <c r="O395" s="617"/>
      <c r="P395" s="617"/>
      <c r="Q395" s="617"/>
      <c r="R395" s="617"/>
      <c r="S395" s="617"/>
    </row>
    <row r="396" spans="6:19" x14ac:dyDescent="0.2">
      <c r="F396" s="14"/>
      <c r="G396" s="617"/>
      <c r="H396" s="617"/>
      <c r="I396" s="617"/>
      <c r="J396" s="617"/>
      <c r="K396" s="617"/>
      <c r="L396" s="617"/>
      <c r="M396" s="617"/>
      <c r="N396" s="617"/>
      <c r="O396" s="617"/>
      <c r="P396" s="617"/>
      <c r="Q396" s="617"/>
      <c r="R396" s="617"/>
      <c r="S396" s="617"/>
    </row>
    <row r="397" spans="6:19" x14ac:dyDescent="0.2">
      <c r="F397" s="14"/>
      <c r="G397" s="617"/>
      <c r="H397" s="617"/>
      <c r="I397" s="617"/>
      <c r="J397" s="617"/>
      <c r="K397" s="617"/>
      <c r="L397" s="617"/>
      <c r="M397" s="617"/>
      <c r="N397" s="617"/>
      <c r="O397" s="617"/>
      <c r="P397" s="617"/>
      <c r="Q397" s="617"/>
      <c r="R397" s="617"/>
      <c r="S397" s="617"/>
    </row>
    <row r="398" spans="6:19" x14ac:dyDescent="0.2">
      <c r="F398" s="14"/>
      <c r="G398" s="617"/>
      <c r="H398" s="617"/>
      <c r="I398" s="617"/>
      <c r="J398" s="617"/>
      <c r="K398" s="617"/>
      <c r="L398" s="617"/>
      <c r="M398" s="617"/>
      <c r="N398" s="617"/>
      <c r="O398" s="617"/>
      <c r="P398" s="617"/>
      <c r="Q398" s="617"/>
      <c r="R398" s="617"/>
      <c r="S398" s="617"/>
    </row>
    <row r="399" spans="6:19" x14ac:dyDescent="0.2">
      <c r="F399" s="14"/>
      <c r="G399" s="617"/>
      <c r="H399" s="617"/>
      <c r="I399" s="617"/>
      <c r="J399" s="617"/>
      <c r="K399" s="617"/>
      <c r="L399" s="617"/>
      <c r="M399" s="617"/>
      <c r="N399" s="617"/>
      <c r="O399" s="617"/>
      <c r="P399" s="617"/>
      <c r="Q399" s="617"/>
      <c r="R399" s="617"/>
      <c r="S399" s="617"/>
    </row>
    <row r="400" spans="6:19" x14ac:dyDescent="0.2">
      <c r="F400" s="14"/>
      <c r="G400" s="617"/>
      <c r="H400" s="617"/>
      <c r="I400" s="617"/>
      <c r="J400" s="617"/>
      <c r="K400" s="617"/>
      <c r="L400" s="617"/>
      <c r="M400" s="617"/>
      <c r="N400" s="617"/>
      <c r="O400" s="617"/>
      <c r="P400" s="617"/>
      <c r="Q400" s="617"/>
      <c r="R400" s="617"/>
      <c r="S400" s="617"/>
    </row>
    <row r="401" spans="6:19" x14ac:dyDescent="0.2">
      <c r="F401" s="14"/>
      <c r="G401" s="617"/>
      <c r="H401" s="617"/>
      <c r="I401" s="617"/>
      <c r="J401" s="617"/>
      <c r="K401" s="617"/>
      <c r="L401" s="617"/>
      <c r="M401" s="617"/>
      <c r="N401" s="617"/>
      <c r="O401" s="617"/>
      <c r="P401" s="617"/>
      <c r="Q401" s="617"/>
      <c r="R401" s="617"/>
      <c r="S401" s="617"/>
    </row>
    <row r="402" spans="6:19" x14ac:dyDescent="0.2">
      <c r="F402" s="14"/>
      <c r="G402" s="617"/>
      <c r="H402" s="617"/>
      <c r="I402" s="617"/>
      <c r="J402" s="617"/>
      <c r="K402" s="617"/>
      <c r="L402" s="617"/>
      <c r="M402" s="617"/>
      <c r="N402" s="617"/>
      <c r="O402" s="617"/>
      <c r="P402" s="617"/>
      <c r="Q402" s="617"/>
      <c r="R402" s="617"/>
      <c r="S402" s="617"/>
    </row>
    <row r="403" spans="6:19" x14ac:dyDescent="0.2">
      <c r="F403" s="14"/>
      <c r="G403" s="617"/>
      <c r="H403" s="617"/>
      <c r="I403" s="617"/>
      <c r="J403" s="617"/>
      <c r="K403" s="617"/>
      <c r="L403" s="617"/>
      <c r="M403" s="617"/>
      <c r="N403" s="617"/>
      <c r="O403" s="617"/>
      <c r="P403" s="617"/>
      <c r="Q403" s="617"/>
      <c r="R403" s="617"/>
      <c r="S403" s="617"/>
    </row>
    <row r="404" spans="6:19" x14ac:dyDescent="0.2">
      <c r="F404" s="14"/>
      <c r="G404" s="617"/>
      <c r="H404" s="617"/>
      <c r="I404" s="617"/>
      <c r="J404" s="617"/>
      <c r="K404" s="617"/>
      <c r="L404" s="617"/>
      <c r="M404" s="617"/>
      <c r="N404" s="617"/>
      <c r="O404" s="617"/>
      <c r="P404" s="617"/>
      <c r="Q404" s="617"/>
      <c r="R404" s="617"/>
      <c r="S404" s="617"/>
    </row>
    <row r="405" spans="6:19" x14ac:dyDescent="0.2">
      <c r="F405" s="14"/>
      <c r="G405" s="617"/>
      <c r="H405" s="617"/>
      <c r="I405" s="617"/>
      <c r="J405" s="617"/>
      <c r="K405" s="617"/>
      <c r="L405" s="617"/>
      <c r="M405" s="617"/>
      <c r="N405" s="617"/>
      <c r="O405" s="617"/>
      <c r="P405" s="617"/>
      <c r="Q405" s="617"/>
      <c r="R405" s="617"/>
      <c r="S405" s="617"/>
    </row>
    <row r="406" spans="6:19" x14ac:dyDescent="0.2">
      <c r="F406" s="14"/>
      <c r="G406" s="617"/>
      <c r="H406" s="617"/>
      <c r="I406" s="617"/>
      <c r="J406" s="617"/>
      <c r="K406" s="617"/>
      <c r="L406" s="617"/>
      <c r="M406" s="617"/>
      <c r="N406" s="617"/>
      <c r="O406" s="617"/>
      <c r="P406" s="617"/>
      <c r="Q406" s="617"/>
      <c r="R406" s="617"/>
      <c r="S406" s="617"/>
    </row>
    <row r="407" spans="6:19" x14ac:dyDescent="0.2">
      <c r="F407" s="14"/>
      <c r="G407" s="617"/>
      <c r="H407" s="617"/>
      <c r="I407" s="617"/>
      <c r="J407" s="617"/>
      <c r="K407" s="617"/>
      <c r="L407" s="617"/>
      <c r="M407" s="617"/>
      <c r="N407" s="617"/>
      <c r="O407" s="617"/>
      <c r="P407" s="617"/>
      <c r="Q407" s="617"/>
      <c r="R407" s="617"/>
      <c r="S407" s="617"/>
    </row>
    <row r="408" spans="6:19" x14ac:dyDescent="0.2">
      <c r="F408" s="152" t="s">
        <v>189</v>
      </c>
      <c r="G408" s="617"/>
      <c r="H408" s="617"/>
      <c r="I408" s="617"/>
      <c r="J408" s="617"/>
      <c r="K408" s="617"/>
      <c r="L408" s="617"/>
      <c r="M408" s="617"/>
      <c r="N408" s="617"/>
      <c r="O408" s="617"/>
      <c r="P408" s="617"/>
      <c r="Q408" s="617"/>
      <c r="R408" s="617"/>
      <c r="S408" s="617"/>
    </row>
    <row r="409" spans="6:19" x14ac:dyDescent="0.2">
      <c r="F409" s="14"/>
      <c r="G409" s="617"/>
      <c r="H409" s="617"/>
      <c r="I409" s="617"/>
      <c r="J409" s="617"/>
      <c r="K409" s="617"/>
      <c r="L409" s="617"/>
      <c r="M409" s="617"/>
      <c r="N409" s="617"/>
      <c r="O409" s="617"/>
      <c r="P409" s="617"/>
      <c r="Q409" s="617"/>
      <c r="R409" s="617"/>
      <c r="S409" s="617"/>
    </row>
    <row r="410" spans="6:19" x14ac:dyDescent="0.2">
      <c r="F410" s="14"/>
      <c r="G410" s="617"/>
      <c r="H410" s="617"/>
      <c r="I410" s="617"/>
      <c r="J410" s="617"/>
      <c r="K410" s="617"/>
      <c r="L410" s="617"/>
      <c r="M410" s="617"/>
      <c r="N410" s="617"/>
      <c r="O410" s="617"/>
      <c r="P410" s="617"/>
      <c r="Q410" s="617"/>
      <c r="R410" s="617"/>
      <c r="S410" s="617"/>
    </row>
    <row r="411" spans="6:19" x14ac:dyDescent="0.2">
      <c r="F411" s="14"/>
      <c r="G411" s="617"/>
      <c r="H411" s="617"/>
      <c r="I411" s="617"/>
      <c r="J411" s="617"/>
      <c r="K411" s="617"/>
      <c r="L411" s="617"/>
      <c r="M411" s="617"/>
      <c r="N411" s="617"/>
      <c r="O411" s="617"/>
      <c r="P411" s="617"/>
      <c r="Q411" s="617"/>
      <c r="R411" s="617"/>
      <c r="S411" s="617"/>
    </row>
    <row r="412" spans="6:19" x14ac:dyDescent="0.2">
      <c r="F412" s="14"/>
      <c r="G412" s="617"/>
      <c r="H412" s="617"/>
      <c r="I412" s="617"/>
      <c r="J412" s="617"/>
      <c r="K412" s="617"/>
      <c r="L412" s="617"/>
      <c r="M412" s="617"/>
      <c r="N412" s="617"/>
      <c r="O412" s="617"/>
      <c r="P412" s="617"/>
      <c r="Q412" s="617"/>
      <c r="R412" s="617"/>
      <c r="S412" s="617"/>
    </row>
    <row r="413" spans="6:19" x14ac:dyDescent="0.2">
      <c r="F413" s="14"/>
      <c r="G413" s="617"/>
      <c r="H413" s="617"/>
      <c r="I413" s="617"/>
      <c r="J413" s="617"/>
      <c r="K413" s="617"/>
      <c r="L413" s="617"/>
      <c r="M413" s="617"/>
      <c r="N413" s="617"/>
      <c r="O413" s="617"/>
      <c r="P413" s="617"/>
      <c r="Q413" s="617"/>
      <c r="R413" s="617"/>
      <c r="S413" s="617"/>
    </row>
    <row r="414" spans="6:19" x14ac:dyDescent="0.2">
      <c r="F414" s="14"/>
      <c r="G414" s="617"/>
      <c r="H414" s="617"/>
      <c r="I414" s="617"/>
      <c r="J414" s="617"/>
      <c r="K414" s="617"/>
      <c r="L414" s="617"/>
      <c r="M414" s="617"/>
      <c r="N414" s="617"/>
      <c r="O414" s="617"/>
      <c r="P414" s="617"/>
      <c r="Q414" s="617"/>
      <c r="R414" s="617"/>
      <c r="S414" s="617"/>
    </row>
    <row r="415" spans="6:19" x14ac:dyDescent="0.2">
      <c r="F415" s="14"/>
      <c r="G415" s="617"/>
      <c r="H415" s="617"/>
      <c r="I415" s="617"/>
      <c r="J415" s="617"/>
      <c r="K415" s="617"/>
      <c r="L415" s="617"/>
      <c r="M415" s="617"/>
      <c r="N415" s="617"/>
      <c r="O415" s="617"/>
      <c r="P415" s="617"/>
      <c r="Q415" s="617"/>
      <c r="R415" s="617"/>
      <c r="S415" s="617"/>
    </row>
    <row r="416" spans="6:19" x14ac:dyDescent="0.2">
      <c r="F416" s="14"/>
      <c r="G416" s="617"/>
      <c r="H416" s="617"/>
      <c r="I416" s="617"/>
      <c r="J416" s="617"/>
      <c r="K416" s="617"/>
      <c r="L416" s="617"/>
      <c r="M416" s="617"/>
      <c r="N416" s="617"/>
      <c r="O416" s="617"/>
      <c r="P416" s="617"/>
      <c r="Q416" s="617"/>
      <c r="R416" s="617"/>
      <c r="S416" s="617"/>
    </row>
    <row r="417" spans="6:19" x14ac:dyDescent="0.2">
      <c r="F417" s="14"/>
      <c r="G417" s="617"/>
      <c r="H417" s="617"/>
      <c r="I417" s="617"/>
      <c r="J417" s="617"/>
      <c r="K417" s="617"/>
      <c r="L417" s="617"/>
      <c r="M417" s="617"/>
      <c r="N417" s="617"/>
      <c r="O417" s="617"/>
      <c r="P417" s="617"/>
      <c r="Q417" s="617"/>
      <c r="R417" s="617"/>
      <c r="S417" s="617"/>
    </row>
    <row r="418" spans="6:19" x14ac:dyDescent="0.2">
      <c r="F418" s="14"/>
      <c r="G418" s="617"/>
      <c r="H418" s="617"/>
      <c r="I418" s="617"/>
      <c r="J418" s="617"/>
      <c r="K418" s="617"/>
      <c r="L418" s="617"/>
      <c r="M418" s="617"/>
      <c r="N418" s="617"/>
      <c r="O418" s="617"/>
      <c r="P418" s="617"/>
      <c r="Q418" s="617"/>
      <c r="R418" s="617"/>
      <c r="S418" s="617"/>
    </row>
    <row r="419" spans="6:19" x14ac:dyDescent="0.2">
      <c r="F419" s="14"/>
      <c r="G419" s="617"/>
      <c r="H419" s="617"/>
      <c r="I419" s="617"/>
      <c r="J419" s="617"/>
      <c r="K419" s="617"/>
      <c r="L419" s="617"/>
      <c r="M419" s="617"/>
      <c r="N419" s="617"/>
      <c r="O419" s="617"/>
      <c r="P419" s="617"/>
      <c r="Q419" s="617"/>
      <c r="R419" s="617"/>
      <c r="S419" s="617"/>
    </row>
    <row r="420" spans="6:19" x14ac:dyDescent="0.2">
      <c r="F420" s="14"/>
      <c r="G420" s="617"/>
      <c r="H420" s="617"/>
      <c r="I420" s="617"/>
      <c r="J420" s="617"/>
      <c r="K420" s="617"/>
      <c r="L420" s="617"/>
      <c r="M420" s="617"/>
      <c r="N420" s="617"/>
      <c r="O420" s="617"/>
      <c r="P420" s="617"/>
      <c r="Q420" s="617"/>
      <c r="R420" s="617"/>
      <c r="S420" s="617"/>
    </row>
    <row r="421" spans="6:19" x14ac:dyDescent="0.2">
      <c r="F421" s="14"/>
      <c r="G421" s="617"/>
      <c r="H421" s="617"/>
      <c r="I421" s="617"/>
      <c r="J421" s="617"/>
      <c r="K421" s="617"/>
      <c r="L421" s="617"/>
      <c r="M421" s="617"/>
      <c r="N421" s="617"/>
      <c r="O421" s="617"/>
      <c r="P421" s="617"/>
      <c r="Q421" s="617"/>
      <c r="R421" s="617"/>
      <c r="S421" s="617"/>
    </row>
    <row r="422" spans="6:19" x14ac:dyDescent="0.2">
      <c r="F422" s="14"/>
      <c r="G422" s="617"/>
      <c r="H422" s="617"/>
      <c r="I422" s="617"/>
      <c r="J422" s="617"/>
      <c r="K422" s="617"/>
      <c r="L422" s="617"/>
      <c r="M422" s="617"/>
      <c r="N422" s="617"/>
      <c r="O422" s="617"/>
      <c r="P422" s="617"/>
      <c r="Q422" s="617"/>
      <c r="R422" s="617"/>
      <c r="S422" s="617"/>
    </row>
    <row r="423" spans="6:19" x14ac:dyDescent="0.2">
      <c r="F423" s="152" t="s">
        <v>211</v>
      </c>
      <c r="G423" s="617"/>
      <c r="H423" s="617"/>
      <c r="I423" s="617"/>
      <c r="J423" s="617"/>
      <c r="K423" s="617"/>
      <c r="L423" s="617"/>
      <c r="M423" s="617"/>
      <c r="N423" s="617"/>
      <c r="O423" s="617"/>
      <c r="P423" s="617"/>
      <c r="Q423" s="617"/>
      <c r="R423" s="617"/>
      <c r="S423" s="617"/>
    </row>
    <row r="424" spans="6:19" x14ac:dyDescent="0.2">
      <c r="F424" s="14"/>
      <c r="G424" s="617"/>
      <c r="H424" s="617"/>
      <c r="I424" s="617"/>
      <c r="J424" s="617"/>
      <c r="K424" s="617"/>
      <c r="L424" s="617"/>
      <c r="M424" s="617"/>
      <c r="N424" s="617"/>
      <c r="O424" s="617"/>
      <c r="P424" s="617"/>
      <c r="Q424" s="617"/>
      <c r="R424" s="617"/>
      <c r="S424" s="617"/>
    </row>
    <row r="425" spans="6:19" x14ac:dyDescent="0.2">
      <c r="F425" s="14"/>
      <c r="G425" s="617"/>
      <c r="H425" s="617"/>
      <c r="I425" s="617"/>
      <c r="J425" s="617"/>
      <c r="K425" s="617"/>
      <c r="L425" s="617"/>
      <c r="M425" s="617"/>
      <c r="N425" s="617"/>
      <c r="O425" s="617"/>
      <c r="P425" s="617"/>
      <c r="Q425" s="617"/>
      <c r="R425" s="617"/>
      <c r="S425" s="617"/>
    </row>
    <row r="426" spans="6:19" x14ac:dyDescent="0.2">
      <c r="F426" s="14"/>
      <c r="G426" s="617"/>
      <c r="H426" s="617"/>
      <c r="I426" s="617"/>
      <c r="J426" s="617"/>
      <c r="K426" s="617"/>
      <c r="L426" s="617"/>
      <c r="M426" s="617"/>
      <c r="N426" s="617"/>
      <c r="O426" s="617"/>
      <c r="P426" s="617"/>
      <c r="Q426" s="617"/>
      <c r="R426" s="617"/>
      <c r="S426" s="617"/>
    </row>
    <row r="427" spans="6:19" x14ac:dyDescent="0.2">
      <c r="F427" s="14"/>
      <c r="G427" s="617"/>
      <c r="H427" s="617"/>
      <c r="I427" s="617"/>
      <c r="J427" s="617"/>
      <c r="K427" s="617"/>
      <c r="L427" s="617"/>
      <c r="M427" s="617"/>
      <c r="N427" s="617"/>
      <c r="O427" s="617"/>
      <c r="P427" s="617"/>
      <c r="Q427" s="617"/>
      <c r="R427" s="617"/>
      <c r="S427" s="617"/>
    </row>
    <row r="428" spans="6:19" x14ac:dyDescent="0.2">
      <c r="F428" s="14"/>
      <c r="G428" s="617"/>
      <c r="H428" s="617"/>
      <c r="I428" s="617"/>
      <c r="J428" s="617"/>
      <c r="K428" s="617"/>
      <c r="L428" s="617"/>
      <c r="M428" s="617"/>
      <c r="N428" s="617"/>
      <c r="O428" s="617"/>
      <c r="P428" s="617"/>
      <c r="Q428" s="617"/>
      <c r="R428" s="617"/>
      <c r="S428" s="617"/>
    </row>
    <row r="429" spans="6:19" x14ac:dyDescent="0.2">
      <c r="F429" s="14"/>
      <c r="G429" s="617"/>
      <c r="H429" s="617"/>
      <c r="I429" s="617"/>
      <c r="J429" s="617"/>
      <c r="K429" s="617"/>
      <c r="L429" s="617"/>
      <c r="M429" s="617"/>
      <c r="N429" s="617"/>
      <c r="O429" s="617"/>
      <c r="P429" s="617"/>
      <c r="Q429" s="617"/>
      <c r="R429" s="617"/>
      <c r="S429" s="617"/>
    </row>
    <row r="430" spans="6:19" x14ac:dyDescent="0.2">
      <c r="F430" s="14"/>
      <c r="G430" s="617"/>
      <c r="H430" s="617"/>
      <c r="I430" s="617"/>
      <c r="J430" s="617"/>
      <c r="K430" s="617"/>
      <c r="L430" s="617"/>
      <c r="M430" s="617"/>
      <c r="N430" s="617"/>
      <c r="O430" s="617"/>
      <c r="P430" s="617"/>
      <c r="Q430" s="617"/>
      <c r="R430" s="617"/>
      <c r="S430" s="617"/>
    </row>
    <row r="431" spans="6:19" x14ac:dyDescent="0.2">
      <c r="F431" s="14"/>
      <c r="G431" s="617"/>
      <c r="H431" s="617"/>
      <c r="I431" s="617"/>
      <c r="J431" s="617"/>
      <c r="K431" s="617"/>
      <c r="L431" s="617"/>
      <c r="M431" s="617"/>
      <c r="N431" s="617"/>
      <c r="O431" s="617"/>
      <c r="P431" s="617"/>
      <c r="Q431" s="617"/>
      <c r="R431" s="617"/>
      <c r="S431" s="617"/>
    </row>
    <row r="432" spans="6:19" x14ac:dyDescent="0.2">
      <c r="F432" s="14"/>
      <c r="G432" s="617"/>
      <c r="H432" s="617"/>
      <c r="I432" s="617"/>
      <c r="J432" s="617"/>
      <c r="K432" s="617"/>
      <c r="L432" s="617"/>
      <c r="M432" s="617"/>
      <c r="N432" s="617"/>
      <c r="O432" s="617"/>
      <c r="P432" s="617"/>
      <c r="Q432" s="617"/>
      <c r="R432" s="617"/>
      <c r="S432" s="617"/>
    </row>
    <row r="433" spans="6:19" x14ac:dyDescent="0.2">
      <c r="F433" s="14"/>
      <c r="G433" s="617"/>
      <c r="H433" s="617"/>
      <c r="I433" s="617"/>
      <c r="J433" s="617"/>
      <c r="K433" s="617"/>
      <c r="L433" s="617"/>
      <c r="M433" s="617"/>
      <c r="N433" s="617"/>
      <c r="O433" s="617"/>
      <c r="P433" s="617"/>
      <c r="Q433" s="617"/>
      <c r="R433" s="617"/>
      <c r="S433" s="617"/>
    </row>
    <row r="434" spans="6:19" x14ac:dyDescent="0.2">
      <c r="F434" s="14"/>
      <c r="G434" s="617"/>
      <c r="H434" s="617"/>
      <c r="I434" s="617"/>
      <c r="J434" s="617"/>
      <c r="K434" s="617"/>
      <c r="L434" s="617"/>
      <c r="M434" s="617"/>
      <c r="N434" s="617"/>
      <c r="O434" s="617"/>
      <c r="P434" s="617"/>
      <c r="Q434" s="617"/>
      <c r="R434" s="617"/>
      <c r="S434" s="617"/>
    </row>
    <row r="435" spans="6:19" x14ac:dyDescent="0.2">
      <c r="F435" s="28"/>
      <c r="G435" s="617"/>
      <c r="H435" s="617"/>
      <c r="I435" s="617"/>
      <c r="J435" s="617"/>
      <c r="K435" s="617"/>
      <c r="L435" s="617"/>
      <c r="M435" s="617"/>
      <c r="N435" s="617"/>
      <c r="O435" s="617"/>
      <c r="P435" s="617"/>
      <c r="Q435" s="617"/>
      <c r="R435" s="617"/>
      <c r="S435" s="617"/>
    </row>
  </sheetData>
  <sheetProtection password="C82C" sheet="1" objects="1" scenarios="1" selectLockedCells="1"/>
  <pageMargins left="0.70866141732283472" right="0.70866141732283472" top="0.74803149606299213" bottom="0.74803149606299213" header="0.31496062992125984" footer="0.31496062992125984"/>
  <pageSetup paperSize="9" scale="69" fitToHeight="0" orientation="portrait" r:id="rId1"/>
  <headerFooter>
    <oddHeader>&amp;LPUBLIC&amp;CEfficient Costs of New Entrant Ethanol Producers&amp;R&amp;G</oddHeader>
    <oddFooter>&amp;L&amp;F:&amp;A&amp;C&amp;D&amp;R&amp;P of &amp;N</oddFooter>
  </headerFooter>
  <rowBreaks count="2" manualBreakCount="2">
    <brk id="81" min="6" max="11" man="1"/>
    <brk id="157" min="6" max="11"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'Wheat Standalone (Starch)'!$S$156:$S$157</xm:f>
          </x14:formula1>
          <xm:sqref>N137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90"/>
  <sheetViews>
    <sheetView topLeftCell="H3" zoomScaleNormal="100" workbookViewId="0">
      <selection activeCell="I5" sqref="I5"/>
    </sheetView>
  </sheetViews>
  <sheetFormatPr defaultRowHeight="12.75" x14ac:dyDescent="0.2"/>
  <cols>
    <col min="1" max="3" width="0" style="617" hidden="1" customWidth="1"/>
    <col min="4" max="4" width="6.140625" style="617" hidden="1" customWidth="1"/>
    <col min="5" max="5" width="8.140625" style="617" hidden="1" customWidth="1"/>
    <col min="6" max="6" width="4.42578125" style="617" hidden="1" customWidth="1"/>
    <col min="7" max="7" width="4.7109375" style="617" hidden="1" customWidth="1"/>
    <col min="8" max="8" width="41.42578125" style="617" customWidth="1"/>
    <col min="9" max="9" width="30.140625" style="261" customWidth="1"/>
    <col min="10" max="10" width="13.28515625" style="617" customWidth="1"/>
    <col min="11" max="11" width="17" style="617" customWidth="1"/>
    <col min="12" max="12" width="16.28515625" style="618" customWidth="1"/>
    <col min="13" max="13" width="13.28515625" style="617" customWidth="1"/>
    <col min="14" max="14" width="13.5703125" style="661" customWidth="1"/>
    <col min="15" max="15" width="14" style="661" customWidth="1"/>
    <col min="16" max="17" width="13.5703125" style="661" customWidth="1"/>
    <col min="18" max="18" width="17.42578125" style="661" customWidth="1"/>
    <col min="19" max="26" width="13.5703125" style="661" customWidth="1"/>
    <col min="27" max="16384" width="9.140625" style="617"/>
  </cols>
  <sheetData>
    <row r="1" spans="6:20" s="661" customFormat="1" ht="20.25" hidden="1" x14ac:dyDescent="0.3">
      <c r="F1" s="616"/>
      <c r="G1" s="617"/>
      <c r="H1" s="617"/>
      <c r="I1" s="261"/>
      <c r="J1" s="617"/>
      <c r="K1" s="617"/>
      <c r="L1" s="618"/>
      <c r="M1" s="617"/>
    </row>
    <row r="2" spans="6:20" s="661" customFormat="1" hidden="1" x14ac:dyDescent="0.2">
      <c r="F2" s="617"/>
      <c r="G2" s="617"/>
      <c r="H2" s="619"/>
      <c r="I2" s="261"/>
      <c r="J2" s="617"/>
      <c r="K2" s="617"/>
      <c r="L2" s="618"/>
      <c r="M2" s="617"/>
    </row>
    <row r="3" spans="6:20" s="661" customFormat="1" ht="23.25" x14ac:dyDescent="0.35">
      <c r="F3" s="393"/>
      <c r="G3" s="617"/>
      <c r="H3" s="302" t="s">
        <v>1022</v>
      </c>
      <c r="I3" s="261"/>
      <c r="J3" s="617"/>
      <c r="K3" s="617"/>
      <c r="L3" s="618"/>
      <c r="M3" s="617"/>
    </row>
    <row r="4" spans="6:20" s="661" customFormat="1" ht="25.5" x14ac:dyDescent="0.2">
      <c r="F4" s="281"/>
      <c r="G4" s="318" t="s">
        <v>0</v>
      </c>
      <c r="H4" s="361" t="s">
        <v>1</v>
      </c>
      <c r="I4" s="620" t="s">
        <v>2</v>
      </c>
      <c r="J4" s="620" t="s">
        <v>551</v>
      </c>
      <c r="K4" s="620" t="s">
        <v>552</v>
      </c>
      <c r="L4" s="466" t="s">
        <v>553</v>
      </c>
      <c r="M4" s="347" t="s">
        <v>554</v>
      </c>
      <c r="N4" s="662" t="s">
        <v>555</v>
      </c>
      <c r="O4" s="402" t="s">
        <v>556</v>
      </c>
      <c r="P4" s="402" t="s">
        <v>557</v>
      </c>
      <c r="Q4" s="402"/>
      <c r="R4" s="402"/>
      <c r="S4" s="402"/>
      <c r="T4" s="401"/>
    </row>
    <row r="5" spans="6:20" s="661" customFormat="1" x14ac:dyDescent="0.2">
      <c r="F5" s="621"/>
      <c r="G5" s="621"/>
      <c r="H5" s="656" t="s">
        <v>558</v>
      </c>
      <c r="I5" s="732">
        <v>0</v>
      </c>
      <c r="J5" s="392">
        <v>0.45</v>
      </c>
      <c r="K5" s="392">
        <v>0.19</v>
      </c>
      <c r="L5" s="392">
        <v>0.24</v>
      </c>
      <c r="M5" s="623">
        <f t="shared" ref="M5:M10" si="0">$J$21*$J$59/($J$55*J5+$J$56*K5)*I5/1000</f>
        <v>0</v>
      </c>
      <c r="N5" s="663">
        <f>M5*J17</f>
        <v>0</v>
      </c>
      <c r="O5" s="467">
        <f t="shared" ref="O5:O10" si="1">100%-SUM(L5,J5:K5)</f>
        <v>0.12000000000000011</v>
      </c>
      <c r="P5" s="392">
        <v>0.47</v>
      </c>
      <c r="R5" s="624"/>
      <c r="S5" s="624"/>
      <c r="T5" s="663"/>
    </row>
    <row r="6" spans="6:20" s="661" customFormat="1" x14ac:dyDescent="0.2">
      <c r="F6" s="621"/>
      <c r="G6" s="621"/>
      <c r="H6" s="656" t="s">
        <v>559</v>
      </c>
      <c r="I6" s="732">
        <v>0</v>
      </c>
      <c r="J6" s="392">
        <v>0.45</v>
      </c>
      <c r="K6" s="392">
        <v>0.19</v>
      </c>
      <c r="L6" s="392">
        <v>0.24</v>
      </c>
      <c r="M6" s="623">
        <f t="shared" si="0"/>
        <v>0</v>
      </c>
      <c r="N6" s="663">
        <f>M6*$J$17</f>
        <v>0</v>
      </c>
      <c r="O6" s="467">
        <f t="shared" si="1"/>
        <v>0.12000000000000011</v>
      </c>
      <c r="P6" s="392">
        <v>0.47</v>
      </c>
      <c r="R6" s="624"/>
      <c r="S6" s="624"/>
      <c r="T6" s="663"/>
    </row>
    <row r="7" spans="6:20" s="661" customFormat="1" x14ac:dyDescent="0.2">
      <c r="F7" s="621"/>
      <c r="G7" s="621"/>
      <c r="H7" s="656" t="s">
        <v>560</v>
      </c>
      <c r="I7" s="732">
        <v>0</v>
      </c>
      <c r="J7" s="392">
        <v>0.42</v>
      </c>
      <c r="K7" s="392">
        <v>0.22</v>
      </c>
      <c r="L7" s="392">
        <v>0.3</v>
      </c>
      <c r="M7" s="623">
        <f t="shared" si="0"/>
        <v>0</v>
      </c>
      <c r="N7" s="663">
        <f>M7*$J$17</f>
        <v>0</v>
      </c>
      <c r="O7" s="467">
        <f t="shared" si="1"/>
        <v>6.0000000000000053E-2</v>
      </c>
      <c r="P7" s="392">
        <v>0.55000000000000004</v>
      </c>
      <c r="Q7" s="468" t="s">
        <v>561</v>
      </c>
      <c r="R7" s="624"/>
      <c r="S7" s="624"/>
      <c r="T7" s="663"/>
    </row>
    <row r="8" spans="6:20" s="661" customFormat="1" x14ac:dyDescent="0.2">
      <c r="F8" s="621"/>
      <c r="G8" s="621"/>
      <c r="H8" s="656" t="s">
        <v>562</v>
      </c>
      <c r="I8" s="732">
        <v>0</v>
      </c>
      <c r="J8" s="392">
        <v>0.42</v>
      </c>
      <c r="K8" s="392">
        <v>0.22</v>
      </c>
      <c r="L8" s="392">
        <v>0.3</v>
      </c>
      <c r="M8" s="623">
        <f t="shared" si="0"/>
        <v>0</v>
      </c>
      <c r="N8" s="663">
        <f>M8*$J$17</f>
        <v>0</v>
      </c>
      <c r="O8" s="467">
        <f t="shared" si="1"/>
        <v>6.0000000000000053E-2</v>
      </c>
      <c r="P8" s="392">
        <v>0.55000000000000004</v>
      </c>
      <c r="Q8" s="468" t="s">
        <v>563</v>
      </c>
      <c r="R8" s="624"/>
      <c r="S8" s="624"/>
      <c r="T8" s="663"/>
    </row>
    <row r="9" spans="6:20" s="661" customFormat="1" x14ac:dyDescent="0.2">
      <c r="F9" s="621"/>
      <c r="G9" s="621"/>
      <c r="H9" s="656" t="s">
        <v>564</v>
      </c>
      <c r="I9" s="732">
        <v>1</v>
      </c>
      <c r="J9" s="392">
        <v>0.41</v>
      </c>
      <c r="K9" s="392">
        <v>0.28999999999999998</v>
      </c>
      <c r="L9" s="392">
        <v>0.23</v>
      </c>
      <c r="M9" s="623">
        <f t="shared" si="0"/>
        <v>826.80916555315332</v>
      </c>
      <c r="N9" s="663">
        <f>M9*$J$17</f>
        <v>277642.51779274887</v>
      </c>
      <c r="O9" s="467">
        <f t="shared" si="1"/>
        <v>7.0000000000000062E-2</v>
      </c>
      <c r="P9" s="392">
        <v>0.08</v>
      </c>
      <c r="Q9" s="469" t="s">
        <v>565</v>
      </c>
      <c r="R9" s="624"/>
      <c r="T9" s="663"/>
    </row>
    <row r="10" spans="6:20" s="661" customFormat="1" x14ac:dyDescent="0.2">
      <c r="F10" s="621"/>
      <c r="G10" s="621"/>
      <c r="H10" s="656" t="s">
        <v>566</v>
      </c>
      <c r="I10" s="901">
        <v>0</v>
      </c>
      <c r="J10" s="902">
        <v>0.45</v>
      </c>
      <c r="K10" s="902">
        <v>0.19</v>
      </c>
      <c r="L10" s="902">
        <v>0.24</v>
      </c>
      <c r="M10" s="623">
        <f t="shared" si="0"/>
        <v>0</v>
      </c>
      <c r="N10" s="663">
        <f>M10*$J$17</f>
        <v>0</v>
      </c>
      <c r="O10" s="467">
        <f t="shared" si="1"/>
        <v>0.12000000000000011</v>
      </c>
      <c r="P10" s="392">
        <v>0.44</v>
      </c>
      <c r="R10" s="624"/>
      <c r="S10" s="624"/>
      <c r="T10" s="663"/>
    </row>
    <row r="11" spans="6:20" s="661" customFormat="1" x14ac:dyDescent="0.2">
      <c r="F11" s="621"/>
      <c r="G11" s="621"/>
      <c r="H11" s="626" t="s">
        <v>16</v>
      </c>
      <c r="I11" s="452">
        <f>SUM(I5:I10)</f>
        <v>1</v>
      </c>
      <c r="J11" s="387">
        <f>SUMPRODUCT(I5:I10,J5:J10)</f>
        <v>0.41</v>
      </c>
      <c r="K11" s="456">
        <f>SUMPRODUCT(I5:I10,K5:K10)</f>
        <v>0.28999999999999998</v>
      </c>
      <c r="L11" s="630"/>
      <c r="M11" s="319">
        <f>SUM(M5:M10)</f>
        <v>826.80916555315332</v>
      </c>
      <c r="N11" s="407">
        <f>SUM(N5:N10)</f>
        <v>277642.51779274887</v>
      </c>
      <c r="O11" s="624"/>
      <c r="P11" s="624"/>
      <c r="Q11" s="624"/>
      <c r="R11" s="624"/>
      <c r="S11" s="624"/>
      <c r="T11" s="663"/>
    </row>
    <row r="12" spans="6:20" s="661" customFormat="1" x14ac:dyDescent="0.2">
      <c r="F12" s="621"/>
      <c r="G12" s="621"/>
      <c r="H12" s="626"/>
      <c r="I12" s="452"/>
      <c r="J12" s="627"/>
      <c r="K12" s="387"/>
      <c r="L12" s="636" t="s">
        <v>382</v>
      </c>
      <c r="M12" s="464">
        <f>M11/24</f>
        <v>34.450381898048057</v>
      </c>
      <c r="N12" s="664"/>
      <c r="O12" s="624">
        <f>J21/M11</f>
        <v>360.17538234056343</v>
      </c>
      <c r="P12" s="624" t="s">
        <v>567</v>
      </c>
      <c r="Q12" s="624"/>
      <c r="R12" s="624"/>
      <c r="S12" s="624"/>
      <c r="T12" s="663"/>
    </row>
    <row r="13" spans="6:20" s="661" customFormat="1" x14ac:dyDescent="0.2">
      <c r="F13" s="621"/>
      <c r="G13" s="264"/>
      <c r="H13" s="263"/>
      <c r="I13" s="266"/>
      <c r="J13" s="263"/>
      <c r="K13" s="263"/>
      <c r="L13" s="265"/>
      <c r="M13" s="263"/>
      <c r="N13" s="397"/>
      <c r="O13" s="398"/>
      <c r="P13" s="398"/>
      <c r="Q13" s="398"/>
      <c r="R13" s="398"/>
      <c r="S13" s="398"/>
      <c r="T13" s="397"/>
    </row>
    <row r="14" spans="6:20" s="661" customFormat="1" x14ac:dyDescent="0.2">
      <c r="F14" s="621"/>
      <c r="G14" s="331" t="s">
        <v>18</v>
      </c>
      <c r="H14" s="379" t="s">
        <v>19</v>
      </c>
      <c r="I14" s="279" t="s">
        <v>20</v>
      </c>
      <c r="J14" s="279" t="s">
        <v>21</v>
      </c>
      <c r="K14" s="279"/>
      <c r="L14" s="277" t="s">
        <v>22</v>
      </c>
      <c r="M14" s="279" t="s">
        <v>23</v>
      </c>
      <c r="N14" s="663"/>
      <c r="O14" s="463" t="s">
        <v>7</v>
      </c>
      <c r="P14" s="402"/>
      <c r="Q14" s="402"/>
      <c r="R14" s="402"/>
      <c r="S14" s="402"/>
      <c r="T14" s="401"/>
    </row>
    <row r="15" spans="6:20" s="661" customFormat="1" x14ac:dyDescent="0.2">
      <c r="F15" s="621"/>
      <c r="G15" s="331"/>
      <c r="H15" s="622" t="s">
        <v>24</v>
      </c>
      <c r="I15" s="294" t="s">
        <v>25</v>
      </c>
      <c r="J15" s="631">
        <f>+Assumptions!C5</f>
        <v>100</v>
      </c>
      <c r="K15" s="619"/>
      <c r="L15" s="632">
        <f>Assumptions!$J$30</f>
        <v>0.9</v>
      </c>
      <c r="M15" s="365">
        <f>J15*L15*1000000</f>
        <v>90000000</v>
      </c>
      <c r="N15" s="663"/>
      <c r="O15" s="367"/>
      <c r="P15" s="624"/>
      <c r="Q15" s="624"/>
      <c r="R15" s="624"/>
      <c r="S15" s="624"/>
      <c r="T15" s="663"/>
    </row>
    <row r="16" spans="6:20" s="661" customFormat="1" x14ac:dyDescent="0.2">
      <c r="F16" s="621"/>
      <c r="G16" s="621"/>
      <c r="H16" s="622" t="s">
        <v>27</v>
      </c>
      <c r="I16" s="294" t="s">
        <v>28</v>
      </c>
      <c r="J16" s="390">
        <v>0.92</v>
      </c>
      <c r="K16" s="619"/>
      <c r="L16" s="630"/>
      <c r="M16" s="619"/>
      <c r="N16" s="663"/>
      <c r="O16" s="367" t="s">
        <v>29</v>
      </c>
      <c r="P16" s="624"/>
      <c r="Q16" s="624"/>
      <c r="R16" s="624"/>
      <c r="S16" s="624"/>
      <c r="T16" s="663"/>
    </row>
    <row r="17" spans="6:20" s="661" customFormat="1" x14ac:dyDescent="0.2">
      <c r="F17" s="621"/>
      <c r="G17" s="621"/>
      <c r="H17" s="622" t="s">
        <v>30</v>
      </c>
      <c r="I17" s="294" t="s">
        <v>31</v>
      </c>
      <c r="J17" s="358">
        <f>J16*Q17</f>
        <v>335.8</v>
      </c>
      <c r="K17" s="619"/>
      <c r="L17" s="630"/>
      <c r="M17" s="619"/>
      <c r="N17" s="663"/>
      <c r="O17" s="367" t="s">
        <v>32</v>
      </c>
      <c r="P17" s="624"/>
      <c r="Q17" s="631">
        <v>365</v>
      </c>
      <c r="R17" s="367"/>
      <c r="S17" s="624"/>
      <c r="T17" s="422"/>
    </row>
    <row r="18" spans="6:20" s="661" customFormat="1" x14ac:dyDescent="0.2">
      <c r="F18" s="621"/>
      <c r="G18" s="621"/>
      <c r="H18" s="622" t="s">
        <v>33</v>
      </c>
      <c r="I18" s="294" t="s">
        <v>34</v>
      </c>
      <c r="J18" s="389">
        <f>J17*24</f>
        <v>8059.2000000000007</v>
      </c>
      <c r="K18" s="619"/>
      <c r="L18" s="630"/>
      <c r="M18" s="619"/>
      <c r="N18" s="663"/>
      <c r="O18" s="367"/>
      <c r="P18" s="624"/>
      <c r="Q18" s="624"/>
      <c r="R18" s="624"/>
      <c r="S18" s="624"/>
      <c r="T18" s="663"/>
    </row>
    <row r="19" spans="6:20" s="661" customFormat="1" x14ac:dyDescent="0.2">
      <c r="F19" s="621"/>
      <c r="G19" s="621"/>
      <c r="H19" s="622"/>
      <c r="I19" s="294"/>
      <c r="J19" s="389"/>
      <c r="K19" s="619"/>
      <c r="L19" s="630"/>
      <c r="M19" s="619"/>
      <c r="N19" s="663"/>
      <c r="O19" s="367"/>
      <c r="P19" s="624"/>
      <c r="Q19" s="624"/>
      <c r="R19" s="624"/>
      <c r="S19" s="624"/>
      <c r="T19" s="663"/>
    </row>
    <row r="20" spans="6:20" s="661" customFormat="1" x14ac:dyDescent="0.2">
      <c r="F20" s="621"/>
      <c r="G20" s="621"/>
      <c r="H20" s="627" t="s">
        <v>35</v>
      </c>
      <c r="I20" s="629"/>
      <c r="J20" s="619"/>
      <c r="K20" s="619"/>
      <c r="L20" s="630"/>
      <c r="M20" s="619"/>
      <c r="N20" s="663"/>
      <c r="O20" s="624"/>
      <c r="P20" s="624"/>
      <c r="Q20" s="624"/>
      <c r="R20" s="624"/>
      <c r="S20" s="624"/>
      <c r="T20" s="663"/>
    </row>
    <row r="21" spans="6:20" s="661" customFormat="1" x14ac:dyDescent="0.2">
      <c r="F21" s="621"/>
      <c r="G21" s="621"/>
      <c r="H21" s="622" t="s">
        <v>36</v>
      </c>
      <c r="I21" s="681" t="s">
        <v>568</v>
      </c>
      <c r="J21" s="634">
        <f>J15/J17*1000000</f>
        <v>297796.30732578918</v>
      </c>
      <c r="K21" s="619"/>
      <c r="L21" s="630"/>
      <c r="M21" s="619"/>
      <c r="N21" s="663"/>
      <c r="O21" s="624"/>
      <c r="P21" s="624"/>
      <c r="Q21" s="624"/>
      <c r="R21" s="624"/>
      <c r="S21" s="624"/>
      <c r="T21" s="663"/>
    </row>
    <row r="22" spans="6:20" s="661" customFormat="1" x14ac:dyDescent="0.2">
      <c r="F22" s="621"/>
      <c r="G22" s="621"/>
      <c r="H22" s="622" t="s">
        <v>38</v>
      </c>
      <c r="I22" s="681" t="s">
        <v>569</v>
      </c>
      <c r="J22" s="624">
        <f>J15*1000000/J18</f>
        <v>12408.179471907881</v>
      </c>
      <c r="K22" s="619"/>
      <c r="L22" s="630"/>
      <c r="M22" s="619"/>
      <c r="N22" s="663"/>
      <c r="O22" s="624"/>
      <c r="P22" s="624"/>
      <c r="Q22" s="624"/>
      <c r="R22" s="624"/>
      <c r="S22" s="624"/>
      <c r="T22" s="663"/>
    </row>
    <row r="23" spans="6:20" s="661" customFormat="1" x14ac:dyDescent="0.2">
      <c r="F23" s="621"/>
      <c r="G23" s="621"/>
      <c r="H23" s="627"/>
      <c r="I23" s="294"/>
      <c r="J23" s="624"/>
      <c r="K23" s="619"/>
      <c r="L23" s="630"/>
      <c r="M23" s="619"/>
      <c r="N23" s="663"/>
      <c r="O23" s="624"/>
      <c r="P23" s="624"/>
      <c r="Q23" s="624"/>
      <c r="R23" s="415"/>
      <c r="S23" s="415"/>
      <c r="T23" s="65"/>
    </row>
    <row r="24" spans="6:20" s="661" customFormat="1" ht="38.25" x14ac:dyDescent="0.2">
      <c r="F24" s="621"/>
      <c r="G24" s="621"/>
      <c r="H24" s="627" t="s">
        <v>383</v>
      </c>
      <c r="I24" s="366"/>
      <c r="J24" s="457" t="s">
        <v>384</v>
      </c>
      <c r="K24" s="448" t="s">
        <v>385</v>
      </c>
      <c r="L24" s="448" t="s">
        <v>386</v>
      </c>
      <c r="M24" s="448" t="s">
        <v>387</v>
      </c>
      <c r="N24" s="663"/>
      <c r="O24" s="624"/>
      <c r="P24" s="624"/>
      <c r="Q24" s="624"/>
      <c r="R24" s="624"/>
      <c r="S24" s="624"/>
      <c r="T24" s="663"/>
    </row>
    <row r="25" spans="6:20" s="661" customFormat="1" x14ac:dyDescent="0.2">
      <c r="F25" s="621"/>
      <c r="G25" s="621"/>
      <c r="H25" s="622"/>
      <c r="I25" s="294" t="s">
        <v>28</v>
      </c>
      <c r="J25" s="392"/>
      <c r="K25" s="462"/>
      <c r="L25" s="461">
        <f>J25*$M$11*$K$11/(1-K25)</f>
        <v>0</v>
      </c>
      <c r="M25" s="624">
        <f>L25*$J$17</f>
        <v>0</v>
      </c>
      <c r="N25" s="663"/>
      <c r="O25" s="367"/>
      <c r="P25" s="624"/>
      <c r="Q25" s="624"/>
      <c r="R25" s="624"/>
      <c r="S25" s="624"/>
      <c r="T25" s="663"/>
    </row>
    <row r="26" spans="6:20" s="661" customFormat="1" x14ac:dyDescent="0.2">
      <c r="F26" s="621"/>
      <c r="G26" s="621"/>
      <c r="H26" s="622"/>
      <c r="I26" s="294" t="s">
        <v>28</v>
      </c>
      <c r="J26" s="392"/>
      <c r="K26" s="340"/>
      <c r="L26" s="461">
        <f>J26*$M$11*$K$11/(1-K26)</f>
        <v>0</v>
      </c>
      <c r="M26" s="624">
        <f>L26*$J$17</f>
        <v>0</v>
      </c>
      <c r="N26" s="663"/>
      <c r="O26" s="624"/>
      <c r="P26" s="624"/>
      <c r="Q26" s="624"/>
      <c r="R26" s="624"/>
      <c r="S26" s="624"/>
      <c r="T26" s="663"/>
    </row>
    <row r="27" spans="6:20" s="661" customFormat="1" x14ac:dyDescent="0.2">
      <c r="F27" s="621"/>
      <c r="G27" s="621"/>
      <c r="H27" s="622"/>
      <c r="I27" s="294" t="s">
        <v>28</v>
      </c>
      <c r="J27" s="392"/>
      <c r="K27" s="340"/>
      <c r="L27" s="461">
        <f>J27*$M$11*$K$11/(1-K27)</f>
        <v>0</v>
      </c>
      <c r="M27" s="624">
        <f>L27*$J$17</f>
        <v>0</v>
      </c>
      <c r="N27" s="663"/>
      <c r="O27" s="624"/>
      <c r="P27" s="624"/>
      <c r="Q27" s="624"/>
      <c r="R27" s="624"/>
      <c r="S27" s="624"/>
      <c r="T27" s="663"/>
    </row>
    <row r="28" spans="6:20" s="661" customFormat="1" x14ac:dyDescent="0.2">
      <c r="F28" s="621"/>
      <c r="G28" s="621"/>
      <c r="H28" s="622"/>
      <c r="I28" s="294" t="s">
        <v>28</v>
      </c>
      <c r="J28" s="392"/>
      <c r="K28" s="340"/>
      <c r="L28" s="461">
        <f>J28*$M$11*$K$11/(1-K28)</f>
        <v>0</v>
      </c>
      <c r="M28" s="624">
        <f>L28*$J$17</f>
        <v>0</v>
      </c>
      <c r="N28" s="663"/>
      <c r="O28" s="624"/>
      <c r="P28" s="624"/>
      <c r="Q28" s="624"/>
      <c r="R28" s="624"/>
      <c r="S28" s="624"/>
      <c r="T28" s="663"/>
    </row>
    <row r="29" spans="6:20" s="661" customFormat="1" x14ac:dyDescent="0.2">
      <c r="F29" s="621"/>
      <c r="G29" s="621"/>
      <c r="H29" s="622"/>
      <c r="I29" s="294" t="s">
        <v>28</v>
      </c>
      <c r="J29" s="392"/>
      <c r="K29" s="636" t="s">
        <v>394</v>
      </c>
      <c r="L29" s="461"/>
      <c r="M29" s="624">
        <f>L29*$J$17</f>
        <v>0</v>
      </c>
      <c r="N29" s="663"/>
      <c r="O29" s="624"/>
      <c r="P29" s="624"/>
      <c r="Q29" s="624"/>
      <c r="R29" s="624"/>
      <c r="S29" s="624"/>
      <c r="T29" s="663"/>
    </row>
    <row r="30" spans="6:20" s="661" customFormat="1" x14ac:dyDescent="0.2">
      <c r="F30" s="621"/>
      <c r="G30" s="621"/>
      <c r="H30" s="626" t="s">
        <v>395</v>
      </c>
      <c r="I30" s="294" t="s">
        <v>28</v>
      </c>
      <c r="J30" s="460">
        <f>SUM(J25:J29)</f>
        <v>0</v>
      </c>
      <c r="K30" s="459"/>
      <c r="L30" s="622" t="s">
        <v>396</v>
      </c>
      <c r="M30" s="619"/>
      <c r="N30" s="663"/>
      <c r="O30" s="624"/>
      <c r="P30" s="624"/>
      <c r="Q30" s="624"/>
      <c r="R30" s="624"/>
      <c r="S30" s="624"/>
      <c r="T30" s="663"/>
    </row>
    <row r="31" spans="6:20" s="661" customFormat="1" x14ac:dyDescent="0.2">
      <c r="F31" s="621"/>
      <c r="G31" s="621"/>
      <c r="H31" s="626"/>
      <c r="I31" s="294"/>
      <c r="J31" s="456"/>
      <c r="K31" s="456"/>
      <c r="L31" s="622"/>
      <c r="M31" s="619"/>
      <c r="N31" s="663"/>
      <c r="O31" s="624"/>
      <c r="P31" s="624"/>
      <c r="Q31" s="624"/>
      <c r="R31" s="624"/>
      <c r="S31" s="624"/>
      <c r="T31" s="663"/>
    </row>
    <row r="32" spans="6:20" s="661" customFormat="1" ht="25.5" x14ac:dyDescent="0.2">
      <c r="F32" s="621"/>
      <c r="G32" s="621"/>
      <c r="H32" s="627" t="s">
        <v>383</v>
      </c>
      <c r="I32" s="366"/>
      <c r="J32" s="457"/>
      <c r="K32" s="328" t="s">
        <v>397</v>
      </c>
      <c r="L32" s="277" t="s">
        <v>398</v>
      </c>
      <c r="M32" s="279" t="s">
        <v>23</v>
      </c>
      <c r="N32" s="663"/>
      <c r="O32" s="624"/>
      <c r="P32" s="624"/>
      <c r="Q32" s="624"/>
      <c r="R32" s="624"/>
      <c r="S32" s="624"/>
      <c r="T32" s="663"/>
    </row>
    <row r="33" spans="6:20" s="661" customFormat="1" x14ac:dyDescent="0.2">
      <c r="F33" s="621"/>
      <c r="G33" s="621"/>
      <c r="H33" s="622" t="s">
        <v>388</v>
      </c>
      <c r="I33" s="294" t="s">
        <v>28</v>
      </c>
      <c r="J33" s="457"/>
      <c r="K33" s="624"/>
      <c r="L33" s="458">
        <v>0</v>
      </c>
      <c r="M33" s="624">
        <f>K33*L33</f>
        <v>0</v>
      </c>
      <c r="N33" s="663"/>
      <c r="O33" s="367"/>
      <c r="Q33" s="624"/>
      <c r="T33" s="663"/>
    </row>
    <row r="34" spans="6:20" s="661" customFormat="1" x14ac:dyDescent="0.2">
      <c r="F34" s="621"/>
      <c r="G34" s="621"/>
      <c r="H34" s="622"/>
      <c r="I34" s="294" t="s">
        <v>28</v>
      </c>
      <c r="J34" s="457"/>
      <c r="K34" s="624">
        <f>M26</f>
        <v>0</v>
      </c>
      <c r="L34" s="458"/>
      <c r="M34" s="624">
        <f>K34*L34</f>
        <v>0</v>
      </c>
      <c r="N34" s="663"/>
      <c r="O34" s="624"/>
      <c r="P34" s="624"/>
      <c r="T34" s="663"/>
    </row>
    <row r="35" spans="6:20" s="661" customFormat="1" x14ac:dyDescent="0.2">
      <c r="F35" s="621"/>
      <c r="G35" s="621"/>
      <c r="H35" s="622"/>
      <c r="I35" s="681" t="s">
        <v>28</v>
      </c>
      <c r="J35" s="457"/>
      <c r="K35" s="624">
        <f>M27</f>
        <v>0</v>
      </c>
      <c r="L35" s="458"/>
      <c r="M35" s="624">
        <f>K35*L35</f>
        <v>0</v>
      </c>
      <c r="N35" s="663"/>
      <c r="T35" s="663"/>
    </row>
    <row r="36" spans="6:20" s="661" customFormat="1" x14ac:dyDescent="0.2">
      <c r="F36" s="621"/>
      <c r="G36" s="621"/>
      <c r="H36" s="622"/>
      <c r="I36" s="294" t="s">
        <v>28</v>
      </c>
      <c r="J36" s="457"/>
      <c r="K36" s="624">
        <f>M28</f>
        <v>0</v>
      </c>
      <c r="L36" s="458"/>
      <c r="M36" s="624">
        <f>K36*L36</f>
        <v>0</v>
      </c>
      <c r="N36" s="663"/>
      <c r="T36" s="663"/>
    </row>
    <row r="37" spans="6:20" s="661" customFormat="1" x14ac:dyDescent="0.2">
      <c r="F37" s="621"/>
      <c r="G37" s="621"/>
      <c r="H37" s="622"/>
      <c r="I37" s="294" t="s">
        <v>28</v>
      </c>
      <c r="J37" s="457"/>
      <c r="K37" s="634"/>
      <c r="L37" s="458"/>
      <c r="M37" s="624">
        <f>K37*L37</f>
        <v>0</v>
      </c>
      <c r="N37" s="663"/>
      <c r="T37" s="663"/>
    </row>
    <row r="38" spans="6:20" s="661" customFormat="1" x14ac:dyDescent="0.2">
      <c r="F38" s="621"/>
      <c r="G38" s="621"/>
      <c r="H38" s="626" t="s">
        <v>400</v>
      </c>
      <c r="I38" s="294" t="s">
        <v>28</v>
      </c>
      <c r="J38" s="457"/>
      <c r="K38" s="628">
        <f>SUM(K33:K37)</f>
        <v>0</v>
      </c>
      <c r="L38" s="622"/>
      <c r="M38" s="628">
        <f>SUM(M33:M37)</f>
        <v>0</v>
      </c>
      <c r="N38" s="663"/>
      <c r="T38" s="663"/>
    </row>
    <row r="39" spans="6:20" s="661" customFormat="1" x14ac:dyDescent="0.2">
      <c r="F39" s="621"/>
      <c r="G39" s="621"/>
      <c r="H39" s="626"/>
      <c r="I39" s="294"/>
      <c r="J39" s="456"/>
      <c r="K39" s="622"/>
      <c r="L39" s="622"/>
      <c r="M39" s="619"/>
      <c r="N39" s="663"/>
      <c r="T39" s="663"/>
    </row>
    <row r="40" spans="6:20" s="661" customFormat="1" x14ac:dyDescent="0.2">
      <c r="F40" s="621"/>
      <c r="G40" s="621"/>
      <c r="H40" s="627" t="s">
        <v>40</v>
      </c>
      <c r="I40" s="629"/>
      <c r="J40" s="619"/>
      <c r="K40" s="619"/>
      <c r="L40" s="630"/>
      <c r="M40" s="619"/>
      <c r="N40" s="663"/>
      <c r="O40" s="367"/>
      <c r="P40" s="624"/>
      <c r="T40" s="663"/>
    </row>
    <row r="41" spans="6:20" s="661" customFormat="1" x14ac:dyDescent="0.2">
      <c r="F41" s="621"/>
      <c r="G41" s="621"/>
      <c r="H41" s="656" t="s">
        <v>570</v>
      </c>
      <c r="I41" s="294" t="s">
        <v>28</v>
      </c>
      <c r="J41" s="388">
        <v>0.96</v>
      </c>
      <c r="K41" s="619" t="s">
        <v>571</v>
      </c>
      <c r="L41" s="471"/>
      <c r="M41" s="619"/>
      <c r="N41" s="663"/>
      <c r="O41" s="367"/>
      <c r="P41" s="624"/>
      <c r="T41" s="663"/>
    </row>
    <row r="42" spans="6:20" s="661" customFormat="1" x14ac:dyDescent="0.2">
      <c r="F42" s="621"/>
      <c r="G42" s="621"/>
      <c r="H42" s="656" t="s">
        <v>572</v>
      </c>
      <c r="I42" s="294" t="s">
        <v>28</v>
      </c>
      <c r="J42" s="388">
        <f>180/162</f>
        <v>1.1111111111111112</v>
      </c>
      <c r="K42" s="619" t="s">
        <v>573</v>
      </c>
      <c r="L42" s="630"/>
      <c r="M42" s="619"/>
      <c r="N42" s="663"/>
      <c r="O42" s="367"/>
      <c r="P42" s="624"/>
      <c r="T42" s="663"/>
    </row>
    <row r="43" spans="6:20" s="661" customFormat="1" x14ac:dyDescent="0.2">
      <c r="F43" s="621"/>
      <c r="G43" s="621"/>
      <c r="H43" s="656" t="s">
        <v>574</v>
      </c>
      <c r="I43" s="681" t="s">
        <v>28</v>
      </c>
      <c r="J43" s="388">
        <v>0.9</v>
      </c>
      <c r="K43" s="619" t="s">
        <v>575</v>
      </c>
      <c r="L43" s="630"/>
      <c r="M43" s="619"/>
      <c r="N43" s="663"/>
      <c r="O43" s="367"/>
      <c r="P43" s="624"/>
      <c r="T43" s="663"/>
    </row>
    <row r="44" spans="6:20" s="661" customFormat="1" x14ac:dyDescent="0.2">
      <c r="F44" s="621"/>
      <c r="G44" s="621"/>
      <c r="H44" s="656" t="s">
        <v>576</v>
      </c>
      <c r="I44" s="294" t="s">
        <v>28</v>
      </c>
      <c r="J44" s="388">
        <v>0.89</v>
      </c>
      <c r="K44" s="619" t="s">
        <v>577</v>
      </c>
      <c r="L44" s="630"/>
      <c r="M44" s="619"/>
      <c r="N44" s="663"/>
      <c r="O44" s="624"/>
      <c r="P44" s="624"/>
      <c r="T44" s="663"/>
    </row>
    <row r="45" spans="6:20" s="661" customFormat="1" x14ac:dyDescent="0.2">
      <c r="F45" s="621"/>
      <c r="G45" s="621"/>
      <c r="H45" s="656" t="s">
        <v>48</v>
      </c>
      <c r="I45" s="294" t="s">
        <v>28</v>
      </c>
      <c r="J45" s="332">
        <v>0.51100000000000001</v>
      </c>
      <c r="K45" s="619" t="s">
        <v>577</v>
      </c>
      <c r="L45" s="630"/>
      <c r="M45" s="619"/>
      <c r="N45" s="663"/>
      <c r="O45" s="624"/>
      <c r="P45" s="624"/>
      <c r="T45" s="663"/>
    </row>
    <row r="46" spans="6:20" s="661" customFormat="1" x14ac:dyDescent="0.2">
      <c r="F46" s="621"/>
      <c r="G46" s="621"/>
      <c r="H46" s="366" t="s">
        <v>578</v>
      </c>
      <c r="I46" s="366" t="s">
        <v>28</v>
      </c>
      <c r="J46" s="460">
        <f>J41*J42*J43*J44*J45</f>
        <v>0.4365984</v>
      </c>
      <c r="K46" s="619"/>
      <c r="L46" s="630"/>
      <c r="M46" s="619"/>
      <c r="N46" s="663"/>
      <c r="O46" s="624"/>
      <c r="P46" s="624"/>
      <c r="T46" s="663"/>
    </row>
    <row r="47" spans="6:20" s="661" customFormat="1" x14ac:dyDescent="0.2">
      <c r="F47" s="621"/>
      <c r="G47" s="621"/>
      <c r="H47" s="656" t="s">
        <v>579</v>
      </c>
      <c r="I47" s="294" t="s">
        <v>28</v>
      </c>
      <c r="J47" s="388">
        <v>0.9</v>
      </c>
      <c r="K47" s="619" t="s">
        <v>571</v>
      </c>
      <c r="L47" s="630"/>
      <c r="M47" s="619"/>
      <c r="N47" s="663"/>
      <c r="O47" s="624"/>
      <c r="P47" s="624"/>
      <c r="T47" s="663"/>
    </row>
    <row r="48" spans="6:20" s="661" customFormat="1" x14ac:dyDescent="0.2">
      <c r="F48" s="621"/>
      <c r="G48" s="621"/>
      <c r="H48" s="656" t="s">
        <v>580</v>
      </c>
      <c r="I48" s="294" t="s">
        <v>28</v>
      </c>
      <c r="J48" s="388">
        <f>150/132</f>
        <v>1.1363636363636365</v>
      </c>
      <c r="K48" s="619" t="s">
        <v>573</v>
      </c>
      <c r="L48" s="630"/>
      <c r="M48" s="619"/>
      <c r="N48" s="663"/>
      <c r="O48" s="624"/>
      <c r="P48" s="624"/>
      <c r="T48" s="663"/>
    </row>
    <row r="49" spans="6:20" s="661" customFormat="1" x14ac:dyDescent="0.2">
      <c r="F49" s="621"/>
      <c r="G49" s="621"/>
      <c r="H49" s="656" t="s">
        <v>581</v>
      </c>
      <c r="I49" s="294" t="s">
        <v>28</v>
      </c>
      <c r="J49" s="388">
        <v>0.85</v>
      </c>
      <c r="K49" s="619" t="s">
        <v>575</v>
      </c>
      <c r="L49" s="630"/>
      <c r="M49" s="619"/>
      <c r="N49" s="663"/>
      <c r="O49" s="624"/>
      <c r="P49" s="624"/>
      <c r="T49" s="663"/>
    </row>
    <row r="50" spans="6:20" s="661" customFormat="1" x14ac:dyDescent="0.2">
      <c r="F50" s="621"/>
      <c r="G50" s="621"/>
      <c r="H50" s="656" t="s">
        <v>582</v>
      </c>
      <c r="I50" s="294" t="s">
        <v>28</v>
      </c>
      <c r="J50" s="388">
        <v>0.85</v>
      </c>
      <c r="K50" s="619" t="s">
        <v>577</v>
      </c>
      <c r="L50" s="630"/>
      <c r="M50" s="619"/>
      <c r="N50" s="663"/>
      <c r="O50" s="624"/>
      <c r="P50" s="624"/>
      <c r="T50" s="663"/>
    </row>
    <row r="51" spans="6:20" s="661" customFormat="1" x14ac:dyDescent="0.2">
      <c r="F51" s="621"/>
      <c r="G51" s="621"/>
      <c r="H51" s="656" t="s">
        <v>583</v>
      </c>
      <c r="I51" s="294" t="s">
        <v>28</v>
      </c>
      <c r="J51" s="332">
        <v>0.51100000000000001</v>
      </c>
      <c r="K51" s="619" t="s">
        <v>577</v>
      </c>
      <c r="L51" s="630"/>
      <c r="M51" s="619"/>
      <c r="N51" s="663"/>
      <c r="O51" s="624"/>
      <c r="P51" s="624"/>
      <c r="T51" s="663"/>
    </row>
    <row r="52" spans="6:20" s="661" customFormat="1" x14ac:dyDescent="0.2">
      <c r="F52" s="621"/>
      <c r="G52" s="621"/>
      <c r="H52" s="366" t="s">
        <v>584</v>
      </c>
      <c r="I52" s="366" t="s">
        <v>28</v>
      </c>
      <c r="J52" s="460">
        <f>J47*J48*J49*J50*J51</f>
        <v>0.3775883522727273</v>
      </c>
      <c r="K52" s="619"/>
      <c r="L52" s="630"/>
      <c r="M52" s="619"/>
      <c r="N52" s="663"/>
      <c r="O52" s="624"/>
      <c r="P52" s="624"/>
      <c r="T52" s="663"/>
    </row>
    <row r="53" spans="6:20" s="661" customFormat="1" x14ac:dyDescent="0.2">
      <c r="F53" s="621"/>
      <c r="G53" s="621"/>
      <c r="H53" s="622" t="s">
        <v>43</v>
      </c>
      <c r="I53" s="294" t="s">
        <v>28</v>
      </c>
      <c r="J53" s="388">
        <v>0.98499999999999999</v>
      </c>
      <c r="K53" s="619"/>
      <c r="L53" s="630"/>
      <c r="M53" s="619"/>
      <c r="N53" s="663"/>
      <c r="O53" s="624"/>
      <c r="P53" s="624"/>
      <c r="T53" s="663"/>
    </row>
    <row r="54" spans="6:20" s="661" customFormat="1" x14ac:dyDescent="0.2">
      <c r="F54" s="621"/>
      <c r="G54" s="621"/>
      <c r="H54" s="377" t="s">
        <v>44</v>
      </c>
      <c r="J54" s="387"/>
      <c r="K54" s="619"/>
      <c r="L54" s="630"/>
      <c r="M54" s="619"/>
      <c r="N54" s="663"/>
      <c r="O54" s="624"/>
      <c r="P54" s="624"/>
      <c r="T54" s="663"/>
    </row>
    <row r="55" spans="6:20" s="661" customFormat="1" x14ac:dyDescent="0.2">
      <c r="F55" s="621"/>
      <c r="G55" s="621"/>
      <c r="H55" s="681" t="s">
        <v>551</v>
      </c>
      <c r="I55" s="366" t="s">
        <v>28</v>
      </c>
      <c r="J55" s="387">
        <f>J53*J46</f>
        <v>0.43004942400000001</v>
      </c>
      <c r="K55" s="619"/>
      <c r="L55" s="630"/>
      <c r="M55" s="619"/>
      <c r="N55" s="663"/>
      <c r="O55" s="624"/>
      <c r="P55" s="624"/>
      <c r="T55" s="663"/>
    </row>
    <row r="56" spans="6:20" s="661" customFormat="1" x14ac:dyDescent="0.2">
      <c r="F56" s="621"/>
      <c r="G56" s="621"/>
      <c r="H56" s="681" t="s">
        <v>552</v>
      </c>
      <c r="I56" s="366" t="s">
        <v>28</v>
      </c>
      <c r="J56" s="387">
        <f>J53*J52</f>
        <v>0.37192452698863637</v>
      </c>
      <c r="K56" s="619"/>
      <c r="L56" s="630"/>
      <c r="M56" s="619"/>
      <c r="N56" s="663"/>
      <c r="O56" s="624"/>
      <c r="P56" s="624"/>
      <c r="T56" s="663"/>
    </row>
    <row r="57" spans="6:20" s="661" customFormat="1" x14ac:dyDescent="0.2">
      <c r="F57" s="621"/>
      <c r="G57" s="621"/>
      <c r="H57" s="622"/>
      <c r="I57" s="294"/>
      <c r="J57" s="386"/>
      <c r="K57" s="619"/>
      <c r="L57" s="630"/>
      <c r="M57" s="619"/>
      <c r="N57" s="663"/>
      <c r="O57" s="624"/>
      <c r="P57" s="624"/>
      <c r="T57" s="663"/>
    </row>
    <row r="58" spans="6:20" s="661" customFormat="1" x14ac:dyDescent="0.2">
      <c r="F58" s="621"/>
      <c r="G58" s="621"/>
      <c r="H58" s="627" t="s">
        <v>45</v>
      </c>
      <c r="I58" s="294"/>
      <c r="J58" s="386"/>
      <c r="K58" s="619"/>
      <c r="L58" s="630"/>
      <c r="M58" s="619"/>
      <c r="N58" s="663"/>
      <c r="O58" s="624"/>
      <c r="P58" s="624"/>
      <c r="Q58" s="624"/>
      <c r="R58" s="624"/>
      <c r="S58" s="624"/>
      <c r="T58" s="663"/>
    </row>
    <row r="59" spans="6:20" s="661" customFormat="1" x14ac:dyDescent="0.2">
      <c r="F59" s="621"/>
      <c r="G59" s="621"/>
      <c r="H59" s="622" t="s">
        <v>46</v>
      </c>
      <c r="I59" s="294" t="s">
        <v>47</v>
      </c>
      <c r="J59" s="385">
        <v>0.78900000000000003</v>
      </c>
      <c r="K59" s="619"/>
      <c r="L59" s="630"/>
      <c r="M59" s="619"/>
      <c r="N59" s="663"/>
      <c r="O59" s="624"/>
      <c r="P59" s="624"/>
      <c r="Q59" s="624"/>
      <c r="R59" s="624"/>
      <c r="S59" s="624"/>
      <c r="T59" s="663"/>
    </row>
    <row r="60" spans="6:20" s="661" customFormat="1" x14ac:dyDescent="0.2">
      <c r="F60" s="621"/>
      <c r="G60" s="621"/>
      <c r="H60" s="656" t="s">
        <v>585</v>
      </c>
      <c r="I60" s="472" t="s">
        <v>586</v>
      </c>
      <c r="J60" s="60">
        <f>J15*J59</f>
        <v>78.900000000000006</v>
      </c>
      <c r="K60" s="454"/>
      <c r="L60" s="630"/>
      <c r="M60" s="619"/>
      <c r="N60" s="663"/>
      <c r="O60" s="624"/>
      <c r="P60" s="624"/>
      <c r="Q60" s="624"/>
      <c r="R60" s="624"/>
      <c r="S60" s="624"/>
      <c r="T60" s="663"/>
    </row>
    <row r="61" spans="6:20" s="661" customFormat="1" x14ac:dyDescent="0.2">
      <c r="F61" s="621"/>
      <c r="G61" s="621"/>
      <c r="K61" s="453"/>
      <c r="L61" s="630"/>
      <c r="M61" s="619"/>
      <c r="N61" s="663"/>
      <c r="O61" s="624"/>
      <c r="P61" s="624"/>
      <c r="Q61" s="624"/>
      <c r="R61" s="624"/>
      <c r="S61" s="624"/>
      <c r="T61" s="663"/>
    </row>
    <row r="62" spans="6:20" s="661" customFormat="1" x14ac:dyDescent="0.2">
      <c r="F62" s="619"/>
      <c r="G62" s="621"/>
      <c r="H62" s="622"/>
      <c r="I62" s="294"/>
      <c r="J62" s="626" t="s">
        <v>551</v>
      </c>
      <c r="K62" s="626" t="s">
        <v>587</v>
      </c>
      <c r="L62" s="630"/>
      <c r="M62" s="619"/>
      <c r="N62" s="663"/>
      <c r="O62" s="624"/>
      <c r="P62" s="624"/>
      <c r="Q62" s="624"/>
      <c r="R62" s="624"/>
      <c r="S62" s="624"/>
      <c r="T62" s="663"/>
    </row>
    <row r="63" spans="6:20" s="661" customFormat="1" x14ac:dyDescent="0.2">
      <c r="F63" s="619"/>
      <c r="G63" s="621"/>
      <c r="H63" s="627" t="s">
        <v>67</v>
      </c>
      <c r="I63" s="366" t="s">
        <v>68</v>
      </c>
      <c r="J63" s="637">
        <f>J21*J59/J55/1000</f>
        <v>546.35879823907794</v>
      </c>
      <c r="K63" s="637">
        <f>J21*J59/J56/1000</f>
        <v>631.74453264069507</v>
      </c>
      <c r="L63" s="630"/>
      <c r="M63" s="619"/>
      <c r="N63" s="663"/>
      <c r="O63" s="624"/>
      <c r="P63" s="624"/>
      <c r="Q63" s="624"/>
      <c r="R63" s="624"/>
      <c r="S63" s="624"/>
      <c r="T63" s="663"/>
    </row>
    <row r="64" spans="6:20" s="661" customFormat="1" x14ac:dyDescent="0.2">
      <c r="F64" s="619"/>
      <c r="G64" s="621"/>
      <c r="H64" s="627"/>
      <c r="I64" s="366"/>
      <c r="J64" s="637"/>
      <c r="K64" s="619"/>
      <c r="L64" s="630"/>
      <c r="M64" s="619"/>
      <c r="N64" s="663"/>
      <c r="O64" s="624"/>
      <c r="P64" s="624"/>
      <c r="Q64" s="624"/>
      <c r="R64" s="624"/>
      <c r="S64" s="624"/>
      <c r="T64" s="663"/>
    </row>
    <row r="65" spans="6:20" s="661" customFormat="1" x14ac:dyDescent="0.2">
      <c r="F65" s="619"/>
      <c r="G65" s="621"/>
      <c r="H65" s="377" t="s">
        <v>403</v>
      </c>
      <c r="I65" s="452"/>
      <c r="J65" s="387"/>
      <c r="K65" s="387"/>
      <c r="L65" s="630"/>
      <c r="M65" s="619"/>
      <c r="N65" s="663"/>
      <c r="O65" s="624"/>
      <c r="P65" s="624"/>
      <c r="Q65" s="624"/>
      <c r="R65" s="624"/>
      <c r="S65" s="624"/>
      <c r="T65" s="663"/>
    </row>
    <row r="66" spans="6:20" s="661" customFormat="1" x14ac:dyDescent="0.2">
      <c r="F66" s="619"/>
      <c r="G66" s="621"/>
      <c r="H66" s="635"/>
      <c r="I66" s="451" t="s">
        <v>404</v>
      </c>
      <c r="J66" s="450"/>
      <c r="K66" s="387"/>
      <c r="L66" s="630"/>
      <c r="M66" s="619"/>
      <c r="N66" s="663"/>
      <c r="O66" s="624"/>
      <c r="P66" s="624"/>
      <c r="Q66" s="624"/>
      <c r="R66" s="624"/>
      <c r="S66" s="624"/>
      <c r="T66" s="663"/>
    </row>
    <row r="67" spans="6:20" s="661" customFormat="1" x14ac:dyDescent="0.2">
      <c r="F67" s="619"/>
      <c r="G67" s="621"/>
      <c r="H67" s="622"/>
      <c r="I67" s="294"/>
      <c r="J67" s="294"/>
      <c r="K67" s="619"/>
      <c r="L67" s="630"/>
      <c r="M67" s="619"/>
      <c r="N67" s="663"/>
      <c r="O67" s="624"/>
      <c r="P67" s="624"/>
      <c r="Q67" s="624"/>
      <c r="R67" s="624"/>
      <c r="S67" s="624"/>
      <c r="T67" s="663"/>
    </row>
    <row r="68" spans="6:20" s="661" customFormat="1" ht="25.5" x14ac:dyDescent="0.2">
      <c r="F68" s="619"/>
      <c r="G68" s="621"/>
      <c r="H68" s="627" t="s">
        <v>588</v>
      </c>
      <c r="I68" s="294"/>
      <c r="J68" s="383" t="s">
        <v>52</v>
      </c>
      <c r="K68" s="449" t="s">
        <v>406</v>
      </c>
      <c r="L68" s="448" t="s">
        <v>407</v>
      </c>
      <c r="M68" s="448" t="s">
        <v>408</v>
      </c>
      <c r="N68" s="663"/>
      <c r="O68" s="624"/>
      <c r="P68" s="624"/>
      <c r="Q68" s="624"/>
      <c r="R68" s="624"/>
      <c r="S68" s="624"/>
      <c r="T68" s="663"/>
    </row>
    <row r="69" spans="6:20" s="661" customFormat="1" x14ac:dyDescent="0.2">
      <c r="F69" s="619"/>
      <c r="G69" s="621"/>
      <c r="H69" s="294" t="str">
        <f t="shared" ref="H69:H74" si="2">H5</f>
        <v>HW forest residues</v>
      </c>
      <c r="I69" s="294" t="s">
        <v>54</v>
      </c>
      <c r="J69" s="297">
        <f>O5</f>
        <v>0.12000000000000011</v>
      </c>
      <c r="K69" s="624">
        <f t="shared" ref="K69:K74" si="3">J69*N5</f>
        <v>0</v>
      </c>
      <c r="L69" s="447">
        <v>0.44</v>
      </c>
      <c r="M69" s="624">
        <f t="shared" ref="M69:M74" si="4">K69/(1-L69)</f>
        <v>0</v>
      </c>
      <c r="N69" s="663"/>
      <c r="O69" s="624"/>
      <c r="P69" s="624"/>
      <c r="Q69" s="624"/>
      <c r="R69" s="624"/>
      <c r="S69" s="624"/>
      <c r="T69" s="663"/>
    </row>
    <row r="70" spans="6:20" s="661" customFormat="1" x14ac:dyDescent="0.2">
      <c r="F70" s="619"/>
      <c r="G70" s="621"/>
      <c r="H70" s="294" t="str">
        <f t="shared" si="2"/>
        <v>HW pulpwood</v>
      </c>
      <c r="I70" s="294" t="s">
        <v>54</v>
      </c>
      <c r="J70" s="297">
        <f t="shared" ref="J70:J74" si="5">O6</f>
        <v>0.12000000000000011</v>
      </c>
      <c r="K70" s="624">
        <f t="shared" si="3"/>
        <v>0</v>
      </c>
      <c r="L70" s="447">
        <v>0.44</v>
      </c>
      <c r="M70" s="624">
        <f t="shared" si="4"/>
        <v>0</v>
      </c>
      <c r="N70" s="663"/>
      <c r="O70" s="624"/>
      <c r="P70" s="624"/>
      <c r="Q70" s="624"/>
      <c r="R70" s="624"/>
      <c r="S70" s="624"/>
      <c r="T70" s="663"/>
    </row>
    <row r="71" spans="6:20" s="661" customFormat="1" x14ac:dyDescent="0.2">
      <c r="F71" s="619"/>
      <c r="G71" s="621"/>
      <c r="H71" s="294" t="str">
        <f t="shared" si="2"/>
        <v>SW forest residues</v>
      </c>
      <c r="I71" s="294" t="s">
        <v>54</v>
      </c>
      <c r="J71" s="297">
        <f t="shared" si="5"/>
        <v>6.0000000000000053E-2</v>
      </c>
      <c r="K71" s="624">
        <f t="shared" si="3"/>
        <v>0</v>
      </c>
      <c r="L71" s="447">
        <v>0.44</v>
      </c>
      <c r="M71" s="624">
        <f t="shared" si="4"/>
        <v>0</v>
      </c>
      <c r="N71" s="663"/>
      <c r="O71" s="624"/>
      <c r="P71" s="624"/>
      <c r="Q71" s="624"/>
      <c r="R71" s="624"/>
      <c r="S71" s="624"/>
      <c r="T71" s="663"/>
    </row>
    <row r="72" spans="6:20" s="661" customFormat="1" x14ac:dyDescent="0.2">
      <c r="F72" s="619"/>
      <c r="G72" s="621"/>
      <c r="H72" s="294" t="str">
        <f t="shared" si="2"/>
        <v>SW pulpwood</v>
      </c>
      <c r="I72" s="294" t="s">
        <v>54</v>
      </c>
      <c r="J72" s="297">
        <f t="shared" si="5"/>
        <v>6.0000000000000053E-2</v>
      </c>
      <c r="K72" s="624">
        <f t="shared" si="3"/>
        <v>0</v>
      </c>
      <c r="L72" s="447">
        <v>0.44</v>
      </c>
      <c r="M72" s="624">
        <f t="shared" si="4"/>
        <v>0</v>
      </c>
      <c r="N72" s="663"/>
      <c r="O72" s="624"/>
      <c r="P72" s="624"/>
      <c r="Q72" s="624"/>
      <c r="R72" s="624"/>
      <c r="S72" s="624"/>
      <c r="T72" s="663"/>
    </row>
    <row r="73" spans="6:20" s="661" customFormat="1" x14ac:dyDescent="0.2">
      <c r="F73" s="619"/>
      <c r="G73" s="621"/>
      <c r="H73" s="294" t="str">
        <f t="shared" si="2"/>
        <v>Cane trash</v>
      </c>
      <c r="I73" s="294" t="s">
        <v>54</v>
      </c>
      <c r="J73" s="297">
        <f t="shared" si="5"/>
        <v>7.0000000000000062E-2</v>
      </c>
      <c r="K73" s="624">
        <f t="shared" si="3"/>
        <v>19434.976245492438</v>
      </c>
      <c r="L73" s="447">
        <v>0.44</v>
      </c>
      <c r="M73" s="624">
        <f t="shared" si="4"/>
        <v>34705.314724093638</v>
      </c>
      <c r="N73" s="663"/>
      <c r="O73" s="624"/>
      <c r="P73" s="624"/>
      <c r="Q73" s="624"/>
      <c r="R73" s="624"/>
      <c r="S73" s="624"/>
      <c r="T73" s="663"/>
    </row>
    <row r="74" spans="6:20" s="661" customFormat="1" x14ac:dyDescent="0.2">
      <c r="F74" s="619"/>
      <c r="G74" s="621"/>
      <c r="H74" s="294" t="str">
        <f t="shared" si="2"/>
        <v>Mallee Eucalypt</v>
      </c>
      <c r="I74" s="294" t="s">
        <v>54</v>
      </c>
      <c r="J74" s="297">
        <f t="shared" si="5"/>
        <v>0.12000000000000011</v>
      </c>
      <c r="K74" s="624">
        <f t="shared" si="3"/>
        <v>0</v>
      </c>
      <c r="L74" s="447">
        <v>0.44</v>
      </c>
      <c r="M74" s="624">
        <f t="shared" si="4"/>
        <v>0</v>
      </c>
      <c r="N74" s="663"/>
      <c r="O74" s="624"/>
      <c r="P74" s="624"/>
      <c r="Q74" s="624"/>
      <c r="R74" s="624"/>
      <c r="S74" s="624"/>
      <c r="T74" s="663"/>
    </row>
    <row r="75" spans="6:20" s="661" customFormat="1" x14ac:dyDescent="0.2">
      <c r="F75" s="619"/>
      <c r="G75" s="621"/>
      <c r="H75" s="626" t="s">
        <v>303</v>
      </c>
      <c r="I75" s="294" t="s">
        <v>54</v>
      </c>
      <c r="J75" s="383"/>
      <c r="K75" s="362">
        <f>SUM(K69:K74)</f>
        <v>19434.976245492438</v>
      </c>
      <c r="L75" s="630"/>
      <c r="M75" s="362">
        <f>SUM(M69:M74)</f>
        <v>34705.314724093638</v>
      </c>
      <c r="N75" s="663"/>
      <c r="O75" s="624" t="s">
        <v>589</v>
      </c>
      <c r="P75" s="473">
        <v>0.3</v>
      </c>
      <c r="Q75" s="367"/>
      <c r="R75" s="624"/>
      <c r="S75" s="624"/>
      <c r="T75" s="663"/>
    </row>
    <row r="76" spans="6:20" s="661" customFormat="1" x14ac:dyDescent="0.2">
      <c r="F76" s="619"/>
      <c r="G76" s="621"/>
      <c r="H76" s="626"/>
      <c r="I76" s="294"/>
      <c r="J76" s="383"/>
      <c r="K76" s="637"/>
      <c r="L76" s="630"/>
      <c r="M76" s="637"/>
      <c r="N76" s="663"/>
      <c r="O76" s="624" t="s">
        <v>590</v>
      </c>
      <c r="P76" s="631">
        <v>18</v>
      </c>
      <c r="Q76" s="624" t="s">
        <v>591</v>
      </c>
      <c r="R76" s="624"/>
      <c r="S76" s="624"/>
      <c r="T76" s="663"/>
    </row>
    <row r="77" spans="6:20" s="661" customFormat="1" x14ac:dyDescent="0.2">
      <c r="F77" s="619"/>
      <c r="G77" s="621"/>
      <c r="H77" s="377" t="s">
        <v>592</v>
      </c>
      <c r="I77" s="294"/>
      <c r="J77" s="383"/>
      <c r="K77" s="637"/>
      <c r="L77" s="277" t="s">
        <v>593</v>
      </c>
      <c r="M77" s="279" t="s">
        <v>23</v>
      </c>
      <c r="N77" s="663"/>
      <c r="O77" s="624" t="s">
        <v>594</v>
      </c>
      <c r="P77" s="624">
        <f>P76*M75/3.6*0.25</f>
        <v>43381.643405117051</v>
      </c>
      <c r="Q77" s="624" t="s">
        <v>595</v>
      </c>
      <c r="R77" s="336"/>
      <c r="S77" s="624"/>
      <c r="T77" s="663"/>
    </row>
    <row r="78" spans="6:20" s="661" customFormat="1" x14ac:dyDescent="0.2">
      <c r="F78" s="619"/>
      <c r="G78" s="621"/>
      <c r="H78" s="474" t="s">
        <v>596</v>
      </c>
      <c r="I78" s="681" t="s">
        <v>595</v>
      </c>
      <c r="J78" s="383"/>
      <c r="K78" s="637">
        <f>P77</f>
        <v>43381.643405117051</v>
      </c>
      <c r="L78" s="277"/>
      <c r="M78" s="279"/>
      <c r="N78" s="663"/>
      <c r="O78" s="624"/>
      <c r="P78" s="624"/>
      <c r="Q78" s="624"/>
      <c r="R78" s="336"/>
      <c r="S78" s="624"/>
      <c r="T78" s="663"/>
    </row>
    <row r="79" spans="6:20" s="661" customFormat="1" x14ac:dyDescent="0.2">
      <c r="F79" s="619"/>
      <c r="G79" s="621"/>
      <c r="H79" s="474" t="s">
        <v>597</v>
      </c>
      <c r="I79" s="681" t="s">
        <v>595</v>
      </c>
      <c r="J79" s="383"/>
      <c r="K79" s="637"/>
      <c r="L79" s="277"/>
      <c r="M79" s="279"/>
      <c r="N79" s="663"/>
      <c r="O79" s="624"/>
      <c r="P79" s="624"/>
      <c r="Q79" s="624"/>
      <c r="R79" s="336"/>
      <c r="S79" s="624"/>
      <c r="T79" s="663"/>
    </row>
    <row r="80" spans="6:20" s="661" customFormat="1" x14ac:dyDescent="0.2">
      <c r="F80" s="619"/>
      <c r="G80" s="621"/>
      <c r="H80" s="474" t="s">
        <v>598</v>
      </c>
      <c r="I80" s="681" t="s">
        <v>595</v>
      </c>
      <c r="J80" s="383"/>
      <c r="K80" s="637">
        <f>K161/1000</f>
        <v>25171.09</v>
      </c>
      <c r="L80" s="277"/>
      <c r="M80" s="279"/>
      <c r="N80" s="663"/>
      <c r="O80" s="624"/>
      <c r="P80" s="624"/>
      <c r="Q80" s="624"/>
      <c r="R80" s="336"/>
      <c r="S80" s="624"/>
      <c r="T80" s="663"/>
    </row>
    <row r="81" spans="1:20" s="661" customFormat="1" x14ac:dyDescent="0.2">
      <c r="F81" s="619"/>
      <c r="G81" s="621"/>
      <c r="H81" s="377" t="s">
        <v>599</v>
      </c>
      <c r="I81" s="366" t="s">
        <v>595</v>
      </c>
      <c r="J81" s="627"/>
      <c r="K81" s="365">
        <f>K78-K80</f>
        <v>18210.553405117051</v>
      </c>
      <c r="L81" s="363">
        <v>65</v>
      </c>
      <c r="M81" s="365">
        <f>K81*L81</f>
        <v>1183685.9713326083</v>
      </c>
      <c r="N81" s="663"/>
      <c r="O81" s="367"/>
      <c r="P81" s="624"/>
      <c r="Q81" s="624"/>
      <c r="R81" s="624"/>
      <c r="S81" s="624"/>
      <c r="T81" s="663"/>
    </row>
    <row r="82" spans="1:20" s="661" customFormat="1" x14ac:dyDescent="0.2">
      <c r="F82" s="617"/>
      <c r="G82" s="621"/>
      <c r="H82" s="619"/>
      <c r="I82" s="629"/>
      <c r="J82" s="619"/>
      <c r="K82" s="619"/>
      <c r="L82" s="630"/>
      <c r="M82" s="619"/>
      <c r="N82" s="663"/>
      <c r="O82" s="398"/>
      <c r="P82" s="398"/>
      <c r="Q82" s="398"/>
      <c r="R82" s="398"/>
      <c r="S82" s="398"/>
      <c r="T82" s="397"/>
    </row>
    <row r="83" spans="1:20" s="661" customFormat="1" x14ac:dyDescent="0.2">
      <c r="F83" s="617"/>
      <c r="G83" s="621"/>
      <c r="H83" s="619"/>
      <c r="I83" s="629"/>
      <c r="J83" s="619"/>
      <c r="K83" s="619"/>
      <c r="L83" s="630"/>
      <c r="M83" s="619"/>
      <c r="N83" s="663"/>
      <c r="O83" s="624"/>
      <c r="P83" s="624"/>
      <c r="Q83" s="624"/>
      <c r="R83" s="624"/>
      <c r="S83" s="624"/>
      <c r="T83" s="663"/>
    </row>
    <row r="84" spans="1:20" s="661" customFormat="1" ht="38.25" x14ac:dyDescent="0.2">
      <c r="F84" s="617"/>
      <c r="G84" s="318" t="s">
        <v>69</v>
      </c>
      <c r="H84" s="317" t="s">
        <v>70</v>
      </c>
      <c r="I84" s="316" t="s">
        <v>20</v>
      </c>
      <c r="J84" s="620" t="s">
        <v>71</v>
      </c>
      <c r="K84" s="620" t="s">
        <v>72</v>
      </c>
      <c r="L84" s="347" t="s">
        <v>73</v>
      </c>
      <c r="M84" s="316" t="s">
        <v>74</v>
      </c>
      <c r="N84" s="662"/>
      <c r="O84" s="620" t="s">
        <v>600</v>
      </c>
      <c r="P84" s="620" t="s">
        <v>601</v>
      </c>
      <c r="Q84" s="620" t="s">
        <v>602</v>
      </c>
      <c r="R84" s="620" t="s">
        <v>603</v>
      </c>
      <c r="S84" s="475" t="s">
        <v>604</v>
      </c>
      <c r="T84" s="476" t="s">
        <v>605</v>
      </c>
    </row>
    <row r="85" spans="1:20" s="661" customFormat="1" x14ac:dyDescent="0.2">
      <c r="F85" s="617"/>
      <c r="G85" s="621"/>
      <c r="H85" s="622" t="str">
        <f t="shared" ref="H85:H90" si="6">H5</f>
        <v>HW forest residues</v>
      </c>
      <c r="I85" s="294" t="s">
        <v>77</v>
      </c>
      <c r="J85" s="373">
        <f>N5/$J$15/(1-P5)/1000</f>
        <v>0</v>
      </c>
      <c r="K85" s="624">
        <f t="shared" ref="K85:K90" si="7">N5/(1-P5)</f>
        <v>0</v>
      </c>
      <c r="L85" s="431">
        <f t="shared" ref="L85:L90" si="8">T85</f>
        <v>51</v>
      </c>
      <c r="M85" s="634">
        <f>K85*L85</f>
        <v>0</v>
      </c>
      <c r="N85" s="663"/>
      <c r="O85" s="631">
        <v>15</v>
      </c>
      <c r="P85" s="631">
        <v>10</v>
      </c>
      <c r="Q85" s="631">
        <v>15</v>
      </c>
      <c r="R85" s="631">
        <v>5</v>
      </c>
      <c r="S85" s="631">
        <v>6</v>
      </c>
      <c r="T85" s="663">
        <f>SUM(O85:S85)</f>
        <v>51</v>
      </c>
    </row>
    <row r="86" spans="1:20" s="661" customFormat="1" x14ac:dyDescent="0.2">
      <c r="F86" s="617"/>
      <c r="G86" s="621"/>
      <c r="H86" s="622" t="str">
        <f t="shared" si="6"/>
        <v>HW pulpwood</v>
      </c>
      <c r="I86" s="294" t="s">
        <v>77</v>
      </c>
      <c r="J86" s="373">
        <f>N6/$J$15/(1-P6)/1000</f>
        <v>0</v>
      </c>
      <c r="K86" s="624">
        <f t="shared" si="7"/>
        <v>0</v>
      </c>
      <c r="L86" s="431">
        <f t="shared" si="8"/>
        <v>65</v>
      </c>
      <c r="M86" s="634">
        <f>K86*L86</f>
        <v>0</v>
      </c>
      <c r="N86" s="663"/>
      <c r="O86" s="624"/>
      <c r="P86" s="624"/>
      <c r="Q86" s="624"/>
      <c r="R86" s="624"/>
      <c r="S86" s="624"/>
      <c r="T86" s="477">
        <v>65</v>
      </c>
    </row>
    <row r="87" spans="1:20" s="661" customFormat="1" x14ac:dyDescent="0.2">
      <c r="F87" s="617"/>
      <c r="G87" s="621"/>
      <c r="H87" s="622" t="str">
        <f t="shared" si="6"/>
        <v>SW forest residues</v>
      </c>
      <c r="I87" s="294" t="s">
        <v>77</v>
      </c>
      <c r="J87" s="373">
        <f>N7/$J$15/(1-P7)/1000</f>
        <v>0</v>
      </c>
      <c r="K87" s="624">
        <f t="shared" si="7"/>
        <v>0</v>
      </c>
      <c r="L87" s="431">
        <f t="shared" si="8"/>
        <v>51</v>
      </c>
      <c r="M87" s="634">
        <f>K87*L87</f>
        <v>0</v>
      </c>
      <c r="N87" s="663"/>
      <c r="O87" s="631">
        <v>15</v>
      </c>
      <c r="P87" s="631">
        <v>10</v>
      </c>
      <c r="Q87" s="631">
        <v>15</v>
      </c>
      <c r="R87" s="631">
        <v>5</v>
      </c>
      <c r="S87" s="631">
        <v>6</v>
      </c>
      <c r="T87" s="663">
        <f t="shared" ref="T87:T90" si="9">SUM(O87:S87)</f>
        <v>51</v>
      </c>
    </row>
    <row r="88" spans="1:20" s="661" customFormat="1" x14ac:dyDescent="0.2">
      <c r="F88" s="617"/>
      <c r="G88" s="621"/>
      <c r="H88" s="622" t="str">
        <f t="shared" si="6"/>
        <v>SW pulpwood</v>
      </c>
      <c r="I88" s="294" t="s">
        <v>77</v>
      </c>
      <c r="J88" s="373">
        <f>N8/$J$15/(1-P8)/1000</f>
        <v>0</v>
      </c>
      <c r="K88" s="624">
        <f t="shared" si="7"/>
        <v>0</v>
      </c>
      <c r="L88" s="431">
        <f t="shared" si="8"/>
        <v>60</v>
      </c>
      <c r="M88" s="634">
        <f>K88*L88</f>
        <v>0</v>
      </c>
      <c r="N88" s="663"/>
      <c r="O88" s="624"/>
      <c r="P88" s="624"/>
      <c r="Q88" s="624"/>
      <c r="R88" s="624"/>
      <c r="S88" s="624"/>
      <c r="T88" s="477">
        <v>60</v>
      </c>
    </row>
    <row r="89" spans="1:20" s="661" customFormat="1" x14ac:dyDescent="0.2">
      <c r="F89" s="617"/>
      <c r="G89" s="621"/>
      <c r="H89" s="622" t="str">
        <f t="shared" si="6"/>
        <v>Cane trash</v>
      </c>
      <c r="I89" s="294" t="s">
        <v>77</v>
      </c>
      <c r="J89" s="373">
        <f>N9/$J$15/(1-P9)/1000</f>
        <v>3.0178534542690096</v>
      </c>
      <c r="K89" s="624">
        <f t="shared" si="7"/>
        <v>301785.34542690095</v>
      </c>
      <c r="L89" s="431">
        <f t="shared" si="8"/>
        <v>43</v>
      </c>
      <c r="M89" s="634">
        <f>K89*L89</f>
        <v>12976769.853356741</v>
      </c>
      <c r="N89" s="663"/>
      <c r="O89" s="631">
        <v>3</v>
      </c>
      <c r="P89" s="631">
        <v>7</v>
      </c>
      <c r="Q89" s="631">
        <v>20</v>
      </c>
      <c r="R89" s="631">
        <v>10</v>
      </c>
      <c r="S89" s="631">
        <v>3</v>
      </c>
      <c r="T89" s="663">
        <f t="shared" si="9"/>
        <v>43</v>
      </c>
    </row>
    <row r="90" spans="1:20" s="661" customFormat="1" x14ac:dyDescent="0.2">
      <c r="F90" s="617"/>
      <c r="G90" s="621"/>
      <c r="H90" s="622" t="str">
        <f t="shared" si="6"/>
        <v>Mallee Eucalypt</v>
      </c>
      <c r="I90" s="294" t="s">
        <v>77</v>
      </c>
      <c r="J90" s="373">
        <f t="shared" ref="J90" si="10">N10/$J$15/(1-P10)/1000</f>
        <v>0</v>
      </c>
      <c r="K90" s="624">
        <f t="shared" si="7"/>
        <v>0</v>
      </c>
      <c r="L90" s="431">
        <f t="shared" si="8"/>
        <v>44.5</v>
      </c>
      <c r="M90" s="279"/>
      <c r="N90" s="663"/>
      <c r="O90" s="631">
        <v>12</v>
      </c>
      <c r="P90" s="631">
        <v>5</v>
      </c>
      <c r="Q90" s="631">
        <v>10</v>
      </c>
      <c r="R90" s="631">
        <v>12.5</v>
      </c>
      <c r="S90" s="631">
        <v>5</v>
      </c>
      <c r="T90" s="663">
        <f t="shared" si="9"/>
        <v>44.5</v>
      </c>
    </row>
    <row r="91" spans="1:20" s="661" customFormat="1" x14ac:dyDescent="0.2">
      <c r="A91" s="661" t="s">
        <v>703</v>
      </c>
      <c r="B91" s="661" t="s">
        <v>285</v>
      </c>
      <c r="F91" s="617"/>
      <c r="G91" s="264"/>
      <c r="H91" s="301" t="s">
        <v>410</v>
      </c>
      <c r="I91" s="372"/>
      <c r="J91" s="446"/>
      <c r="K91" s="398"/>
      <c r="L91" s="398"/>
      <c r="M91" s="445">
        <f>SUM(M85:M90)</f>
        <v>12976769.853356741</v>
      </c>
      <c r="N91" s="397"/>
      <c r="O91" s="444"/>
      <c r="P91" s="398"/>
      <c r="Q91" s="398"/>
      <c r="R91" s="398"/>
      <c r="S91" s="398"/>
      <c r="T91" s="397"/>
    </row>
    <row r="92" spans="1:20" s="661" customFormat="1" x14ac:dyDescent="0.2">
      <c r="F92" s="617"/>
      <c r="G92" s="621"/>
      <c r="H92" s="626"/>
      <c r="I92" s="294"/>
      <c r="J92" s="373"/>
      <c r="K92" s="624"/>
      <c r="L92" s="624"/>
      <c r="M92" s="365"/>
      <c r="N92" s="663"/>
      <c r="O92" s="443"/>
      <c r="P92" s="624"/>
      <c r="Q92" s="624"/>
      <c r="R92" s="624"/>
      <c r="S92" s="624"/>
      <c r="T92" s="663"/>
    </row>
    <row r="93" spans="1:20" s="661" customFormat="1" ht="25.5" x14ac:dyDescent="0.2">
      <c r="F93" s="621"/>
      <c r="G93" s="331" t="s">
        <v>85</v>
      </c>
      <c r="H93" s="379" t="s">
        <v>86</v>
      </c>
      <c r="I93" s="279" t="s">
        <v>20</v>
      </c>
      <c r="J93" s="328" t="s">
        <v>71</v>
      </c>
      <c r="K93" s="328" t="s">
        <v>72</v>
      </c>
      <c r="L93" s="378" t="s">
        <v>73</v>
      </c>
      <c r="M93" s="279" t="s">
        <v>74</v>
      </c>
      <c r="N93" s="663"/>
      <c r="O93" s="432" t="s">
        <v>76</v>
      </c>
      <c r="P93" s="624"/>
      <c r="Q93" s="624"/>
      <c r="R93" s="624"/>
      <c r="S93" s="624"/>
      <c r="T93" s="663"/>
    </row>
    <row r="94" spans="1:20" s="661" customFormat="1" x14ac:dyDescent="0.2">
      <c r="F94" s="621"/>
      <c r="G94" s="331"/>
      <c r="H94" s="627" t="s">
        <v>411</v>
      </c>
      <c r="I94" s="279"/>
      <c r="J94" s="328"/>
      <c r="K94" s="328"/>
      <c r="L94" s="378"/>
      <c r="M94" s="279"/>
      <c r="N94" s="663"/>
      <c r="O94" s="432"/>
      <c r="P94" s="624"/>
      <c r="Q94" s="624"/>
      <c r="R94" s="624"/>
      <c r="S94" s="624"/>
      <c r="T94" s="663"/>
    </row>
    <row r="95" spans="1:20" s="661" customFormat="1" x14ac:dyDescent="0.2">
      <c r="F95" s="621"/>
      <c r="G95" s="331"/>
      <c r="H95" s="656" t="s">
        <v>606</v>
      </c>
      <c r="I95" s="681" t="s">
        <v>607</v>
      </c>
      <c r="J95" s="442">
        <v>20</v>
      </c>
      <c r="K95" s="624">
        <f>J95*N11</f>
        <v>5552850.3558549769</v>
      </c>
      <c r="L95" s="632">
        <v>0.45</v>
      </c>
      <c r="M95" s="624">
        <f>L95*K95</f>
        <v>2498782.6601347397</v>
      </c>
      <c r="N95" s="663"/>
      <c r="O95" s="367"/>
      <c r="P95" s="624"/>
      <c r="Q95" s="624"/>
      <c r="R95" s="624"/>
      <c r="S95" s="624"/>
      <c r="T95" s="663"/>
    </row>
    <row r="96" spans="1:20" s="661" customFormat="1" x14ac:dyDescent="0.2">
      <c r="F96" s="621"/>
      <c r="G96" s="331"/>
      <c r="H96" s="656" t="s">
        <v>608</v>
      </c>
      <c r="I96" s="681" t="s">
        <v>607</v>
      </c>
      <c r="J96" s="60">
        <v>10</v>
      </c>
      <c r="K96" s="624">
        <f>J96*N11</f>
        <v>2776425.1779274885</v>
      </c>
      <c r="L96" s="632">
        <v>0.65</v>
      </c>
      <c r="M96" s="624">
        <f>L96*K96</f>
        <v>1804676.3656528676</v>
      </c>
      <c r="N96" s="663"/>
      <c r="O96" s="367"/>
      <c r="P96" s="624"/>
      <c r="Q96" s="624"/>
      <c r="R96" s="624"/>
      <c r="S96" s="624"/>
      <c r="T96" s="663"/>
    </row>
    <row r="97" spans="6:20" s="661" customFormat="1" x14ac:dyDescent="0.2">
      <c r="F97" s="621"/>
      <c r="G97" s="331"/>
      <c r="H97" s="379"/>
      <c r="I97" s="279"/>
      <c r="J97" s="328"/>
      <c r="K97" s="328"/>
      <c r="L97" s="378"/>
      <c r="M97" s="279"/>
      <c r="N97" s="663"/>
      <c r="O97" s="432"/>
      <c r="P97" s="624"/>
      <c r="Q97" s="624"/>
      <c r="R97" s="624"/>
      <c r="S97" s="624"/>
      <c r="T97" s="663"/>
    </row>
    <row r="98" spans="6:20" s="661" customFormat="1" x14ac:dyDescent="0.2">
      <c r="F98" s="621"/>
      <c r="G98" s="331"/>
      <c r="H98" s="627" t="s">
        <v>415</v>
      </c>
      <c r="I98" s="279"/>
      <c r="J98" s="328"/>
      <c r="K98" s="328"/>
      <c r="L98" s="378"/>
      <c r="M98" s="279"/>
      <c r="N98" s="663"/>
      <c r="O98" s="432"/>
      <c r="P98" s="624"/>
      <c r="Q98" s="624"/>
      <c r="R98" s="624"/>
      <c r="S98" s="624"/>
      <c r="T98" s="663"/>
    </row>
    <row r="99" spans="6:20" s="661" customFormat="1" x14ac:dyDescent="0.2">
      <c r="F99" s="621"/>
      <c r="G99" s="331"/>
      <c r="H99" s="656" t="s">
        <v>609</v>
      </c>
      <c r="I99" s="294" t="s">
        <v>110</v>
      </c>
      <c r="J99" s="442">
        <v>300</v>
      </c>
      <c r="K99" s="624">
        <f>J99*$J$15*1000</f>
        <v>30000000</v>
      </c>
      <c r="L99" s="632">
        <v>0.2</v>
      </c>
      <c r="M99" s="634">
        <f>K99*L99</f>
        <v>6000000</v>
      </c>
      <c r="N99" s="663"/>
      <c r="O99" s="367"/>
      <c r="P99" s="624"/>
      <c r="Q99" s="624"/>
      <c r="R99" s="624"/>
      <c r="S99" s="624"/>
      <c r="T99" s="663"/>
    </row>
    <row r="100" spans="6:20" s="661" customFormat="1" x14ac:dyDescent="0.2">
      <c r="F100" s="621"/>
      <c r="G100" s="331"/>
      <c r="H100" s="656" t="s">
        <v>610</v>
      </c>
      <c r="I100" s="294" t="s">
        <v>110</v>
      </c>
      <c r="J100" s="442">
        <v>300</v>
      </c>
      <c r="K100" s="624">
        <f>J100*$J$15*1000</f>
        <v>30000000</v>
      </c>
      <c r="L100" s="632">
        <v>0.2</v>
      </c>
      <c r="M100" s="634">
        <f>K100*L100</f>
        <v>6000000</v>
      </c>
      <c r="N100" s="663"/>
      <c r="O100" s="367"/>
      <c r="P100" s="624"/>
      <c r="Q100" s="624"/>
      <c r="R100" s="624"/>
      <c r="S100" s="624"/>
      <c r="T100" s="663"/>
    </row>
    <row r="101" spans="6:20" s="661" customFormat="1" x14ac:dyDescent="0.2">
      <c r="F101" s="621"/>
      <c r="G101" s="331"/>
      <c r="H101" s="656" t="s">
        <v>611</v>
      </c>
      <c r="I101" s="294" t="s">
        <v>110</v>
      </c>
      <c r="J101" s="442">
        <v>300</v>
      </c>
      <c r="K101" s="624">
        <f>J101*$J$15*1000</f>
        <v>30000000</v>
      </c>
      <c r="L101" s="632">
        <v>0.2</v>
      </c>
      <c r="M101" s="634">
        <f>K101*L101</f>
        <v>6000000</v>
      </c>
      <c r="N101" s="663"/>
      <c r="O101" s="367"/>
      <c r="P101" s="624"/>
      <c r="Q101" s="624"/>
      <c r="R101" s="624"/>
      <c r="S101" s="624"/>
      <c r="T101" s="663"/>
    </row>
    <row r="102" spans="6:20" s="661" customFormat="1" x14ac:dyDescent="0.2">
      <c r="F102" s="621"/>
      <c r="G102" s="331"/>
      <c r="H102" s="379"/>
      <c r="I102" s="279"/>
      <c r="J102" s="328"/>
      <c r="K102" s="328"/>
      <c r="L102" s="378"/>
      <c r="M102" s="279"/>
      <c r="N102" s="663"/>
      <c r="O102" s="432"/>
      <c r="P102" s="624"/>
      <c r="Q102" s="624"/>
      <c r="R102" s="624"/>
      <c r="S102" s="624"/>
      <c r="T102" s="663"/>
    </row>
    <row r="103" spans="6:20" s="661" customFormat="1" x14ac:dyDescent="0.2">
      <c r="F103" s="621"/>
      <c r="G103" s="331"/>
      <c r="H103" s="627" t="s">
        <v>420</v>
      </c>
      <c r="I103" s="279"/>
      <c r="J103" s="328"/>
      <c r="K103" s="328"/>
      <c r="L103" s="378"/>
      <c r="M103" s="279"/>
      <c r="N103" s="663"/>
      <c r="O103" s="432"/>
      <c r="P103" s="624"/>
      <c r="Q103" s="624"/>
      <c r="R103" s="624"/>
      <c r="S103" s="624"/>
      <c r="T103" s="663"/>
    </row>
    <row r="104" spans="6:20" s="661" customFormat="1" x14ac:dyDescent="0.2">
      <c r="F104" s="621"/>
      <c r="G104" s="621"/>
      <c r="H104" s="622" t="s">
        <v>88</v>
      </c>
      <c r="I104" s="294" t="s">
        <v>89</v>
      </c>
      <c r="J104" s="633">
        <v>0.8</v>
      </c>
      <c r="K104" s="624">
        <f>J104*$J$15*1000</f>
        <v>80000</v>
      </c>
      <c r="L104" s="632">
        <v>2</v>
      </c>
      <c r="M104" s="634">
        <f t="shared" ref="M104:M113" si="11">K104*L104</f>
        <v>160000</v>
      </c>
      <c r="N104" s="663"/>
      <c r="O104" s="624"/>
      <c r="P104" s="624"/>
      <c r="Q104" s="624"/>
      <c r="R104" s="624"/>
      <c r="S104" s="624"/>
      <c r="T104" s="663"/>
    </row>
    <row r="105" spans="6:20" s="661" customFormat="1" x14ac:dyDescent="0.2">
      <c r="F105" s="621"/>
      <c r="G105" s="621"/>
      <c r="H105" s="656" t="s">
        <v>90</v>
      </c>
      <c r="I105" s="294" t="s">
        <v>89</v>
      </c>
      <c r="J105" s="633">
        <v>3</v>
      </c>
      <c r="K105" s="624">
        <f>J105*$J$15*1000</f>
        <v>300000</v>
      </c>
      <c r="L105" s="632">
        <v>0.45</v>
      </c>
      <c r="M105" s="634">
        <f t="shared" si="11"/>
        <v>135000</v>
      </c>
      <c r="N105" s="663"/>
      <c r="O105" s="624"/>
      <c r="P105" s="624"/>
      <c r="Q105" s="624"/>
      <c r="R105" s="624"/>
      <c r="S105" s="624"/>
      <c r="T105" s="663"/>
    </row>
    <row r="106" spans="6:20" s="661" customFormat="1" x14ac:dyDescent="0.2">
      <c r="F106" s="621"/>
      <c r="G106" s="621"/>
      <c r="H106" s="622" t="s">
        <v>91</v>
      </c>
      <c r="I106" s="294" t="s">
        <v>89</v>
      </c>
      <c r="J106" s="633">
        <v>3</v>
      </c>
      <c r="K106" s="624">
        <f>J106*$J$15*1000</f>
        <v>300000</v>
      </c>
      <c r="L106" s="632">
        <v>0.25</v>
      </c>
      <c r="M106" s="634">
        <f t="shared" si="11"/>
        <v>75000</v>
      </c>
      <c r="N106" s="663"/>
      <c r="O106" s="624"/>
      <c r="P106" s="624"/>
      <c r="Q106" s="624"/>
      <c r="R106" s="624"/>
      <c r="S106" s="624"/>
      <c r="T106" s="663"/>
    </row>
    <row r="107" spans="6:20" s="661" customFormat="1" x14ac:dyDescent="0.2">
      <c r="F107" s="621"/>
      <c r="G107" s="621"/>
      <c r="H107" s="619" t="s">
        <v>88</v>
      </c>
      <c r="I107" s="294" t="s">
        <v>89</v>
      </c>
      <c r="J107" s="633">
        <v>0.5</v>
      </c>
      <c r="K107" s="624">
        <f>J107*$J$15*1000</f>
        <v>50000</v>
      </c>
      <c r="L107" s="632">
        <v>2</v>
      </c>
      <c r="M107" s="634">
        <f t="shared" si="11"/>
        <v>100000</v>
      </c>
      <c r="N107" s="663"/>
      <c r="O107" s="367" t="s">
        <v>92</v>
      </c>
      <c r="P107" s="624"/>
      <c r="Q107" s="624"/>
      <c r="R107" s="624"/>
      <c r="S107" s="624"/>
      <c r="T107" s="663"/>
    </row>
    <row r="108" spans="6:20" s="661" customFormat="1" x14ac:dyDescent="0.2">
      <c r="F108" s="621"/>
      <c r="G108" s="621"/>
      <c r="H108" s="622" t="s">
        <v>93</v>
      </c>
      <c r="I108" s="294" t="s">
        <v>89</v>
      </c>
      <c r="J108" s="633">
        <v>0.5</v>
      </c>
      <c r="K108" s="624">
        <f>J108*$J$15*1000</f>
        <v>50000</v>
      </c>
      <c r="L108" s="632">
        <v>1</v>
      </c>
      <c r="M108" s="634">
        <f t="shared" si="11"/>
        <v>50000</v>
      </c>
      <c r="N108" s="663"/>
      <c r="O108" s="367" t="s">
        <v>94</v>
      </c>
      <c r="P108" s="624"/>
      <c r="Q108" s="624"/>
      <c r="R108" s="624"/>
      <c r="S108" s="624"/>
      <c r="T108" s="663"/>
    </row>
    <row r="109" spans="6:20" s="661" customFormat="1" x14ac:dyDescent="0.2">
      <c r="F109" s="621"/>
      <c r="G109" s="621"/>
      <c r="H109" s="622" t="s">
        <v>95</v>
      </c>
      <c r="I109" s="294" t="s">
        <v>96</v>
      </c>
      <c r="J109" s="633">
        <v>300</v>
      </c>
      <c r="K109" s="624">
        <f>J109*$J$17</f>
        <v>100740</v>
      </c>
      <c r="L109" s="632">
        <v>0.65</v>
      </c>
      <c r="M109" s="634">
        <f t="shared" si="11"/>
        <v>65481</v>
      </c>
      <c r="N109" s="663"/>
      <c r="O109" s="367" t="s">
        <v>97</v>
      </c>
      <c r="P109" s="624"/>
      <c r="Q109" s="624"/>
      <c r="R109" s="624"/>
      <c r="S109" s="624"/>
      <c r="T109" s="663"/>
    </row>
    <row r="110" spans="6:20" s="661" customFormat="1" x14ac:dyDescent="0.2">
      <c r="F110" s="621"/>
      <c r="G110" s="621"/>
      <c r="H110" s="622" t="s">
        <v>98</v>
      </c>
      <c r="I110" s="294" t="s">
        <v>96</v>
      </c>
      <c r="J110" s="633">
        <v>50</v>
      </c>
      <c r="K110" s="624">
        <f>J110*$J$17</f>
        <v>16790</v>
      </c>
      <c r="L110" s="632">
        <v>0.65</v>
      </c>
      <c r="M110" s="634">
        <f t="shared" si="11"/>
        <v>10913.5</v>
      </c>
      <c r="N110" s="663"/>
      <c r="O110" s="367" t="s">
        <v>99</v>
      </c>
      <c r="P110" s="624"/>
      <c r="Q110" s="624"/>
      <c r="R110" s="624"/>
      <c r="S110" s="624"/>
      <c r="T110" s="663"/>
    </row>
    <row r="111" spans="6:20" s="661" customFormat="1" x14ac:dyDescent="0.2">
      <c r="F111" s="621"/>
      <c r="G111" s="621"/>
      <c r="H111" s="656" t="s">
        <v>612</v>
      </c>
      <c r="I111" s="294" t="s">
        <v>101</v>
      </c>
      <c r="J111" s="633">
        <v>50</v>
      </c>
      <c r="K111" s="624">
        <f>Q111*J111</f>
        <v>1500</v>
      </c>
      <c r="L111" s="632">
        <v>100</v>
      </c>
      <c r="M111" s="634">
        <f t="shared" si="11"/>
        <v>150000</v>
      </c>
      <c r="N111" s="663"/>
      <c r="O111" s="367" t="s">
        <v>102</v>
      </c>
      <c r="P111" s="624"/>
      <c r="Q111" s="631">
        <v>30</v>
      </c>
      <c r="R111" s="367" t="s">
        <v>103</v>
      </c>
      <c r="S111" s="624"/>
      <c r="T111" s="663"/>
    </row>
    <row r="112" spans="6:20" s="661" customFormat="1" x14ac:dyDescent="0.2">
      <c r="F112" s="621"/>
      <c r="G112" s="621"/>
      <c r="H112" s="656" t="s">
        <v>613</v>
      </c>
      <c r="I112" s="294" t="s">
        <v>110</v>
      </c>
      <c r="J112" s="442">
        <v>300</v>
      </c>
      <c r="K112" s="624">
        <f>J112*$J$15*1000</f>
        <v>30000000</v>
      </c>
      <c r="L112" s="632">
        <v>0.2</v>
      </c>
      <c r="M112" s="634">
        <f t="shared" si="11"/>
        <v>6000000</v>
      </c>
      <c r="N112" s="663"/>
      <c r="O112" s="367"/>
      <c r="P112" s="624"/>
      <c r="Q112" s="631"/>
      <c r="R112" s="367"/>
      <c r="S112" s="624"/>
      <c r="T112" s="663"/>
    </row>
    <row r="113" spans="1:26" s="661" customFormat="1" x14ac:dyDescent="0.2">
      <c r="F113" s="621"/>
      <c r="G113" s="621"/>
      <c r="H113" s="622" t="s">
        <v>104</v>
      </c>
      <c r="I113" s="294" t="s">
        <v>89</v>
      </c>
      <c r="J113" s="633">
        <v>5</v>
      </c>
      <c r="K113" s="624">
        <f>J113*$J$15*1000</f>
        <v>500000</v>
      </c>
      <c r="L113" s="632">
        <v>1</v>
      </c>
      <c r="M113" s="634">
        <f t="shared" si="11"/>
        <v>500000</v>
      </c>
      <c r="N113" s="663"/>
      <c r="O113" s="624"/>
      <c r="P113" s="624"/>
      <c r="Q113" s="624"/>
      <c r="R113" s="624"/>
      <c r="S113" s="624"/>
      <c r="T113" s="663"/>
    </row>
    <row r="114" spans="1:26" s="661" customFormat="1" x14ac:dyDescent="0.2">
      <c r="F114" s="621"/>
      <c r="G114" s="621"/>
      <c r="H114" s="622"/>
      <c r="I114" s="294"/>
      <c r="J114" s="622"/>
      <c r="K114" s="622"/>
      <c r="L114" s="622"/>
      <c r="M114" s="634"/>
      <c r="N114" s="663"/>
      <c r="O114" s="624"/>
      <c r="P114" s="624"/>
      <c r="Q114" s="624"/>
      <c r="R114" s="624"/>
      <c r="S114" s="624"/>
      <c r="T114" s="663"/>
    </row>
    <row r="115" spans="1:26" x14ac:dyDescent="0.2">
      <c r="F115" s="621"/>
      <c r="G115" s="621"/>
      <c r="H115" s="627" t="s">
        <v>105</v>
      </c>
      <c r="I115" s="294"/>
      <c r="J115" s="622"/>
      <c r="K115" s="622"/>
      <c r="L115" s="622"/>
      <c r="M115" s="622"/>
      <c r="N115" s="663"/>
      <c r="O115" s="367" t="s">
        <v>106</v>
      </c>
      <c r="P115" s="624"/>
      <c r="Q115" s="624"/>
      <c r="R115" s="624"/>
      <c r="S115" s="624"/>
      <c r="T115" s="663"/>
    </row>
    <row r="116" spans="1:26" x14ac:dyDescent="0.2">
      <c r="F116" s="621"/>
      <c r="G116" s="621"/>
      <c r="H116" s="622" t="s">
        <v>107</v>
      </c>
      <c r="I116" s="294" t="s">
        <v>89</v>
      </c>
      <c r="J116" s="384">
        <v>0.6</v>
      </c>
      <c r="K116" s="624">
        <f t="shared" ref="K116:K121" si="12">J116*$J$15*1000</f>
        <v>60000</v>
      </c>
      <c r="L116" s="639">
        <v>1</v>
      </c>
      <c r="M116" s="634">
        <f t="shared" ref="M116:M121" si="13">K116*L116</f>
        <v>60000</v>
      </c>
      <c r="N116" s="663"/>
      <c r="O116" s="367" t="s">
        <v>106</v>
      </c>
      <c r="P116" s="624"/>
      <c r="Q116" s="624"/>
      <c r="R116" s="624"/>
      <c r="S116" s="624"/>
      <c r="T116" s="663"/>
    </row>
    <row r="117" spans="1:26" x14ac:dyDescent="0.2">
      <c r="F117" s="621"/>
      <c r="G117" s="621"/>
      <c r="H117" s="622" t="s">
        <v>95</v>
      </c>
      <c r="I117" s="294" t="s">
        <v>89</v>
      </c>
      <c r="J117" s="633"/>
      <c r="K117" s="624">
        <f t="shared" si="12"/>
        <v>0</v>
      </c>
      <c r="L117" s="639">
        <v>0.65</v>
      </c>
      <c r="M117" s="634">
        <f t="shared" si="13"/>
        <v>0</v>
      </c>
      <c r="N117" s="663"/>
      <c r="O117" s="367" t="s">
        <v>106</v>
      </c>
      <c r="P117" s="624"/>
      <c r="Q117" s="624"/>
      <c r="R117" s="624"/>
      <c r="S117" s="624"/>
      <c r="T117" s="663"/>
    </row>
    <row r="118" spans="1:26" x14ac:dyDescent="0.2">
      <c r="F118" s="621"/>
      <c r="G118" s="621"/>
      <c r="H118" s="622" t="s">
        <v>108</v>
      </c>
      <c r="I118" s="294" t="s">
        <v>89</v>
      </c>
      <c r="J118" s="384">
        <v>0.34</v>
      </c>
      <c r="K118" s="624">
        <f t="shared" si="12"/>
        <v>34000</v>
      </c>
      <c r="L118" s="639">
        <v>0.45</v>
      </c>
      <c r="M118" s="634">
        <f t="shared" si="13"/>
        <v>15300</v>
      </c>
      <c r="N118" s="663"/>
      <c r="O118" s="367" t="s">
        <v>106</v>
      </c>
      <c r="P118" s="624"/>
      <c r="Q118" s="624"/>
      <c r="R118" s="624"/>
      <c r="S118" s="624"/>
      <c r="T118" s="663"/>
    </row>
    <row r="119" spans="1:26" x14ac:dyDescent="0.2">
      <c r="F119" s="621"/>
      <c r="G119" s="621"/>
      <c r="H119" s="622" t="s">
        <v>109</v>
      </c>
      <c r="I119" s="294" t="s">
        <v>110</v>
      </c>
      <c r="J119" s="384"/>
      <c r="K119" s="624">
        <f t="shared" si="12"/>
        <v>0</v>
      </c>
      <c r="L119" s="639">
        <v>1</v>
      </c>
      <c r="M119" s="634">
        <f t="shared" si="13"/>
        <v>0</v>
      </c>
      <c r="N119" s="663"/>
      <c r="O119" s="367" t="s">
        <v>106</v>
      </c>
      <c r="P119" s="624"/>
      <c r="Q119" s="624"/>
      <c r="R119" s="624"/>
      <c r="S119" s="624"/>
      <c r="T119" s="663"/>
    </row>
    <row r="120" spans="1:26" x14ac:dyDescent="0.2">
      <c r="F120" s="621"/>
      <c r="G120" s="621"/>
      <c r="H120" s="622" t="s">
        <v>111</v>
      </c>
      <c r="I120" s="294" t="s">
        <v>110</v>
      </c>
      <c r="J120" s="639"/>
      <c r="K120" s="624">
        <f t="shared" si="12"/>
        <v>0</v>
      </c>
      <c r="L120" s="639">
        <v>2.5</v>
      </c>
      <c r="M120" s="634">
        <f t="shared" si="13"/>
        <v>0</v>
      </c>
      <c r="N120" s="663"/>
      <c r="O120" s="367" t="s">
        <v>106</v>
      </c>
      <c r="P120" s="624"/>
      <c r="Q120" s="624"/>
      <c r="R120" s="624"/>
      <c r="S120" s="624"/>
      <c r="T120" s="663"/>
    </row>
    <row r="121" spans="1:26" x14ac:dyDescent="0.2">
      <c r="F121" s="621"/>
      <c r="G121" s="621"/>
      <c r="H121" s="622" t="s">
        <v>112</v>
      </c>
      <c r="I121" s="294" t="s">
        <v>89</v>
      </c>
      <c r="J121" s="639"/>
      <c r="K121" s="624">
        <f t="shared" si="12"/>
        <v>0</v>
      </c>
      <c r="L121" s="639">
        <v>2</v>
      </c>
      <c r="M121" s="634">
        <f t="shared" si="13"/>
        <v>0</v>
      </c>
      <c r="N121" s="663"/>
      <c r="O121" s="624"/>
      <c r="P121" s="624"/>
      <c r="Q121" s="624"/>
      <c r="R121" s="624"/>
      <c r="S121" s="624"/>
      <c r="T121" s="663"/>
    </row>
    <row r="122" spans="1:26" x14ac:dyDescent="0.2">
      <c r="F122" s="621"/>
      <c r="G122" s="621"/>
      <c r="H122" s="622"/>
      <c r="I122" s="294"/>
      <c r="J122" s="639"/>
      <c r="K122" s="624"/>
      <c r="L122" s="622"/>
      <c r="M122" s="622"/>
      <c r="N122" s="663"/>
      <c r="O122" s="624"/>
      <c r="P122" s="624"/>
      <c r="Q122" s="624"/>
      <c r="R122" s="624"/>
      <c r="S122" s="637"/>
      <c r="T122" s="663"/>
    </row>
    <row r="123" spans="1:26" x14ac:dyDescent="0.2">
      <c r="F123" s="621"/>
      <c r="G123" s="621"/>
      <c r="H123" s="627" t="s">
        <v>614</v>
      </c>
      <c r="I123" s="629"/>
      <c r="J123" s="619"/>
      <c r="K123" s="619"/>
      <c r="L123" s="630"/>
      <c r="M123" s="622"/>
      <c r="N123" s="663"/>
      <c r="O123" s="637"/>
      <c r="P123" s="637"/>
      <c r="Q123" s="637"/>
      <c r="R123" s="637"/>
      <c r="S123" s="637"/>
      <c r="T123" s="663"/>
    </row>
    <row r="124" spans="1:26" x14ac:dyDescent="0.2">
      <c r="F124" s="621"/>
      <c r="G124" s="621"/>
      <c r="H124" s="622" t="s">
        <v>115</v>
      </c>
      <c r="I124" s="294" t="s">
        <v>422</v>
      </c>
      <c r="J124" s="639"/>
      <c r="K124" s="624">
        <f>J124*$K$74</f>
        <v>0</v>
      </c>
      <c r="L124" s="632">
        <v>0.23499999999999999</v>
      </c>
      <c r="M124" s="634">
        <f>K124*L124</f>
        <v>0</v>
      </c>
      <c r="N124" s="422"/>
      <c r="O124" s="624"/>
      <c r="P124" s="624"/>
      <c r="Q124" s="624"/>
      <c r="R124" s="624"/>
      <c r="S124" s="637"/>
      <c r="T124" s="663"/>
    </row>
    <row r="125" spans="1:26" s="380" customFormat="1" x14ac:dyDescent="0.2">
      <c r="F125" s="640"/>
      <c r="G125" s="640"/>
      <c r="H125" s="622" t="s">
        <v>123</v>
      </c>
      <c r="I125" s="294" t="s">
        <v>422</v>
      </c>
      <c r="J125" s="639"/>
      <c r="K125" s="624">
        <f>J125*$K$74</f>
        <v>0</v>
      </c>
      <c r="L125" s="641">
        <v>0.45</v>
      </c>
      <c r="M125" s="634">
        <f>K125*L125</f>
        <v>0</v>
      </c>
      <c r="N125" s="422"/>
      <c r="O125" s="624"/>
      <c r="P125" s="624"/>
      <c r="Q125" s="624"/>
      <c r="R125" s="624"/>
      <c r="S125" s="637"/>
      <c r="T125" s="663"/>
      <c r="U125" s="438"/>
      <c r="V125" s="438"/>
      <c r="W125" s="438"/>
      <c r="X125" s="438"/>
      <c r="Y125" s="438"/>
      <c r="Z125" s="438"/>
    </row>
    <row r="126" spans="1:26" s="380" customFormat="1" x14ac:dyDescent="0.2">
      <c r="F126" s="640"/>
      <c r="G126" s="640"/>
      <c r="H126" s="622" t="s">
        <v>117</v>
      </c>
      <c r="I126" s="294" t="s">
        <v>422</v>
      </c>
      <c r="J126" s="639"/>
      <c r="K126" s="624">
        <f>J126*$K$74</f>
        <v>0</v>
      </c>
      <c r="L126" s="641">
        <v>0.45</v>
      </c>
      <c r="M126" s="634">
        <f>K126*L126</f>
        <v>0</v>
      </c>
      <c r="N126" s="422"/>
      <c r="O126" s="624"/>
      <c r="P126" s="624"/>
      <c r="Q126" s="624"/>
      <c r="R126" s="624"/>
      <c r="S126" s="637"/>
      <c r="T126" s="663"/>
      <c r="U126" s="438"/>
      <c r="V126" s="438"/>
      <c r="W126" s="438"/>
      <c r="X126" s="438"/>
      <c r="Y126" s="438"/>
      <c r="Z126" s="438"/>
    </row>
    <row r="127" spans="1:26" s="380" customFormat="1" x14ac:dyDescent="0.2">
      <c r="A127" s="380" t="s">
        <v>704</v>
      </c>
      <c r="B127" s="380" t="s">
        <v>86</v>
      </c>
      <c r="F127" s="640"/>
      <c r="G127" s="640"/>
      <c r="H127" s="626" t="s">
        <v>126</v>
      </c>
      <c r="M127" s="628">
        <f>SUM(M95:M126)</f>
        <v>29625153.525787607</v>
      </c>
      <c r="N127" s="422"/>
      <c r="O127" s="624"/>
      <c r="P127" s="624"/>
      <c r="Q127" s="624"/>
      <c r="R127" s="624"/>
      <c r="S127" s="637"/>
      <c r="T127" s="663"/>
      <c r="U127" s="438"/>
      <c r="V127" s="438"/>
      <c r="W127" s="438"/>
      <c r="X127" s="438"/>
      <c r="Y127" s="438"/>
      <c r="Z127" s="438"/>
    </row>
    <row r="128" spans="1:26" s="380" customFormat="1" x14ac:dyDescent="0.2">
      <c r="F128" s="640"/>
      <c r="G128" s="381"/>
      <c r="H128" s="368"/>
      <c r="I128" s="369"/>
      <c r="J128" s="368"/>
      <c r="K128" s="368"/>
      <c r="L128" s="301"/>
      <c r="M128" s="368"/>
      <c r="N128" s="439"/>
      <c r="O128" s="440"/>
      <c r="P128" s="441"/>
      <c r="Q128" s="440"/>
      <c r="R128" s="440"/>
      <c r="S128" s="440"/>
      <c r="T128" s="439"/>
      <c r="U128" s="438"/>
      <c r="V128" s="438"/>
      <c r="W128" s="438"/>
      <c r="X128" s="438"/>
      <c r="Y128" s="438"/>
      <c r="Z128" s="438"/>
    </row>
    <row r="129" spans="1:20" ht="25.5" x14ac:dyDescent="0.2">
      <c r="F129" s="621"/>
      <c r="G129" s="331" t="s">
        <v>128</v>
      </c>
      <c r="H129" s="379" t="s">
        <v>129</v>
      </c>
      <c r="I129" s="279" t="s">
        <v>20</v>
      </c>
      <c r="J129" s="328" t="s">
        <v>71</v>
      </c>
      <c r="K129" s="328" t="s">
        <v>72</v>
      </c>
      <c r="L129" s="378" t="s">
        <v>73</v>
      </c>
      <c r="M129" s="328" t="s">
        <v>130</v>
      </c>
      <c r="N129" s="663"/>
      <c r="O129" s="432" t="s">
        <v>76</v>
      </c>
      <c r="P129" s="624"/>
      <c r="Q129" s="624"/>
      <c r="R129" s="624"/>
      <c r="S129" s="624"/>
      <c r="T129" s="663"/>
    </row>
    <row r="130" spans="1:20" x14ac:dyDescent="0.2">
      <c r="F130" s="621"/>
      <c r="G130" s="331"/>
      <c r="H130" s="627" t="s">
        <v>131</v>
      </c>
      <c r="I130" s="279"/>
      <c r="J130" s="328"/>
      <c r="K130" s="328"/>
      <c r="L130" s="378"/>
      <c r="M130" s="279"/>
      <c r="N130" s="663"/>
      <c r="O130" s="432"/>
      <c r="P130" s="624"/>
      <c r="Q130" s="624"/>
      <c r="R130" s="624"/>
      <c r="S130" s="624"/>
      <c r="T130" s="663"/>
    </row>
    <row r="131" spans="1:20" s="661" customFormat="1" x14ac:dyDescent="0.2">
      <c r="E131" s="216">
        <v>0</v>
      </c>
      <c r="F131" s="621"/>
      <c r="G131" s="621"/>
      <c r="H131" s="656" t="s">
        <v>615</v>
      </c>
      <c r="I131" s="294" t="s">
        <v>133</v>
      </c>
      <c r="J131" s="633">
        <v>1.9</v>
      </c>
      <c r="K131" s="624">
        <f>J131*$J$15*1000</f>
        <v>190000</v>
      </c>
      <c r="L131" s="632">
        <v>5</v>
      </c>
      <c r="M131" s="634">
        <f>K131*L131</f>
        <v>950000</v>
      </c>
      <c r="N131" s="663"/>
      <c r="O131" s="367" t="s">
        <v>136</v>
      </c>
      <c r="P131" s="624"/>
      <c r="Q131" s="624"/>
      <c r="R131" s="624"/>
      <c r="S131" s="624"/>
      <c r="T131" s="663"/>
    </row>
    <row r="132" spans="1:20" s="661" customFormat="1" x14ac:dyDescent="0.2">
      <c r="E132" s="216"/>
      <c r="F132" s="621"/>
      <c r="G132" s="621"/>
      <c r="H132" s="656" t="s">
        <v>616</v>
      </c>
      <c r="I132" s="294" t="s">
        <v>133</v>
      </c>
      <c r="J132" s="633">
        <v>1.9</v>
      </c>
      <c r="K132" s="624">
        <f>J132*$J$15*1000</f>
        <v>190000</v>
      </c>
      <c r="L132" s="630">
        <f>L131</f>
        <v>5</v>
      </c>
      <c r="M132" s="634">
        <f>K132*L132</f>
        <v>950000</v>
      </c>
      <c r="N132" s="663"/>
      <c r="O132" s="367"/>
      <c r="P132" s="624"/>
      <c r="Q132" s="624"/>
      <c r="R132" s="624"/>
      <c r="S132" s="624"/>
      <c r="T132" s="663"/>
    </row>
    <row r="133" spans="1:20" s="661" customFormat="1" x14ac:dyDescent="0.2">
      <c r="E133" s="216">
        <v>1</v>
      </c>
      <c r="F133" s="621"/>
      <c r="G133" s="621"/>
      <c r="H133" s="622" t="s">
        <v>162</v>
      </c>
      <c r="I133" s="294" t="s">
        <v>133</v>
      </c>
      <c r="J133" s="633">
        <v>1.9</v>
      </c>
      <c r="K133" s="624">
        <f>J133*$J$15*1000</f>
        <v>190000</v>
      </c>
      <c r="L133" s="630">
        <f>L131</f>
        <v>5</v>
      </c>
      <c r="M133" s="634">
        <f>K133*L133</f>
        <v>950000</v>
      </c>
      <c r="N133" s="663"/>
      <c r="O133" s="367" t="s">
        <v>136</v>
      </c>
      <c r="P133" s="624"/>
      <c r="Q133" s="624"/>
      <c r="R133" s="624"/>
      <c r="S133" s="624"/>
      <c r="T133" s="663"/>
    </row>
    <row r="134" spans="1:20" s="661" customFormat="1" x14ac:dyDescent="0.2">
      <c r="E134" s="216">
        <v>1</v>
      </c>
      <c r="F134" s="621"/>
      <c r="G134" s="621"/>
      <c r="H134" s="622" t="s">
        <v>163</v>
      </c>
      <c r="I134" s="294" t="s">
        <v>133</v>
      </c>
      <c r="J134" s="633">
        <v>0.63</v>
      </c>
      <c r="K134" s="624">
        <f>J134*$J$15*1000</f>
        <v>63000</v>
      </c>
      <c r="L134" s="630">
        <f>L133</f>
        <v>5</v>
      </c>
      <c r="M134" s="634">
        <f>K134*L134</f>
        <v>315000</v>
      </c>
      <c r="N134" s="663"/>
      <c r="O134" s="367" t="s">
        <v>136</v>
      </c>
      <c r="P134" s="624"/>
      <c r="Q134" s="624"/>
      <c r="R134" s="624"/>
      <c r="S134" s="624"/>
      <c r="T134" s="663"/>
    </row>
    <row r="135" spans="1:20" s="661" customFormat="1" x14ac:dyDescent="0.2">
      <c r="E135" s="216"/>
      <c r="F135" s="621"/>
      <c r="G135" s="621"/>
      <c r="H135" s="622"/>
      <c r="I135" s="294"/>
      <c r="J135" s="633"/>
      <c r="K135" s="336"/>
      <c r="L135" s="630"/>
      <c r="M135" s="634"/>
      <c r="N135" s="663"/>
      <c r="O135" s="367"/>
      <c r="P135" s="624"/>
      <c r="Q135" s="624"/>
      <c r="R135" s="624"/>
      <c r="S135" s="624"/>
      <c r="T135" s="663"/>
    </row>
    <row r="136" spans="1:20" s="661" customFormat="1" x14ac:dyDescent="0.2">
      <c r="A136" s="661" t="s">
        <v>705</v>
      </c>
      <c r="B136" s="661" t="s">
        <v>131</v>
      </c>
      <c r="F136" s="621"/>
      <c r="G136" s="621"/>
      <c r="H136" s="626" t="s">
        <v>137</v>
      </c>
      <c r="I136" s="294"/>
      <c r="J136" s="622"/>
      <c r="K136" s="624"/>
      <c r="L136" s="630"/>
      <c r="M136" s="628">
        <f>SUM(M131:M135)</f>
        <v>3165000</v>
      </c>
      <c r="N136" s="663"/>
      <c r="O136" s="367"/>
      <c r="P136" s="624"/>
      <c r="Q136" s="624"/>
      <c r="R136" s="624"/>
      <c r="S136" s="624"/>
      <c r="T136" s="663"/>
    </row>
    <row r="137" spans="1:20" s="661" customFormat="1" x14ac:dyDescent="0.2">
      <c r="F137" s="621"/>
      <c r="G137" s="621"/>
      <c r="H137" s="627" t="s">
        <v>140</v>
      </c>
      <c r="I137" s="294"/>
      <c r="J137" s="622"/>
      <c r="K137" s="624"/>
      <c r="L137" s="630"/>
      <c r="M137" s="634"/>
      <c r="N137" s="663"/>
      <c r="O137" s="367"/>
      <c r="P137" s="624"/>
      <c r="Q137" s="624"/>
      <c r="R137" s="624"/>
      <c r="S137" s="624"/>
      <c r="T137" s="663"/>
    </row>
    <row r="138" spans="1:20" s="661" customFormat="1" x14ac:dyDescent="0.2">
      <c r="E138" s="216">
        <v>1</v>
      </c>
      <c r="F138" s="621"/>
      <c r="G138" s="621"/>
      <c r="H138" s="622" t="s">
        <v>141</v>
      </c>
      <c r="I138" s="294" t="s">
        <v>133</v>
      </c>
      <c r="J138" s="633">
        <v>1.9</v>
      </c>
      <c r="K138" s="624">
        <f>J138*$J$15*1000</f>
        <v>190000</v>
      </c>
      <c r="L138" s="630"/>
      <c r="M138" s="634">
        <f>K138*L138</f>
        <v>0</v>
      </c>
      <c r="N138" s="663"/>
      <c r="O138" s="367" t="s">
        <v>427</v>
      </c>
      <c r="P138" s="624"/>
      <c r="Q138" s="624"/>
      <c r="R138" s="624"/>
      <c r="S138" s="624"/>
      <c r="T138" s="663"/>
    </row>
    <row r="139" spans="1:20" s="661" customFormat="1" x14ac:dyDescent="0.2">
      <c r="E139" s="216">
        <v>1</v>
      </c>
      <c r="F139" s="621"/>
      <c r="G139" s="621"/>
      <c r="H139" s="622" t="s">
        <v>143</v>
      </c>
      <c r="I139" s="294" t="s">
        <v>133</v>
      </c>
      <c r="J139" s="633">
        <v>0.63</v>
      </c>
      <c r="K139" s="624">
        <f>J139*$J$15*1000</f>
        <v>63000</v>
      </c>
      <c r="L139" s="630"/>
      <c r="M139" s="634">
        <f>K139*L139</f>
        <v>0</v>
      </c>
      <c r="N139" s="663"/>
      <c r="O139" s="367" t="s">
        <v>427</v>
      </c>
      <c r="P139" s="624"/>
      <c r="Q139" s="624"/>
      <c r="R139" s="624"/>
      <c r="S139" s="624"/>
      <c r="T139" s="663"/>
    </row>
    <row r="140" spans="1:20" s="661" customFormat="1" x14ac:dyDescent="0.2">
      <c r="E140" s="216">
        <v>1</v>
      </c>
      <c r="F140" s="621"/>
      <c r="G140" s="621"/>
      <c r="H140" s="622" t="s">
        <v>144</v>
      </c>
      <c r="I140" s="294" t="s">
        <v>133</v>
      </c>
      <c r="J140" s="633">
        <v>4.0999999999999996</v>
      </c>
      <c r="K140" s="624">
        <f>J140*$J$15*1000</f>
        <v>409999.99999999994</v>
      </c>
      <c r="L140" s="632">
        <v>3</v>
      </c>
      <c r="M140" s="634">
        <f>K140*L140</f>
        <v>1229999.9999999998</v>
      </c>
      <c r="N140" s="663"/>
      <c r="O140" s="367" t="s">
        <v>145</v>
      </c>
      <c r="P140" s="624"/>
      <c r="Q140" s="624"/>
      <c r="R140" s="624"/>
      <c r="S140" s="624"/>
      <c r="T140" s="663"/>
    </row>
    <row r="141" spans="1:20" s="661" customFormat="1" x14ac:dyDescent="0.2">
      <c r="F141" s="621"/>
      <c r="G141" s="621"/>
      <c r="H141" s="619"/>
      <c r="I141" s="629"/>
      <c r="J141" s="619"/>
      <c r="K141" s="619"/>
      <c r="L141" s="630"/>
      <c r="M141" s="619"/>
      <c r="N141" s="663"/>
      <c r="O141" s="624"/>
      <c r="P141" s="624"/>
      <c r="Q141" s="624"/>
      <c r="R141" s="624"/>
      <c r="S141" s="624"/>
      <c r="T141" s="663"/>
    </row>
    <row r="142" spans="1:20" s="661" customFormat="1" x14ac:dyDescent="0.2">
      <c r="F142" s="621"/>
      <c r="G142" s="621"/>
      <c r="H142" s="627" t="s">
        <v>139</v>
      </c>
      <c r="I142" s="629"/>
      <c r="J142" s="619"/>
      <c r="K142" s="619"/>
      <c r="L142" s="630"/>
      <c r="M142" s="619"/>
      <c r="N142" s="663"/>
      <c r="O142" s="624"/>
      <c r="P142" s="624"/>
      <c r="Q142" s="643"/>
      <c r="R142" s="643"/>
      <c r="S142" s="624"/>
      <c r="T142" s="663"/>
    </row>
    <row r="143" spans="1:20" s="661" customFormat="1" x14ac:dyDescent="0.2">
      <c r="E143" s="217">
        <v>0</v>
      </c>
      <c r="F143" s="621"/>
      <c r="G143" s="621"/>
      <c r="H143" s="656" t="s">
        <v>617</v>
      </c>
      <c r="I143" s="294" t="s">
        <v>150</v>
      </c>
      <c r="J143" s="633">
        <v>4</v>
      </c>
      <c r="K143" s="624">
        <f>J143*$J$15*1000</f>
        <v>400000</v>
      </c>
      <c r="L143" s="632">
        <v>1</v>
      </c>
      <c r="M143" s="634">
        <f>L$143*K143</f>
        <v>400000</v>
      </c>
      <c r="N143" s="663"/>
      <c r="O143" s="367"/>
      <c r="P143" s="624"/>
      <c r="Q143" s="624"/>
      <c r="R143" s="624"/>
      <c r="S143" s="624"/>
      <c r="T143" s="663"/>
    </row>
    <row r="144" spans="1:20" s="661" customFormat="1" x14ac:dyDescent="0.2">
      <c r="E144" s="217">
        <v>0</v>
      </c>
      <c r="F144" s="621"/>
      <c r="G144" s="621"/>
      <c r="H144" s="656" t="s">
        <v>618</v>
      </c>
      <c r="I144" s="294" t="s">
        <v>150</v>
      </c>
      <c r="J144" s="633">
        <v>50</v>
      </c>
      <c r="K144" s="624">
        <f>J144*$J$15*1000</f>
        <v>5000000</v>
      </c>
      <c r="L144" s="630"/>
      <c r="M144" s="634">
        <f>L144*K144</f>
        <v>0</v>
      </c>
      <c r="N144" s="663"/>
      <c r="O144" s="624" t="s">
        <v>511</v>
      </c>
      <c r="P144" s="624"/>
      <c r="Q144" s="624"/>
      <c r="R144" s="624"/>
      <c r="S144" s="624"/>
      <c r="T144" s="663"/>
    </row>
    <row r="145" spans="1:20" s="661" customFormat="1" x14ac:dyDescent="0.2">
      <c r="E145" s="217">
        <v>1</v>
      </c>
      <c r="F145" s="621"/>
      <c r="G145" s="621"/>
      <c r="H145" s="622" t="s">
        <v>153</v>
      </c>
      <c r="I145" s="294" t="s">
        <v>150</v>
      </c>
      <c r="J145" s="633">
        <v>90</v>
      </c>
      <c r="K145" s="624">
        <f>J145*$J$15*1000</f>
        <v>9000000</v>
      </c>
      <c r="L145" s="630"/>
      <c r="M145" s="634">
        <f>L145*K145</f>
        <v>0</v>
      </c>
      <c r="N145" s="663"/>
      <c r="O145" s="376"/>
      <c r="P145" s="624"/>
      <c r="Q145" s="624"/>
      <c r="R145" s="624"/>
      <c r="S145" s="624"/>
      <c r="T145" s="663"/>
    </row>
    <row r="146" spans="1:20" s="661" customFormat="1" x14ac:dyDescent="0.2">
      <c r="E146" s="217">
        <v>1</v>
      </c>
      <c r="F146" s="621"/>
      <c r="G146" s="621"/>
      <c r="H146" s="622" t="s">
        <v>154</v>
      </c>
      <c r="I146" s="294" t="s">
        <v>150</v>
      </c>
      <c r="J146" s="633">
        <v>50</v>
      </c>
      <c r="K146" s="624">
        <f>J146*$J$15*1000</f>
        <v>5000000</v>
      </c>
      <c r="L146" s="630"/>
      <c r="M146" s="634">
        <f>L146*K146</f>
        <v>0</v>
      </c>
      <c r="N146" s="663"/>
      <c r="O146" s="367"/>
      <c r="P146" s="624"/>
      <c r="Q146" s="624"/>
      <c r="R146" s="624"/>
      <c r="S146" s="624"/>
      <c r="T146" s="663"/>
    </row>
    <row r="147" spans="1:20" s="661" customFormat="1" x14ac:dyDescent="0.2">
      <c r="E147" s="217">
        <v>1</v>
      </c>
      <c r="F147" s="621"/>
      <c r="G147" s="621"/>
      <c r="H147" s="622" t="s">
        <v>155</v>
      </c>
      <c r="I147" s="294" t="s">
        <v>150</v>
      </c>
      <c r="J147" s="633">
        <v>10</v>
      </c>
      <c r="K147" s="624">
        <f>J147*$J$15*1000</f>
        <v>1000000</v>
      </c>
      <c r="L147" s="630"/>
      <c r="M147" s="634">
        <f>L147*K147</f>
        <v>0</v>
      </c>
      <c r="N147" s="663"/>
      <c r="O147" s="367"/>
      <c r="P147" s="624"/>
      <c r="Q147" s="624"/>
      <c r="R147" s="624"/>
      <c r="S147" s="624"/>
      <c r="T147" s="663"/>
    </row>
    <row r="148" spans="1:20" s="661" customFormat="1" x14ac:dyDescent="0.2">
      <c r="F148" s="621"/>
      <c r="G148" s="621"/>
      <c r="H148" s="366" t="s">
        <v>156</v>
      </c>
      <c r="I148" s="366" t="s">
        <v>65</v>
      </c>
      <c r="J148" s="627"/>
      <c r="K148" s="376">
        <f>SUM(K144:K147)</f>
        <v>20000000</v>
      </c>
      <c r="L148" s="626"/>
      <c r="M148" s="642">
        <f>SUM(M143:M147)</f>
        <v>400000</v>
      </c>
      <c r="N148" s="663"/>
      <c r="O148" s="367"/>
      <c r="P148" s="624"/>
      <c r="Q148" s="624"/>
      <c r="R148" s="624"/>
      <c r="S148" s="624"/>
      <c r="T148" s="663"/>
    </row>
    <row r="149" spans="1:20" s="661" customFormat="1" x14ac:dyDescent="0.2">
      <c r="F149" s="621"/>
      <c r="G149" s="621"/>
      <c r="H149" s="656" t="s">
        <v>855</v>
      </c>
      <c r="I149" s="294" t="s">
        <v>157</v>
      </c>
      <c r="J149" s="332">
        <v>0.1</v>
      </c>
      <c r="K149" s="624">
        <f>J149*K148</f>
        <v>2000000</v>
      </c>
      <c r="L149" s="630">
        <f>L143</f>
        <v>1</v>
      </c>
      <c r="M149" s="634">
        <f>L149*K149</f>
        <v>2000000</v>
      </c>
      <c r="N149" s="663"/>
      <c r="O149" s="367"/>
      <c r="P149" s="624"/>
      <c r="Q149" s="624"/>
      <c r="R149" s="624"/>
      <c r="S149" s="624"/>
      <c r="T149" s="663"/>
    </row>
    <row r="150" spans="1:20" s="661" customFormat="1" x14ac:dyDescent="0.2">
      <c r="A150" s="661" t="s">
        <v>706</v>
      </c>
      <c r="B150" s="661" t="s">
        <v>139</v>
      </c>
      <c r="F150" s="621"/>
      <c r="G150" s="621"/>
      <c r="H150" s="626" t="s">
        <v>158</v>
      </c>
      <c r="I150" s="629"/>
      <c r="J150" s="619"/>
      <c r="K150" s="619"/>
      <c r="L150" s="630"/>
      <c r="M150" s="628">
        <f>SUM(M148:M149,M140)</f>
        <v>3630000</v>
      </c>
      <c r="N150" s="663"/>
      <c r="O150" s="624"/>
      <c r="P150" s="624"/>
      <c r="Q150" s="624"/>
      <c r="R150" s="624"/>
      <c r="S150" s="624"/>
      <c r="T150" s="663"/>
    </row>
    <row r="151" spans="1:20" s="661" customFormat="1" x14ac:dyDescent="0.2">
      <c r="F151" s="621"/>
      <c r="G151" s="621"/>
      <c r="H151" s="627" t="s">
        <v>159</v>
      </c>
      <c r="I151" s="629"/>
      <c r="J151" s="619"/>
      <c r="K151" s="622"/>
      <c r="L151" s="630"/>
      <c r="M151" s="619"/>
      <c r="N151" s="663"/>
      <c r="O151" s="624"/>
      <c r="P151" s="624"/>
      <c r="Q151" s="624"/>
      <c r="R151" s="624"/>
      <c r="S151" s="624"/>
      <c r="T151" s="663"/>
    </row>
    <row r="152" spans="1:20" s="661" customFormat="1" x14ac:dyDescent="0.2">
      <c r="E152" s="216">
        <v>0</v>
      </c>
      <c r="F152" s="621"/>
      <c r="G152" s="621"/>
      <c r="H152" s="656" t="s">
        <v>619</v>
      </c>
      <c r="I152" s="294" t="s">
        <v>161</v>
      </c>
      <c r="J152" s="436">
        <v>35</v>
      </c>
      <c r="K152" s="624">
        <f t="shared" ref="K152:K159" si="14">J152*$J$15*1000</f>
        <v>3500000</v>
      </c>
      <c r="L152" s="375"/>
      <c r="M152" s="634">
        <f t="shared" ref="M152:M160" si="15">K152*$L$161</f>
        <v>140000</v>
      </c>
      <c r="N152" s="663"/>
      <c r="O152" s="624"/>
      <c r="P152" s="367"/>
      <c r="Q152" s="624"/>
      <c r="R152" s="624"/>
      <c r="S152" s="624"/>
      <c r="T152" s="663"/>
    </row>
    <row r="153" spans="1:20" s="661" customFormat="1" x14ac:dyDescent="0.2">
      <c r="E153" s="216">
        <v>1</v>
      </c>
      <c r="F153" s="621"/>
      <c r="G153" s="621"/>
      <c r="H153" s="656" t="s">
        <v>616</v>
      </c>
      <c r="I153" s="294" t="s">
        <v>161</v>
      </c>
      <c r="J153" s="436">
        <v>35</v>
      </c>
      <c r="K153" s="624">
        <f t="shared" si="14"/>
        <v>3500000</v>
      </c>
      <c r="L153" s="375"/>
      <c r="M153" s="634">
        <f t="shared" si="15"/>
        <v>140000</v>
      </c>
      <c r="N153" s="663"/>
      <c r="O153" s="624"/>
      <c r="P153" s="624"/>
      <c r="Q153" s="624"/>
      <c r="R153" s="624"/>
      <c r="S153" s="624"/>
      <c r="T153" s="663"/>
    </row>
    <row r="154" spans="1:20" s="661" customFormat="1" x14ac:dyDescent="0.2">
      <c r="E154" s="216">
        <v>1</v>
      </c>
      <c r="F154" s="621"/>
      <c r="G154" s="621"/>
      <c r="H154" s="656" t="s">
        <v>620</v>
      </c>
      <c r="I154" s="294" t="s">
        <v>161</v>
      </c>
      <c r="J154" s="436">
        <v>100</v>
      </c>
      <c r="K154" s="624">
        <f t="shared" si="14"/>
        <v>10000000</v>
      </c>
      <c r="L154" s="375"/>
      <c r="M154" s="634">
        <f t="shared" si="15"/>
        <v>400000</v>
      </c>
      <c r="N154" s="663"/>
      <c r="O154" s="624"/>
      <c r="P154" s="624"/>
      <c r="Q154" s="624"/>
      <c r="R154" s="624"/>
      <c r="S154" s="624"/>
      <c r="T154" s="663"/>
    </row>
    <row r="155" spans="1:20" s="661" customFormat="1" x14ac:dyDescent="0.2">
      <c r="E155" s="216">
        <v>1</v>
      </c>
      <c r="F155" s="621"/>
      <c r="G155" s="621"/>
      <c r="H155" s="622" t="s">
        <v>162</v>
      </c>
      <c r="I155" s="294" t="s">
        <v>161</v>
      </c>
      <c r="J155" s="437">
        <v>24</v>
      </c>
      <c r="K155" s="624">
        <f t="shared" si="14"/>
        <v>2400000</v>
      </c>
      <c r="L155" s="375"/>
      <c r="M155" s="634">
        <f t="shared" si="15"/>
        <v>96000</v>
      </c>
      <c r="N155" s="663"/>
      <c r="O155" s="624"/>
      <c r="P155" s="624"/>
      <c r="Q155" s="624"/>
      <c r="R155" s="624"/>
      <c r="S155" s="624"/>
      <c r="T155" s="663"/>
    </row>
    <row r="156" spans="1:20" s="661" customFormat="1" x14ac:dyDescent="0.2">
      <c r="E156" s="216">
        <v>1</v>
      </c>
      <c r="F156" s="621"/>
      <c r="G156" s="621"/>
      <c r="H156" s="622" t="s">
        <v>163</v>
      </c>
      <c r="I156" s="294" t="s">
        <v>161</v>
      </c>
      <c r="J156" s="437">
        <v>9</v>
      </c>
      <c r="K156" s="624">
        <f t="shared" si="14"/>
        <v>900000</v>
      </c>
      <c r="L156" s="375"/>
      <c r="M156" s="634">
        <f t="shared" si="15"/>
        <v>36000</v>
      </c>
      <c r="N156" s="663"/>
      <c r="O156" s="624"/>
      <c r="P156" s="624"/>
      <c r="Q156" s="624"/>
      <c r="R156" s="624"/>
      <c r="S156" s="624"/>
      <c r="T156" s="663"/>
    </row>
    <row r="157" spans="1:20" s="661" customFormat="1" x14ac:dyDescent="0.2">
      <c r="E157" s="216">
        <v>1</v>
      </c>
      <c r="F157" s="621"/>
      <c r="G157" s="621"/>
      <c r="H157" s="656" t="s">
        <v>621</v>
      </c>
      <c r="I157" s="294" t="s">
        <v>161</v>
      </c>
      <c r="J157" s="436">
        <v>15</v>
      </c>
      <c r="K157" s="624">
        <f t="shared" si="14"/>
        <v>1500000</v>
      </c>
      <c r="L157" s="375"/>
      <c r="M157" s="634">
        <f t="shared" si="15"/>
        <v>60000</v>
      </c>
      <c r="N157" s="663"/>
      <c r="O157" s="624"/>
      <c r="P157" s="624"/>
      <c r="Q157" s="624"/>
      <c r="R157" s="624"/>
      <c r="S157" s="624"/>
      <c r="T157" s="663"/>
    </row>
    <row r="158" spans="1:20" s="661" customFormat="1" x14ac:dyDescent="0.2">
      <c r="E158" s="216">
        <v>1</v>
      </c>
      <c r="F158" s="621"/>
      <c r="G158" s="621"/>
      <c r="H158" s="622" t="s">
        <v>167</v>
      </c>
      <c r="I158" s="294" t="s">
        <v>168</v>
      </c>
      <c r="J158" s="436">
        <v>150</v>
      </c>
      <c r="K158" s="624">
        <f>J158*$J$17</f>
        <v>50370</v>
      </c>
      <c r="L158" s="375"/>
      <c r="M158" s="634">
        <f t="shared" si="15"/>
        <v>2014.8</v>
      </c>
      <c r="N158" s="663"/>
      <c r="O158" s="624"/>
      <c r="P158" s="624"/>
      <c r="Q158" s="624"/>
      <c r="R158" s="624"/>
      <c r="S158" s="624"/>
      <c r="T158" s="663"/>
    </row>
    <row r="159" spans="1:20" s="661" customFormat="1" x14ac:dyDescent="0.2">
      <c r="E159" s="216"/>
      <c r="F159" s="621"/>
      <c r="G159" s="621"/>
      <c r="H159" s="656" t="s">
        <v>622</v>
      </c>
      <c r="I159" s="294" t="s">
        <v>161</v>
      </c>
      <c r="J159" s="436">
        <v>5</v>
      </c>
      <c r="K159" s="624">
        <f t="shared" si="14"/>
        <v>500000</v>
      </c>
      <c r="L159" s="375"/>
      <c r="M159" s="634">
        <f t="shared" si="15"/>
        <v>20000</v>
      </c>
      <c r="N159" s="663"/>
      <c r="O159" s="624"/>
      <c r="P159" s="624"/>
      <c r="Q159" s="624"/>
      <c r="R159" s="624"/>
      <c r="S159" s="624"/>
      <c r="T159" s="663"/>
    </row>
    <row r="160" spans="1:20" s="661" customFormat="1" x14ac:dyDescent="0.2">
      <c r="E160" s="216">
        <v>1</v>
      </c>
      <c r="F160" s="621"/>
      <c r="G160" s="621"/>
      <c r="H160" s="622" t="s">
        <v>169</v>
      </c>
      <c r="I160" s="294" t="s">
        <v>170</v>
      </c>
      <c r="J160" s="436">
        <v>350</v>
      </c>
      <c r="K160" s="624">
        <f>J160*J17*24</f>
        <v>2820720</v>
      </c>
      <c r="L160" s="375"/>
      <c r="M160" s="634">
        <f t="shared" si="15"/>
        <v>112828.8</v>
      </c>
      <c r="N160" s="663"/>
      <c r="O160" s="367" t="s">
        <v>171</v>
      </c>
      <c r="P160" s="624"/>
      <c r="Q160" s="624"/>
      <c r="R160" s="624"/>
      <c r="S160" s="624"/>
      <c r="T160" s="663"/>
    </row>
    <row r="161" spans="1:20" s="661" customFormat="1" x14ac:dyDescent="0.2">
      <c r="A161" s="661" t="s">
        <v>707</v>
      </c>
      <c r="B161" s="661" t="s">
        <v>720</v>
      </c>
      <c r="F161" s="621"/>
      <c r="G161" s="621"/>
      <c r="H161" s="626" t="s">
        <v>172</v>
      </c>
      <c r="I161" s="294" t="s">
        <v>173</v>
      </c>
      <c r="J161" s="619"/>
      <c r="K161" s="628">
        <f>SUM(K152:K160)</f>
        <v>25171090</v>
      </c>
      <c r="L161" s="374">
        <v>0.04</v>
      </c>
      <c r="M161" s="362">
        <f>L161*K161</f>
        <v>1006843.6</v>
      </c>
      <c r="N161" s="663"/>
      <c r="O161" s="624"/>
      <c r="P161" s="624"/>
      <c r="Q161" s="624"/>
      <c r="R161" s="624"/>
      <c r="S161" s="624"/>
      <c r="T161" s="663"/>
    </row>
    <row r="162" spans="1:20" s="661" customFormat="1" x14ac:dyDescent="0.2">
      <c r="F162" s="621"/>
      <c r="G162" s="621"/>
      <c r="H162" s="626" t="s">
        <v>174</v>
      </c>
      <c r="I162" s="294" t="s">
        <v>175</v>
      </c>
      <c r="J162" s="619"/>
      <c r="K162" s="624">
        <f>K161/J18</f>
        <v>3123.2740222354573</v>
      </c>
      <c r="L162" s="630"/>
      <c r="M162" s="619"/>
      <c r="N162" s="663"/>
      <c r="O162" s="624"/>
      <c r="P162" s="624"/>
      <c r="Q162" s="624"/>
      <c r="R162" s="624"/>
      <c r="S162" s="624"/>
      <c r="T162" s="663"/>
    </row>
    <row r="163" spans="1:20" s="661" customFormat="1" x14ac:dyDescent="0.2">
      <c r="F163" s="621"/>
      <c r="G163" s="621"/>
      <c r="H163" s="626"/>
      <c r="I163" s="366" t="s">
        <v>435</v>
      </c>
      <c r="J163" s="619"/>
      <c r="K163" s="634">
        <f>K161/J15/1000</f>
        <v>251.71089999999998</v>
      </c>
      <c r="L163" s="630"/>
      <c r="M163" s="619"/>
      <c r="N163" s="663"/>
      <c r="O163" s="624"/>
      <c r="P163" s="624"/>
      <c r="Q163" s="624"/>
      <c r="R163" s="624"/>
      <c r="S163" s="624"/>
      <c r="T163" s="663"/>
    </row>
    <row r="164" spans="1:20" s="661" customFormat="1" ht="25.5" x14ac:dyDescent="0.2">
      <c r="F164" s="621"/>
      <c r="G164" s="318" t="s">
        <v>176</v>
      </c>
      <c r="H164" s="317" t="s">
        <v>623</v>
      </c>
      <c r="I164" s="316" t="s">
        <v>20</v>
      </c>
      <c r="J164" s="620" t="s">
        <v>71</v>
      </c>
      <c r="K164" s="620" t="s">
        <v>72</v>
      </c>
      <c r="L164" s="347" t="s">
        <v>73</v>
      </c>
      <c r="M164" s="620" t="s">
        <v>437</v>
      </c>
      <c r="N164" s="401"/>
      <c r="O164" s="423" t="s">
        <v>76</v>
      </c>
      <c r="P164" s="402"/>
      <c r="Q164" s="402"/>
      <c r="R164" s="402"/>
      <c r="S164" s="402"/>
      <c r="T164" s="401"/>
    </row>
    <row r="165" spans="1:20" s="661" customFormat="1" x14ac:dyDescent="0.2">
      <c r="F165" s="621"/>
      <c r="G165" s="621"/>
      <c r="H165" s="622" t="str">
        <f>H33</f>
        <v>Screen rejects</v>
      </c>
      <c r="I165" s="294" t="s">
        <v>50</v>
      </c>
      <c r="J165" s="396">
        <f>P165</f>
        <v>0</v>
      </c>
      <c r="K165" s="624">
        <f>M25</f>
        <v>0</v>
      </c>
      <c r="L165" s="434"/>
      <c r="M165" s="624">
        <f>L165*K165</f>
        <v>0</v>
      </c>
      <c r="N165" s="663"/>
      <c r="O165" s="367"/>
      <c r="P165" s="367"/>
      <c r="Q165" s="367"/>
      <c r="R165" s="367"/>
      <c r="S165" s="624"/>
      <c r="T165" s="663"/>
    </row>
    <row r="166" spans="1:20" s="661" customFormat="1" x14ac:dyDescent="0.2">
      <c r="F166" s="621"/>
      <c r="G166" s="621"/>
      <c r="H166" s="622">
        <f>H34</f>
        <v>0</v>
      </c>
      <c r="I166" s="294" t="s">
        <v>50</v>
      </c>
      <c r="J166" s="294"/>
      <c r="K166" s="624">
        <f>M26</f>
        <v>0</v>
      </c>
      <c r="L166" s="435"/>
      <c r="M166" s="624">
        <f>L166*K166</f>
        <v>0</v>
      </c>
      <c r="N166" s="663"/>
      <c r="O166" s="367"/>
      <c r="P166" s="367"/>
      <c r="Q166" s="367"/>
      <c r="R166" s="367"/>
      <c r="S166" s="624"/>
      <c r="T166" s="663"/>
    </row>
    <row r="167" spans="1:20" s="661" customFormat="1" x14ac:dyDescent="0.2">
      <c r="F167" s="621"/>
      <c r="G167" s="621"/>
      <c r="H167" s="622">
        <f>H35</f>
        <v>0</v>
      </c>
      <c r="I167" s="294" t="s">
        <v>50</v>
      </c>
      <c r="J167" s="294"/>
      <c r="K167" s="624">
        <f>M27</f>
        <v>0</v>
      </c>
      <c r="L167" s="435"/>
      <c r="M167" s="624">
        <f>L167*K167</f>
        <v>0</v>
      </c>
      <c r="N167" s="663"/>
      <c r="O167" s="367"/>
      <c r="P167" s="367"/>
      <c r="Q167" s="367"/>
      <c r="R167" s="367"/>
      <c r="S167" s="624"/>
      <c r="T167" s="663"/>
    </row>
    <row r="168" spans="1:20" s="661" customFormat="1" x14ac:dyDescent="0.2">
      <c r="F168" s="621"/>
      <c r="G168" s="621"/>
      <c r="H168" s="622">
        <f>H36</f>
        <v>0</v>
      </c>
      <c r="I168" s="294" t="s">
        <v>50</v>
      </c>
      <c r="J168" s="294"/>
      <c r="K168" s="624">
        <f>M28</f>
        <v>0</v>
      </c>
      <c r="L168" s="434"/>
      <c r="M168" s="624">
        <f>L168*K168</f>
        <v>0</v>
      </c>
      <c r="N168" s="663"/>
      <c r="O168" s="367"/>
      <c r="P168" s="367"/>
      <c r="Q168" s="367"/>
      <c r="R168" s="367"/>
      <c r="S168" s="624"/>
      <c r="T168" s="663"/>
    </row>
    <row r="169" spans="1:20" s="661" customFormat="1" x14ac:dyDescent="0.2">
      <c r="F169" s="621"/>
      <c r="G169" s="621"/>
      <c r="H169" s="656"/>
      <c r="I169" s="681" t="s">
        <v>173</v>
      </c>
      <c r="J169" s="294"/>
      <c r="K169" s="624"/>
      <c r="L169" s="635">
        <f>L168</f>
        <v>0</v>
      </c>
      <c r="M169" s="624">
        <f>L169*K169</f>
        <v>0</v>
      </c>
      <c r="N169" s="663"/>
      <c r="R169" s="367"/>
      <c r="S169" s="624"/>
      <c r="T169" s="663"/>
    </row>
    <row r="170" spans="1:20" s="661" customFormat="1" x14ac:dyDescent="0.2">
      <c r="F170" s="621"/>
      <c r="G170" s="621"/>
      <c r="H170" s="626" t="s">
        <v>440</v>
      </c>
      <c r="I170" s="294"/>
      <c r="J170" s="619"/>
      <c r="K170" s="619"/>
      <c r="L170" s="630"/>
      <c r="M170" s="362">
        <f>SUM(M165:M168)</f>
        <v>0</v>
      </c>
      <c r="N170" s="663"/>
      <c r="R170" s="624"/>
      <c r="S170" s="624"/>
      <c r="T170" s="663"/>
    </row>
    <row r="171" spans="1:20" s="661" customFormat="1" x14ac:dyDescent="0.2">
      <c r="F171" s="621"/>
      <c r="G171" s="264"/>
      <c r="H171" s="301"/>
      <c r="I171" s="372"/>
      <c r="J171" s="263"/>
      <c r="K171" s="263"/>
      <c r="L171" s="265"/>
      <c r="M171" s="433"/>
      <c r="N171" s="397"/>
      <c r="O171" s="398"/>
      <c r="P171" s="398"/>
      <c r="Q171" s="398"/>
      <c r="R171" s="398"/>
      <c r="S171" s="398"/>
      <c r="T171" s="397"/>
    </row>
    <row r="172" spans="1:20" s="661" customFormat="1" ht="38.25" x14ac:dyDescent="0.2">
      <c r="F172" s="621"/>
      <c r="G172" s="331" t="s">
        <v>189</v>
      </c>
      <c r="H172" s="379" t="s">
        <v>441</v>
      </c>
      <c r="I172" s="279" t="s">
        <v>20</v>
      </c>
      <c r="J172" s="328" t="s">
        <v>213</v>
      </c>
      <c r="K172" s="328" t="s">
        <v>72</v>
      </c>
      <c r="L172" s="378" t="s">
        <v>73</v>
      </c>
      <c r="M172" s="328" t="s">
        <v>130</v>
      </c>
      <c r="N172" s="663"/>
      <c r="O172" s="1366" t="s">
        <v>1017</v>
      </c>
      <c r="P172" s="1366" t="s">
        <v>248</v>
      </c>
      <c r="Q172" s="624"/>
      <c r="R172" s="624"/>
      <c r="S172" s="624"/>
      <c r="T172" s="663"/>
    </row>
    <row r="173" spans="1:20" s="661" customFormat="1" x14ac:dyDescent="0.2">
      <c r="F173" s="621"/>
      <c r="G173" s="621"/>
      <c r="H173" s="635" t="s">
        <v>214</v>
      </c>
      <c r="I173" s="681" t="s">
        <v>1012</v>
      </c>
      <c r="J173" s="624">
        <f>Assumptions!$F$23*P173</f>
        <v>2056</v>
      </c>
      <c r="K173" s="367">
        <f>J15*1000*J59</f>
        <v>78900</v>
      </c>
      <c r="L173" s="630">
        <f>2.2/32</f>
        <v>6.8750000000000006E-2</v>
      </c>
      <c r="M173" s="624">
        <f>L173*K173*J173</f>
        <v>11152515</v>
      </c>
      <c r="N173" s="663"/>
      <c r="O173" s="1211" t="s">
        <v>324</v>
      </c>
      <c r="P173" s="1211">
        <f>IF(O173="yes",1,2)</f>
        <v>1</v>
      </c>
      <c r="Q173" s="624"/>
      <c r="R173" s="624"/>
      <c r="S173" s="624"/>
      <c r="T173" s="663"/>
    </row>
    <row r="174" spans="1:20" s="661" customFormat="1" x14ac:dyDescent="0.2">
      <c r="F174" s="621"/>
      <c r="G174" s="621"/>
      <c r="H174" s="366"/>
      <c r="I174" s="629"/>
      <c r="J174" s="619"/>
      <c r="K174" s="627"/>
      <c r="L174" s="630"/>
      <c r="M174" s="619"/>
      <c r="N174" s="663"/>
      <c r="O174" s="367"/>
      <c r="P174" s="624"/>
      <c r="Q174" s="624"/>
      <c r="R174" s="624"/>
      <c r="S174" s="624"/>
      <c r="T174" s="663"/>
    </row>
    <row r="175" spans="1:20" s="661" customFormat="1" x14ac:dyDescent="0.2">
      <c r="A175" s="661" t="s">
        <v>710</v>
      </c>
      <c r="B175" s="661" t="s">
        <v>184</v>
      </c>
      <c r="F175" s="621"/>
      <c r="G175" s="621"/>
      <c r="H175" s="626" t="s">
        <v>216</v>
      </c>
      <c r="I175" s="629"/>
      <c r="J175" s="619"/>
      <c r="K175" s="627"/>
      <c r="L175" s="630"/>
      <c r="M175" s="362">
        <f>M173</f>
        <v>11152515</v>
      </c>
      <c r="N175" s="663"/>
      <c r="O175" s="624"/>
      <c r="P175" s="624"/>
      <c r="Q175" s="624"/>
      <c r="R175" s="624"/>
      <c r="S175" s="624"/>
      <c r="T175" s="663"/>
    </row>
    <row r="176" spans="1:20" s="661" customFormat="1" x14ac:dyDescent="0.2">
      <c r="F176" s="621"/>
      <c r="G176" s="621"/>
      <c r="H176" s="626"/>
      <c r="I176" s="629"/>
      <c r="J176" s="619"/>
      <c r="K176" s="627"/>
      <c r="L176" s="630"/>
      <c r="M176" s="365"/>
      <c r="N176" s="663"/>
      <c r="O176" s="624"/>
      <c r="P176" s="624"/>
      <c r="Q176" s="624"/>
      <c r="R176" s="624"/>
      <c r="S176" s="624"/>
      <c r="T176" s="663"/>
    </row>
    <row r="177" spans="1:20" s="661" customFormat="1" ht="25.5" x14ac:dyDescent="0.2">
      <c r="F177" s="621"/>
      <c r="G177" s="318" t="s">
        <v>211</v>
      </c>
      <c r="H177" s="317" t="s">
        <v>218</v>
      </c>
      <c r="I177" s="316" t="s">
        <v>20</v>
      </c>
      <c r="J177" s="620" t="s">
        <v>213</v>
      </c>
      <c r="K177" s="620" t="s">
        <v>72</v>
      </c>
      <c r="L177" s="347" t="s">
        <v>73</v>
      </c>
      <c r="M177" s="620" t="s">
        <v>130</v>
      </c>
      <c r="N177" s="401"/>
      <c r="O177" s="423" t="s">
        <v>76</v>
      </c>
      <c r="P177" s="402"/>
      <c r="Q177" s="402"/>
      <c r="R177" s="402"/>
      <c r="S177" s="402"/>
      <c r="T177" s="401"/>
    </row>
    <row r="178" spans="1:20" s="661" customFormat="1" x14ac:dyDescent="0.2">
      <c r="F178" s="621"/>
      <c r="G178" s="331"/>
      <c r="H178" s="656" t="s">
        <v>202</v>
      </c>
      <c r="I178" s="294" t="s">
        <v>220</v>
      </c>
      <c r="J178" s="332">
        <v>0.05</v>
      </c>
      <c r="K178" s="367">
        <f>SUM(J274:K275)*1000000</f>
        <v>43500000</v>
      </c>
      <c r="L178" s="431"/>
      <c r="M178" s="634">
        <f t="shared" ref="M178:M182" si="16">J178*K178</f>
        <v>2175000</v>
      </c>
      <c r="N178" s="663"/>
      <c r="O178" s="432"/>
      <c r="P178" s="624"/>
      <c r="Q178" s="624"/>
      <c r="R178" s="624"/>
      <c r="S178" s="624"/>
      <c r="T178" s="663"/>
    </row>
    <row r="179" spans="1:20" s="661" customFormat="1" x14ac:dyDescent="0.2">
      <c r="F179" s="621"/>
      <c r="G179" s="331"/>
      <c r="H179" s="622" t="s">
        <v>443</v>
      </c>
      <c r="I179" s="294" t="s">
        <v>220</v>
      </c>
      <c r="J179" s="332">
        <v>0.05</v>
      </c>
      <c r="K179" s="367">
        <f>SUM(J276:K279)*1000000</f>
        <v>93000000</v>
      </c>
      <c r="L179" s="431"/>
      <c r="M179" s="634">
        <f t="shared" si="16"/>
        <v>4650000</v>
      </c>
      <c r="N179" s="663"/>
      <c r="O179" s="432"/>
      <c r="P179" s="624"/>
      <c r="Q179" s="624"/>
      <c r="R179" s="624"/>
      <c r="S179" s="624"/>
      <c r="T179" s="663"/>
    </row>
    <row r="180" spans="1:20" s="661" customFormat="1" x14ac:dyDescent="0.2">
      <c r="F180" s="621"/>
      <c r="G180" s="331"/>
      <c r="H180" s="622" t="s">
        <v>221</v>
      </c>
      <c r="I180" s="294" t="s">
        <v>220</v>
      </c>
      <c r="J180" s="332">
        <v>0.03</v>
      </c>
      <c r="K180" s="661">
        <f>SUM(J280:K280)*1000000</f>
        <v>13000000</v>
      </c>
      <c r="L180" s="431"/>
      <c r="M180" s="634">
        <f t="shared" si="16"/>
        <v>390000</v>
      </c>
      <c r="N180" s="663"/>
      <c r="O180" s="624"/>
      <c r="P180" s="624"/>
      <c r="Q180" s="624"/>
      <c r="R180" s="624"/>
      <c r="S180" s="624"/>
      <c r="T180" s="663"/>
    </row>
    <row r="181" spans="1:20" s="661" customFormat="1" x14ac:dyDescent="0.2">
      <c r="F181" s="621"/>
      <c r="G181" s="331"/>
      <c r="H181" s="622" t="s">
        <v>222</v>
      </c>
      <c r="I181" s="294" t="s">
        <v>220</v>
      </c>
      <c r="J181" s="332">
        <v>0.03</v>
      </c>
      <c r="K181" s="661">
        <f>SUM(J281:K281)*1000000</f>
        <v>40000000</v>
      </c>
      <c r="L181" s="431"/>
      <c r="M181" s="634">
        <f t="shared" si="16"/>
        <v>1200000</v>
      </c>
      <c r="N181" s="663"/>
      <c r="O181" s="624"/>
      <c r="P181" s="624"/>
      <c r="Q181" s="624"/>
      <c r="R181" s="624"/>
      <c r="S181" s="624"/>
      <c r="T181" s="663"/>
    </row>
    <row r="182" spans="1:20" s="661" customFormat="1" x14ac:dyDescent="0.2">
      <c r="F182" s="621"/>
      <c r="G182" s="331"/>
      <c r="H182" s="622" t="s">
        <v>129</v>
      </c>
      <c r="I182" s="294" t="s">
        <v>220</v>
      </c>
      <c r="J182" s="332">
        <v>0.03</v>
      </c>
      <c r="K182" s="367">
        <f>SUM(J282:K282,J287:K287)*1000000</f>
        <v>31519374.999999996</v>
      </c>
      <c r="L182" s="431"/>
      <c r="M182" s="634">
        <f t="shared" si="16"/>
        <v>945581.24999999988</v>
      </c>
      <c r="N182" s="663"/>
      <c r="O182" s="624"/>
      <c r="P182" s="624"/>
      <c r="Q182" s="624"/>
      <c r="R182" s="624"/>
      <c r="S182" s="624"/>
      <c r="T182" s="663"/>
    </row>
    <row r="183" spans="1:20" s="661" customFormat="1" x14ac:dyDescent="0.2">
      <c r="A183" s="661" t="s">
        <v>711</v>
      </c>
      <c r="B183" s="661" t="s">
        <v>218</v>
      </c>
      <c r="F183" s="621"/>
      <c r="G183" s="331"/>
      <c r="H183" s="626" t="s">
        <v>445</v>
      </c>
      <c r="I183" s="294"/>
      <c r="J183" s="622"/>
      <c r="K183" s="622"/>
      <c r="L183" s="630"/>
      <c r="M183" s="362">
        <f>SUM(M178:M182)</f>
        <v>9360581.25</v>
      </c>
      <c r="N183" s="663"/>
      <c r="O183" s="624"/>
      <c r="P183" s="624"/>
      <c r="Q183" s="624"/>
      <c r="R183" s="624"/>
      <c r="S183" s="624"/>
      <c r="T183" s="663"/>
    </row>
    <row r="184" spans="1:20" s="661" customFormat="1" x14ac:dyDescent="0.2">
      <c r="F184" s="621"/>
      <c r="G184" s="430"/>
      <c r="H184" s="353"/>
      <c r="I184" s="372"/>
      <c r="J184" s="353"/>
      <c r="K184" s="353"/>
      <c r="L184" s="265"/>
      <c r="M184" s="263"/>
      <c r="N184" s="397"/>
      <c r="O184" s="398"/>
      <c r="P184" s="398"/>
      <c r="Q184" s="398"/>
      <c r="R184" s="398"/>
      <c r="S184" s="398"/>
      <c r="T184" s="397"/>
    </row>
    <row r="185" spans="1:20" s="661" customFormat="1" ht="25.5" x14ac:dyDescent="0.2">
      <c r="F185" s="621"/>
      <c r="G185" s="318" t="s">
        <v>217</v>
      </c>
      <c r="H185" s="317" t="s">
        <v>190</v>
      </c>
      <c r="I185" s="316" t="s">
        <v>20</v>
      </c>
      <c r="J185" s="620" t="s">
        <v>71</v>
      </c>
      <c r="K185" s="620" t="s">
        <v>72</v>
      </c>
      <c r="L185" s="347" t="s">
        <v>73</v>
      </c>
      <c r="M185" s="620" t="s">
        <v>130</v>
      </c>
      <c r="N185" s="401"/>
      <c r="O185" s="423" t="s">
        <v>76</v>
      </c>
      <c r="P185" s="402"/>
      <c r="Q185" s="402"/>
      <c r="R185" s="402"/>
      <c r="S185" s="402"/>
      <c r="T185" s="401"/>
    </row>
    <row r="186" spans="1:20" s="661" customFormat="1" x14ac:dyDescent="0.2">
      <c r="F186" s="621"/>
      <c r="G186" s="621"/>
      <c r="H186" s="622" t="s">
        <v>191</v>
      </c>
      <c r="I186" s="294" t="s">
        <v>192</v>
      </c>
      <c r="J186" s="310">
        <v>1</v>
      </c>
      <c r="K186" s="427">
        <f t="shared" ref="K186:K194" si="17">J186</f>
        <v>1</v>
      </c>
      <c r="L186" s="363">
        <v>185000</v>
      </c>
      <c r="M186" s="634">
        <f t="shared" ref="M186:M196" si="18">K186*L186</f>
        <v>185000</v>
      </c>
      <c r="N186" s="663"/>
      <c r="O186" s="624"/>
      <c r="P186" s="624"/>
      <c r="Q186" s="624"/>
      <c r="R186" s="624"/>
      <c r="S186" s="624"/>
      <c r="T186" s="663"/>
    </row>
    <row r="187" spans="1:20" s="661" customFormat="1" x14ac:dyDescent="0.2">
      <c r="F187" s="621"/>
      <c r="G187" s="621"/>
      <c r="H187" s="622" t="s">
        <v>193</v>
      </c>
      <c r="I187" s="294" t="s">
        <v>192</v>
      </c>
      <c r="J187" s="310">
        <v>1</v>
      </c>
      <c r="K187" s="427">
        <f t="shared" si="17"/>
        <v>1</v>
      </c>
      <c r="L187" s="363">
        <v>145000</v>
      </c>
      <c r="M187" s="634">
        <f t="shared" si="18"/>
        <v>145000</v>
      </c>
      <c r="N187" s="663"/>
      <c r="O187" s="624"/>
      <c r="P187" s="624"/>
      <c r="Q187" s="624"/>
      <c r="R187" s="624"/>
      <c r="S187" s="624"/>
      <c r="T187" s="663"/>
    </row>
    <row r="188" spans="1:20" s="661" customFormat="1" x14ac:dyDescent="0.2">
      <c r="F188" s="621"/>
      <c r="G188" s="621"/>
      <c r="H188" s="622" t="s">
        <v>194</v>
      </c>
      <c r="I188" s="294" t="s">
        <v>192</v>
      </c>
      <c r="J188" s="310">
        <v>1</v>
      </c>
      <c r="K188" s="427">
        <f t="shared" si="17"/>
        <v>1</v>
      </c>
      <c r="L188" s="363">
        <v>155000</v>
      </c>
      <c r="M188" s="634">
        <f t="shared" si="18"/>
        <v>155000</v>
      </c>
      <c r="N188" s="663"/>
      <c r="O188" s="223" t="s">
        <v>624</v>
      </c>
      <c r="P188" s="624"/>
      <c r="Q188" s="624"/>
      <c r="R188" s="624"/>
      <c r="S188" s="624"/>
      <c r="T188" s="663"/>
    </row>
    <row r="189" spans="1:20" s="661" customFormat="1" x14ac:dyDescent="0.2">
      <c r="F189" s="621"/>
      <c r="G189" s="621"/>
      <c r="H189" s="622" t="s">
        <v>195</v>
      </c>
      <c r="I189" s="294" t="s">
        <v>192</v>
      </c>
      <c r="J189" s="310">
        <v>3</v>
      </c>
      <c r="K189" s="427">
        <f t="shared" si="17"/>
        <v>3</v>
      </c>
      <c r="L189" s="363">
        <v>75000</v>
      </c>
      <c r="M189" s="634">
        <f t="shared" si="18"/>
        <v>225000</v>
      </c>
      <c r="N189" s="663"/>
      <c r="O189" s="624" t="s">
        <v>625</v>
      </c>
      <c r="P189" s="624"/>
      <c r="Q189" s="624"/>
      <c r="R189" s="624"/>
      <c r="S189" s="624"/>
      <c r="T189" s="663"/>
    </row>
    <row r="190" spans="1:20" s="661" customFormat="1" x14ac:dyDescent="0.2">
      <c r="F190" s="621"/>
      <c r="G190" s="621"/>
      <c r="H190" s="622" t="s">
        <v>197</v>
      </c>
      <c r="I190" s="294" t="s">
        <v>192</v>
      </c>
      <c r="J190" s="310">
        <v>1</v>
      </c>
      <c r="K190" s="427">
        <f t="shared" si="17"/>
        <v>1</v>
      </c>
      <c r="L190" s="363">
        <v>145000</v>
      </c>
      <c r="M190" s="634">
        <f t="shared" si="18"/>
        <v>145000</v>
      </c>
      <c r="N190" s="663"/>
      <c r="O190" s="624"/>
      <c r="P190" s="624"/>
      <c r="Q190" s="624"/>
      <c r="R190" s="624"/>
      <c r="S190" s="624"/>
      <c r="T190" s="663"/>
    </row>
    <row r="191" spans="1:20" s="661" customFormat="1" x14ac:dyDescent="0.2">
      <c r="F191" s="621"/>
      <c r="G191" s="621"/>
      <c r="H191" s="622" t="s">
        <v>198</v>
      </c>
      <c r="I191" s="294" t="s">
        <v>192</v>
      </c>
      <c r="J191" s="310">
        <v>3</v>
      </c>
      <c r="K191" s="427">
        <f t="shared" si="17"/>
        <v>3</v>
      </c>
      <c r="L191" s="363">
        <v>145000</v>
      </c>
      <c r="M191" s="634">
        <f t="shared" si="18"/>
        <v>435000</v>
      </c>
      <c r="N191" s="663"/>
      <c r="O191" s="624"/>
      <c r="P191" s="624"/>
      <c r="Q191" s="624"/>
      <c r="R191" s="624"/>
      <c r="S191" s="624"/>
      <c r="T191" s="663"/>
    </row>
    <row r="192" spans="1:20" s="661" customFormat="1" x14ac:dyDescent="0.2">
      <c r="F192" s="621"/>
      <c r="G192" s="621"/>
      <c r="H192" s="622" t="s">
        <v>199</v>
      </c>
      <c r="I192" s="294" t="s">
        <v>192</v>
      </c>
      <c r="J192" s="310">
        <v>8</v>
      </c>
      <c r="K192" s="427">
        <f t="shared" si="17"/>
        <v>8</v>
      </c>
      <c r="L192" s="363">
        <v>75000</v>
      </c>
      <c r="M192" s="634">
        <f t="shared" si="18"/>
        <v>600000</v>
      </c>
      <c r="N192" s="663"/>
      <c r="O192" s="223"/>
      <c r="P192" s="624"/>
      <c r="Q192" s="624"/>
      <c r="R192" s="624"/>
      <c r="S192" s="624"/>
      <c r="T192" s="663"/>
    </row>
    <row r="193" spans="1:20" s="661" customFormat="1" x14ac:dyDescent="0.2">
      <c r="F193" s="621"/>
      <c r="G193" s="621"/>
      <c r="H193" s="622" t="s">
        <v>200</v>
      </c>
      <c r="I193" s="294" t="s">
        <v>192</v>
      </c>
      <c r="J193" s="310">
        <v>2</v>
      </c>
      <c r="K193" s="427">
        <f t="shared" si="17"/>
        <v>2</v>
      </c>
      <c r="L193" s="363">
        <v>55000</v>
      </c>
      <c r="M193" s="634">
        <f t="shared" si="18"/>
        <v>110000</v>
      </c>
      <c r="N193" s="663"/>
      <c r="O193" s="624"/>
      <c r="P193" s="624"/>
      <c r="Q193" s="624"/>
      <c r="R193" s="624"/>
      <c r="S193" s="624"/>
      <c r="T193" s="663"/>
    </row>
    <row r="194" spans="1:20" s="661" customFormat="1" x14ac:dyDescent="0.2">
      <c r="F194" s="621"/>
      <c r="G194" s="621"/>
      <c r="H194" s="622" t="s">
        <v>201</v>
      </c>
      <c r="I194" s="294" t="s">
        <v>192</v>
      </c>
      <c r="J194" s="310">
        <v>1</v>
      </c>
      <c r="K194" s="427">
        <f t="shared" si="17"/>
        <v>1</v>
      </c>
      <c r="L194" s="363">
        <v>65000</v>
      </c>
      <c r="M194" s="634">
        <f t="shared" si="18"/>
        <v>65000</v>
      </c>
      <c r="N194" s="663"/>
      <c r="O194" s="367"/>
      <c r="P194" s="624"/>
      <c r="Q194" s="624"/>
      <c r="R194" s="624"/>
      <c r="S194" s="624"/>
      <c r="T194" s="663"/>
    </row>
    <row r="195" spans="1:20" s="661" customFormat="1" x14ac:dyDescent="0.2">
      <c r="F195" s="621"/>
      <c r="G195" s="621"/>
      <c r="H195" s="622" t="s">
        <v>202</v>
      </c>
      <c r="I195" s="294" t="s">
        <v>192</v>
      </c>
      <c r="J195" s="310">
        <v>2</v>
      </c>
      <c r="K195" s="429">
        <f>J195*P195</f>
        <v>6</v>
      </c>
      <c r="L195" s="363">
        <v>50000</v>
      </c>
      <c r="M195" s="634">
        <f t="shared" si="18"/>
        <v>300000</v>
      </c>
      <c r="N195" s="663"/>
      <c r="O195" s="428" t="s">
        <v>206</v>
      </c>
      <c r="P195" s="631">
        <v>3</v>
      </c>
      <c r="Q195" s="624"/>
      <c r="R195" s="624"/>
      <c r="S195" s="624"/>
      <c r="T195" s="663"/>
    </row>
    <row r="196" spans="1:20" s="661" customFormat="1" x14ac:dyDescent="0.2">
      <c r="F196" s="621"/>
      <c r="G196" s="621"/>
      <c r="H196" s="622" t="s">
        <v>204</v>
      </c>
      <c r="I196" s="294" t="s">
        <v>205</v>
      </c>
      <c r="J196" s="310">
        <v>3</v>
      </c>
      <c r="K196" s="427">
        <f>J196*P196</f>
        <v>12</v>
      </c>
      <c r="L196" s="363">
        <v>65000</v>
      </c>
      <c r="M196" s="634">
        <f t="shared" si="18"/>
        <v>780000</v>
      </c>
      <c r="N196" s="663"/>
      <c r="O196" s="367" t="s">
        <v>206</v>
      </c>
      <c r="P196" s="631">
        <v>4</v>
      </c>
      <c r="Q196" s="367"/>
      <c r="R196" s="223" t="s">
        <v>494</v>
      </c>
      <c r="S196" s="624"/>
      <c r="T196" s="663"/>
    </row>
    <row r="197" spans="1:20" s="661" customFormat="1" x14ac:dyDescent="0.2">
      <c r="F197" s="621"/>
      <c r="G197" s="621"/>
      <c r="H197" s="366" t="s">
        <v>207</v>
      </c>
      <c r="I197" s="629"/>
      <c r="J197" s="619"/>
      <c r="K197" s="426">
        <f>SUM(K186:K196)</f>
        <v>39</v>
      </c>
      <c r="L197" s="630"/>
      <c r="M197" s="642">
        <f>SUM(M186:M196)</f>
        <v>3145000</v>
      </c>
      <c r="N197" s="663"/>
      <c r="O197" s="624"/>
      <c r="P197" s="624"/>
      <c r="Q197" s="624"/>
      <c r="R197" s="624"/>
      <c r="S197" s="624"/>
      <c r="T197" s="663"/>
    </row>
    <row r="198" spans="1:20" s="661" customFormat="1" x14ac:dyDescent="0.2">
      <c r="F198" s="621"/>
      <c r="G198" s="621"/>
      <c r="H198" s="366" t="s">
        <v>208</v>
      </c>
      <c r="I198" s="294" t="s">
        <v>209</v>
      </c>
      <c r="J198" s="297">
        <v>0.2</v>
      </c>
      <c r="K198" s="365">
        <f>M197</f>
        <v>3145000</v>
      </c>
      <c r="L198" s="630"/>
      <c r="M198" s="634">
        <f>K198*J198</f>
        <v>629000</v>
      </c>
      <c r="N198" s="663"/>
      <c r="O198" s="624"/>
      <c r="P198" s="624"/>
      <c r="Q198" s="624"/>
      <c r="R198" s="624"/>
      <c r="S198" s="624"/>
      <c r="T198" s="663"/>
    </row>
    <row r="199" spans="1:20" s="661" customFormat="1" x14ac:dyDescent="0.2">
      <c r="A199" s="661" t="s">
        <v>709</v>
      </c>
      <c r="B199" s="661" t="s">
        <v>190</v>
      </c>
      <c r="F199" s="621"/>
      <c r="G199" s="621"/>
      <c r="H199" s="626" t="s">
        <v>210</v>
      </c>
      <c r="I199" s="629"/>
      <c r="J199" s="619"/>
      <c r="K199" s="627"/>
      <c r="L199" s="630"/>
      <c r="M199" s="628">
        <f>SUM(M197:M198)</f>
        <v>3774000</v>
      </c>
      <c r="N199" s="663"/>
      <c r="O199" s="624"/>
      <c r="P199" s="624"/>
      <c r="Q199" s="624"/>
      <c r="R199" s="624"/>
      <c r="S199" s="624"/>
      <c r="T199" s="663"/>
    </row>
    <row r="200" spans="1:20" s="661" customFormat="1" x14ac:dyDescent="0.2">
      <c r="F200" s="621"/>
      <c r="G200" s="264"/>
      <c r="H200" s="369"/>
      <c r="I200" s="266"/>
      <c r="J200" s="263"/>
      <c r="K200" s="368"/>
      <c r="L200" s="265"/>
      <c r="M200" s="263"/>
      <c r="N200" s="397"/>
      <c r="O200" s="398"/>
      <c r="P200" s="398"/>
      <c r="Q200" s="398"/>
      <c r="R200" s="398"/>
      <c r="S200" s="398"/>
      <c r="T200" s="397"/>
    </row>
    <row r="201" spans="1:20" s="661" customFormat="1" ht="25.5" x14ac:dyDescent="0.2">
      <c r="F201" s="621"/>
      <c r="G201" s="318" t="s">
        <v>447</v>
      </c>
      <c r="H201" s="317" t="s">
        <v>448</v>
      </c>
      <c r="I201" s="316" t="s">
        <v>20</v>
      </c>
      <c r="J201" s="620" t="s">
        <v>213</v>
      </c>
      <c r="K201" s="620" t="s">
        <v>72</v>
      </c>
      <c r="L201" s="347" t="s">
        <v>73</v>
      </c>
      <c r="M201" s="620" t="s">
        <v>130</v>
      </c>
      <c r="N201" s="401"/>
      <c r="O201" s="423" t="s">
        <v>76</v>
      </c>
      <c r="P201" s="624"/>
      <c r="Q201" s="624"/>
      <c r="R201" s="624"/>
      <c r="S201" s="624"/>
      <c r="T201" s="663"/>
    </row>
    <row r="202" spans="1:20" s="661" customFormat="1" x14ac:dyDescent="0.2">
      <c r="F202" s="621"/>
      <c r="G202" s="621"/>
      <c r="H202" s="622" t="s">
        <v>224</v>
      </c>
      <c r="I202" s="294" t="s">
        <v>225</v>
      </c>
      <c r="J202" s="633">
        <v>20</v>
      </c>
      <c r="K202" s="619">
        <f>J202</f>
        <v>20</v>
      </c>
      <c r="L202" s="363">
        <v>2000</v>
      </c>
      <c r="M202" s="624">
        <f>L202*K202</f>
        <v>40000</v>
      </c>
      <c r="N202" s="663"/>
      <c r="O202" s="624"/>
      <c r="P202" s="624"/>
      <c r="Q202" s="624"/>
      <c r="R202" s="624"/>
      <c r="S202" s="624"/>
      <c r="T202" s="663"/>
    </row>
    <row r="203" spans="1:20" s="661" customFormat="1" x14ac:dyDescent="0.2">
      <c r="F203" s="621"/>
      <c r="G203" s="621"/>
      <c r="H203" s="622" t="s">
        <v>226</v>
      </c>
      <c r="I203" s="294" t="s">
        <v>227</v>
      </c>
      <c r="J203" s="633"/>
      <c r="K203" s="619"/>
      <c r="L203" s="623"/>
      <c r="M203" s="624">
        <f>L203*K203</f>
        <v>0</v>
      </c>
      <c r="N203" s="663"/>
      <c r="O203" s="367" t="s">
        <v>228</v>
      </c>
      <c r="P203" s="624"/>
      <c r="Q203" s="624"/>
      <c r="R203" s="624"/>
      <c r="S203" s="624"/>
      <c r="T203" s="663"/>
    </row>
    <row r="204" spans="1:20" s="661" customFormat="1" x14ac:dyDescent="0.2">
      <c r="F204" s="621"/>
      <c r="G204" s="621"/>
      <c r="H204" s="622" t="s">
        <v>229</v>
      </c>
      <c r="I204" s="294" t="s">
        <v>227</v>
      </c>
      <c r="J204" s="631">
        <v>1</v>
      </c>
      <c r="K204" s="624">
        <f>J204</f>
        <v>1</v>
      </c>
      <c r="L204" s="363">
        <v>150000</v>
      </c>
      <c r="M204" s="624">
        <f>L204*K204</f>
        <v>150000</v>
      </c>
      <c r="N204" s="663"/>
      <c r="O204" s="624"/>
      <c r="P204" s="624"/>
      <c r="Q204" s="624"/>
      <c r="R204" s="624"/>
      <c r="S204" s="624"/>
      <c r="T204" s="663"/>
    </row>
    <row r="205" spans="1:20" s="661" customFormat="1" x14ac:dyDescent="0.2">
      <c r="F205" s="621"/>
      <c r="G205" s="621"/>
      <c r="H205" s="622" t="s">
        <v>449</v>
      </c>
      <c r="I205" s="294" t="s">
        <v>227</v>
      </c>
      <c r="J205" s="631">
        <v>1</v>
      </c>
      <c r="K205" s="624">
        <f>J205</f>
        <v>1</v>
      </c>
      <c r="L205" s="363">
        <v>1000000</v>
      </c>
      <c r="M205" s="624">
        <f>L205*K205</f>
        <v>1000000</v>
      </c>
      <c r="N205" s="663"/>
      <c r="O205" s="624"/>
      <c r="P205" s="624"/>
      <c r="Q205" s="624"/>
      <c r="R205" s="624"/>
      <c r="S205" s="624"/>
      <c r="T205" s="663"/>
    </row>
    <row r="206" spans="1:20" s="661" customFormat="1" x14ac:dyDescent="0.2">
      <c r="F206" s="621"/>
      <c r="G206" s="621"/>
      <c r="H206" s="622" t="s">
        <v>231</v>
      </c>
      <c r="I206" s="294" t="s">
        <v>220</v>
      </c>
      <c r="J206" s="334">
        <v>3.0000000000000001E-3</v>
      </c>
      <c r="K206" s="425">
        <f>SUM(J289:K289)*1000000</f>
        <v>291713125</v>
      </c>
      <c r="L206" s="623">
        <f>K206*J206</f>
        <v>875139.375</v>
      </c>
      <c r="M206" s="624">
        <f>L206</f>
        <v>875139.375</v>
      </c>
      <c r="N206" s="663"/>
      <c r="O206" s="624"/>
      <c r="P206" s="624"/>
      <c r="Q206" s="624"/>
      <c r="R206" s="624"/>
      <c r="S206" s="624"/>
      <c r="T206" s="663"/>
    </row>
    <row r="207" spans="1:20" s="661" customFormat="1" x14ac:dyDescent="0.2">
      <c r="F207" s="621"/>
      <c r="G207" s="621"/>
      <c r="H207" s="622" t="s">
        <v>232</v>
      </c>
      <c r="I207" s="294" t="s">
        <v>233</v>
      </c>
      <c r="J207" s="359">
        <v>75</v>
      </c>
      <c r="K207" s="634">
        <f>J207</f>
        <v>75</v>
      </c>
      <c r="L207" s="363">
        <v>1000</v>
      </c>
      <c r="M207" s="624">
        <f>L207*K207</f>
        <v>75000</v>
      </c>
      <c r="N207" s="663"/>
      <c r="O207" s="624"/>
      <c r="P207" s="624"/>
      <c r="Q207" s="624"/>
      <c r="R207" s="624"/>
      <c r="S207" s="624"/>
      <c r="T207" s="663"/>
    </row>
    <row r="208" spans="1:20" s="661" customFormat="1" x14ac:dyDescent="0.2">
      <c r="F208" s="621"/>
      <c r="G208" s="621"/>
      <c r="H208" s="622" t="s">
        <v>234</v>
      </c>
      <c r="I208" s="294" t="s">
        <v>235</v>
      </c>
      <c r="J208" s="633">
        <v>200</v>
      </c>
      <c r="K208" s="358">
        <f>J17</f>
        <v>335.8</v>
      </c>
      <c r="L208" s="623">
        <f>K208*J208</f>
        <v>67160</v>
      </c>
      <c r="M208" s="624">
        <f>L208</f>
        <v>67160</v>
      </c>
      <c r="N208" s="663"/>
      <c r="O208" s="624"/>
      <c r="P208" s="624"/>
      <c r="Q208" s="624"/>
      <c r="R208" s="624"/>
      <c r="S208" s="624"/>
      <c r="T208" s="663"/>
    </row>
    <row r="209" spans="1:28" x14ac:dyDescent="0.2">
      <c r="A209" s="661" t="s">
        <v>712</v>
      </c>
      <c r="B209" s="661" t="s">
        <v>448</v>
      </c>
      <c r="F209" s="621"/>
      <c r="G209" s="621"/>
      <c r="H209" s="626" t="s">
        <v>364</v>
      </c>
      <c r="I209" s="629"/>
      <c r="J209" s="619"/>
      <c r="K209" s="619"/>
      <c r="L209" s="630"/>
      <c r="M209" s="628">
        <f>SUM(M202:M208)</f>
        <v>2207299.375</v>
      </c>
      <c r="N209" s="663"/>
      <c r="O209" s="624"/>
      <c r="P209" s="624"/>
      <c r="Q209" s="624"/>
      <c r="R209" s="624"/>
      <c r="S209" s="624"/>
      <c r="T209" s="663"/>
    </row>
    <row r="210" spans="1:28" x14ac:dyDescent="0.2">
      <c r="F210" s="621"/>
      <c r="G210" s="621"/>
      <c r="H210" s="626"/>
      <c r="I210" s="629"/>
      <c r="J210" s="619"/>
      <c r="K210" s="619"/>
      <c r="L210" s="630"/>
      <c r="M210" s="619"/>
      <c r="N210" s="663"/>
      <c r="O210" s="624"/>
      <c r="P210" s="624"/>
      <c r="Q210" s="624"/>
      <c r="R210" s="624"/>
      <c r="S210" s="624"/>
      <c r="T210" s="663"/>
    </row>
    <row r="211" spans="1:28" ht="25.5" x14ac:dyDescent="0.2">
      <c r="F211" s="621"/>
      <c r="G211" s="318" t="s">
        <v>450</v>
      </c>
      <c r="H211" s="424" t="s">
        <v>451</v>
      </c>
      <c r="I211" s="316" t="s">
        <v>20</v>
      </c>
      <c r="J211" s="620" t="s">
        <v>213</v>
      </c>
      <c r="K211" s="620" t="s">
        <v>72</v>
      </c>
      <c r="L211" s="347" t="s">
        <v>73</v>
      </c>
      <c r="M211" s="620" t="s">
        <v>130</v>
      </c>
      <c r="N211" s="401"/>
      <c r="O211" s="423" t="s">
        <v>76</v>
      </c>
      <c r="P211" s="402"/>
      <c r="Q211" s="402"/>
      <c r="R211" s="402"/>
      <c r="S211" s="402"/>
      <c r="T211" s="401"/>
    </row>
    <row r="212" spans="1:28" x14ac:dyDescent="0.2">
      <c r="F212" s="621"/>
      <c r="G212" s="331"/>
      <c r="H212" s="627" t="s">
        <v>654</v>
      </c>
      <c r="I212" s="279"/>
      <c r="J212" s="328"/>
      <c r="K212" s="328"/>
      <c r="L212" s="378"/>
      <c r="M212" s="328"/>
      <c r="N212" s="663"/>
      <c r="O212" s="624" t="s">
        <v>661</v>
      </c>
      <c r="P212" s="624" t="s">
        <v>660</v>
      </c>
      <c r="Q212" s="624" t="s">
        <v>659</v>
      </c>
      <c r="R212" s="624"/>
      <c r="S212" s="624"/>
      <c r="T212" s="663"/>
    </row>
    <row r="213" spans="1:28" x14ac:dyDescent="0.2">
      <c r="F213" s="621"/>
      <c r="G213" s="331"/>
      <c r="H213" s="656" t="str">
        <f>H5</f>
        <v>HW forest residues</v>
      </c>
      <c r="I213" s="294" t="s">
        <v>238</v>
      </c>
      <c r="J213" s="568">
        <f t="shared" ref="J213:J218" si="19">N5*O213*$T$215/$T$213/($J$15*10^3)</f>
        <v>0</v>
      </c>
      <c r="K213" s="567">
        <f>$J$15*1000</f>
        <v>100000</v>
      </c>
      <c r="L213" s="570">
        <v>10</v>
      </c>
      <c r="M213" s="569">
        <f>L213*K213*J213</f>
        <v>0</v>
      </c>
      <c r="N213" s="663"/>
      <c r="O213" s="451">
        <f>Q213-P213</f>
        <v>0.33333333333333337</v>
      </c>
      <c r="P213" s="455">
        <v>0.16666666666666666</v>
      </c>
      <c r="Q213" s="455">
        <v>0.5</v>
      </c>
      <c r="R213" s="624" t="s">
        <v>655</v>
      </c>
      <c r="S213" s="624" t="s">
        <v>656</v>
      </c>
      <c r="T213" s="631">
        <v>14</v>
      </c>
      <c r="V213" s="663"/>
      <c r="AA213" s="661"/>
      <c r="AB213" s="661"/>
    </row>
    <row r="214" spans="1:28" x14ac:dyDescent="0.2">
      <c r="F214" s="621"/>
      <c r="G214" s="331"/>
      <c r="H214" s="656" t="str">
        <f t="shared" ref="H214:H218" si="20">H6</f>
        <v>HW pulpwood</v>
      </c>
      <c r="I214" s="294" t="s">
        <v>238</v>
      </c>
      <c r="J214" s="568">
        <f t="shared" si="19"/>
        <v>0</v>
      </c>
      <c r="K214" s="567">
        <f t="shared" ref="K214:K218" si="21">$J$15*1000</f>
        <v>100000</v>
      </c>
      <c r="L214" s="570">
        <v>10</v>
      </c>
      <c r="M214" s="569">
        <f t="shared" ref="M214:M218" si="22">L214*K214*J214</f>
        <v>0</v>
      </c>
      <c r="N214" s="663"/>
      <c r="O214" s="451">
        <f t="shared" ref="O214:O218" si="23">Q214-P214</f>
        <v>0.33333333333333337</v>
      </c>
      <c r="P214" s="455">
        <v>0.16666666666666666</v>
      </c>
      <c r="Q214" s="455">
        <v>0.5</v>
      </c>
      <c r="R214" s="624" t="s">
        <v>655</v>
      </c>
      <c r="S214" s="624" t="s">
        <v>657</v>
      </c>
      <c r="T214" s="631">
        <v>16</v>
      </c>
      <c r="V214" s="663"/>
      <c r="AA214" s="661"/>
      <c r="AB214" s="661"/>
    </row>
    <row r="215" spans="1:28" x14ac:dyDescent="0.2">
      <c r="F215" s="621"/>
      <c r="G215" s="331"/>
      <c r="H215" s="656" t="str">
        <f t="shared" si="20"/>
        <v>SW forest residues</v>
      </c>
      <c r="I215" s="294" t="s">
        <v>238</v>
      </c>
      <c r="J215" s="568">
        <f t="shared" si="19"/>
        <v>0</v>
      </c>
      <c r="K215" s="567">
        <f t="shared" si="21"/>
        <v>100000</v>
      </c>
      <c r="L215" s="570">
        <v>10</v>
      </c>
      <c r="M215" s="569">
        <f t="shared" si="22"/>
        <v>0</v>
      </c>
      <c r="N215" s="663"/>
      <c r="O215" s="451">
        <f t="shared" si="23"/>
        <v>0.33333333333333337</v>
      </c>
      <c r="P215" s="455">
        <v>0.16666666666666666</v>
      </c>
      <c r="Q215" s="455">
        <v>0.5</v>
      </c>
      <c r="R215" s="624" t="s">
        <v>655</v>
      </c>
      <c r="S215" s="624" t="s">
        <v>658</v>
      </c>
      <c r="T215" s="631">
        <f>T213+2*T214</f>
        <v>46</v>
      </c>
      <c r="V215" s="663"/>
      <c r="AA215" s="661"/>
      <c r="AB215" s="661"/>
    </row>
    <row r="216" spans="1:28" x14ac:dyDescent="0.2">
      <c r="F216" s="621"/>
      <c r="G216" s="331"/>
      <c r="H216" s="656" t="str">
        <f t="shared" si="20"/>
        <v>SW pulpwood</v>
      </c>
      <c r="I216" s="294" t="s">
        <v>238</v>
      </c>
      <c r="J216" s="568">
        <f t="shared" si="19"/>
        <v>0</v>
      </c>
      <c r="K216" s="567">
        <f t="shared" si="21"/>
        <v>100000</v>
      </c>
      <c r="L216" s="570">
        <v>10</v>
      </c>
      <c r="M216" s="569">
        <f t="shared" si="22"/>
        <v>0</v>
      </c>
      <c r="N216" s="663"/>
      <c r="O216" s="451">
        <f t="shared" si="23"/>
        <v>0.33333333333333337</v>
      </c>
      <c r="P216" s="455">
        <v>0.16666666666666666</v>
      </c>
      <c r="Q216" s="455">
        <v>0.5</v>
      </c>
      <c r="R216" s="624" t="s">
        <v>655</v>
      </c>
      <c r="S216" s="624"/>
      <c r="T216" s="624"/>
      <c r="U216" s="624"/>
      <c r="V216" s="663"/>
      <c r="AA216" s="661"/>
      <c r="AB216" s="661"/>
    </row>
    <row r="217" spans="1:28" x14ac:dyDescent="0.2">
      <c r="F217" s="621"/>
      <c r="G217" s="331"/>
      <c r="H217" s="656" t="str">
        <f t="shared" si="20"/>
        <v>Cane trash</v>
      </c>
      <c r="I217" s="294" t="s">
        <v>238</v>
      </c>
      <c r="J217" s="568">
        <f t="shared" si="19"/>
        <v>2.8583958260377291</v>
      </c>
      <c r="K217" s="567">
        <f t="shared" si="21"/>
        <v>100000</v>
      </c>
      <c r="L217" s="570">
        <v>10</v>
      </c>
      <c r="M217" s="569">
        <f t="shared" si="22"/>
        <v>2858395.8260377292</v>
      </c>
      <c r="N217" s="663"/>
      <c r="O217" s="451">
        <f t="shared" si="23"/>
        <v>0.31333333333333335</v>
      </c>
      <c r="P217" s="455">
        <v>0.15666666666666665</v>
      </c>
      <c r="Q217" s="455">
        <v>0.47</v>
      </c>
      <c r="R217" s="624" t="s">
        <v>655</v>
      </c>
      <c r="S217" s="624"/>
      <c r="T217" s="624"/>
      <c r="U217" s="624"/>
      <c r="V217" s="663"/>
      <c r="AA217" s="661"/>
      <c r="AB217" s="661"/>
    </row>
    <row r="218" spans="1:28" x14ac:dyDescent="0.2">
      <c r="F218" s="621"/>
      <c r="G218" s="331"/>
      <c r="H218" s="656" t="str">
        <f t="shared" si="20"/>
        <v>Mallee Eucalypt</v>
      </c>
      <c r="I218" s="294" t="s">
        <v>238</v>
      </c>
      <c r="J218" s="568">
        <f t="shared" si="19"/>
        <v>0</v>
      </c>
      <c r="K218" s="567">
        <f t="shared" si="21"/>
        <v>100000</v>
      </c>
      <c r="L218" s="570">
        <v>10</v>
      </c>
      <c r="M218" s="569">
        <f t="shared" si="22"/>
        <v>0</v>
      </c>
      <c r="N218" s="663"/>
      <c r="O218" s="451">
        <f t="shared" si="23"/>
        <v>0.33333333333333337</v>
      </c>
      <c r="P218" s="455">
        <v>0.16666666666666666</v>
      </c>
      <c r="Q218" s="455">
        <v>0.5</v>
      </c>
      <c r="R218" s="624" t="s">
        <v>655</v>
      </c>
      <c r="S218" s="624"/>
      <c r="T218" s="624"/>
      <c r="U218" s="624"/>
      <c r="V218" s="663"/>
      <c r="AA218" s="661"/>
      <c r="AB218" s="661"/>
    </row>
    <row r="219" spans="1:28" x14ac:dyDescent="0.2">
      <c r="F219" s="621"/>
      <c r="G219" s="331"/>
      <c r="H219" s="656"/>
      <c r="I219" s="279"/>
      <c r="J219" s="328"/>
      <c r="K219" s="328"/>
      <c r="L219" s="378"/>
      <c r="M219" s="628">
        <f>SUM(M213:M218)</f>
        <v>2858395.8260377292</v>
      </c>
      <c r="N219" s="663"/>
      <c r="O219" s="432"/>
      <c r="P219" s="624"/>
      <c r="Q219" s="624"/>
      <c r="R219" s="624"/>
      <c r="S219" s="624"/>
      <c r="T219" s="663"/>
    </row>
    <row r="220" spans="1:28" x14ac:dyDescent="0.2">
      <c r="F220" s="621"/>
      <c r="G220" s="621"/>
      <c r="H220" s="622"/>
      <c r="I220" s="294"/>
      <c r="J220" s="633"/>
      <c r="K220" s="619"/>
      <c r="L220" s="641"/>
      <c r="M220" s="619"/>
      <c r="N220" s="663"/>
      <c r="O220" s="624"/>
      <c r="P220" s="624"/>
      <c r="Q220" s="624"/>
      <c r="R220" s="624"/>
      <c r="S220" s="624"/>
      <c r="T220" s="663"/>
    </row>
    <row r="221" spans="1:28" ht="14.25" x14ac:dyDescent="0.2">
      <c r="F221" s="621"/>
      <c r="G221" s="621"/>
      <c r="H221" s="622" t="s">
        <v>221</v>
      </c>
      <c r="I221" s="294" t="s">
        <v>239</v>
      </c>
      <c r="J221" s="359"/>
      <c r="K221" s="619"/>
      <c r="L221" s="632"/>
      <c r="M221" s="619"/>
      <c r="N221" s="663"/>
      <c r="O221" s="367" t="s">
        <v>240</v>
      </c>
      <c r="P221" s="624"/>
      <c r="Q221" s="631">
        <v>0.6</v>
      </c>
      <c r="R221" s="367" t="s">
        <v>241</v>
      </c>
      <c r="S221" s="631">
        <v>37</v>
      </c>
      <c r="T221" s="422" t="s">
        <v>242</v>
      </c>
    </row>
    <row r="222" spans="1:28" x14ac:dyDescent="0.2">
      <c r="F222" s="621"/>
      <c r="G222" s="621"/>
      <c r="H222" s="619"/>
      <c r="I222" s="294" t="s">
        <v>243</v>
      </c>
      <c r="J222" s="359"/>
      <c r="K222" s="358">
        <f>J17</f>
        <v>335.8</v>
      </c>
      <c r="L222" s="632">
        <f>7/1000</f>
        <v>7.0000000000000001E-3</v>
      </c>
      <c r="M222" s="421"/>
      <c r="N222" s="663"/>
      <c r="O222" s="624"/>
      <c r="P222" s="624"/>
      <c r="Q222" s="624"/>
      <c r="R222" s="624"/>
      <c r="S222" s="624"/>
      <c r="T222" s="663"/>
    </row>
    <row r="223" spans="1:28" x14ac:dyDescent="0.2">
      <c r="F223" s="621"/>
      <c r="G223" s="621"/>
      <c r="H223" s="622" t="s">
        <v>244</v>
      </c>
      <c r="I223" s="294" t="s">
        <v>245</v>
      </c>
      <c r="J223" s="634" t="str">
        <f>K164</f>
        <v xml:space="preserve"> Quantity</v>
      </c>
      <c r="K223" s="624">
        <f>K78</f>
        <v>43381.643405117051</v>
      </c>
      <c r="L223" s="633">
        <v>80</v>
      </c>
      <c r="M223" s="367">
        <f>L223*K223</f>
        <v>3470531.4724093638</v>
      </c>
      <c r="N223" s="619"/>
      <c r="O223" s="275" t="s">
        <v>246</v>
      </c>
      <c r="P223" s="624"/>
      <c r="Q223" s="624"/>
      <c r="R223" s="624"/>
      <c r="S223" s="624"/>
      <c r="T223" s="663"/>
    </row>
    <row r="224" spans="1:28" x14ac:dyDescent="0.2">
      <c r="F224" s="621"/>
      <c r="G224" s="621"/>
      <c r="H224" s="622" t="s">
        <v>247</v>
      </c>
      <c r="I224" s="294"/>
      <c r="J224" s="619"/>
      <c r="K224" s="619"/>
      <c r="L224" s="619"/>
      <c r="M224" s="619"/>
      <c r="N224" s="619"/>
      <c r="O224" s="622"/>
      <c r="P224" s="624"/>
      <c r="Q224" s="624"/>
      <c r="R224" s="624"/>
      <c r="S224" s="624"/>
      <c r="T224" s="663"/>
    </row>
    <row r="225" spans="6:27" x14ac:dyDescent="0.2">
      <c r="F225" s="621"/>
      <c r="G225" s="621"/>
      <c r="H225" s="626" t="s">
        <v>365</v>
      </c>
      <c r="I225" s="294"/>
      <c r="J225" s="619"/>
      <c r="K225" s="619"/>
      <c r="L225" s="619"/>
      <c r="M225" s="637">
        <f>SUM(M220:M223)</f>
        <v>3470531.4724093638</v>
      </c>
      <c r="N225" s="619"/>
      <c r="O225" s="622"/>
      <c r="P225" s="624"/>
      <c r="Q225" s="624"/>
      <c r="R225" s="624"/>
      <c r="S225" s="624"/>
      <c r="T225" s="663"/>
    </row>
    <row r="226" spans="6:27" x14ac:dyDescent="0.2">
      <c r="F226" s="621"/>
      <c r="G226" s="621"/>
      <c r="H226" s="622"/>
      <c r="I226" s="294"/>
      <c r="J226" s="619"/>
      <c r="K226" s="619"/>
      <c r="L226" s="619"/>
      <c r="M226" s="619"/>
      <c r="N226" s="663"/>
      <c r="O226" s="367"/>
      <c r="P226" s="624"/>
      <c r="Q226" s="624"/>
      <c r="R226" s="624"/>
      <c r="S226" s="624"/>
      <c r="T226" s="663"/>
    </row>
    <row r="227" spans="6:27" x14ac:dyDescent="0.2">
      <c r="F227" s="621"/>
      <c r="G227" s="264"/>
      <c r="H227" s="263"/>
      <c r="I227" s="266"/>
      <c r="J227" s="352">
        <v>0</v>
      </c>
      <c r="K227" s="351">
        <v>1</v>
      </c>
      <c r="L227" s="351">
        <v>2</v>
      </c>
      <c r="M227" s="351">
        <v>3</v>
      </c>
      <c r="N227" s="351">
        <v>4</v>
      </c>
      <c r="O227" s="351">
        <v>5</v>
      </c>
      <c r="P227" s="351">
        <v>6</v>
      </c>
      <c r="Q227" s="351">
        <v>7</v>
      </c>
      <c r="R227" s="351">
        <v>8</v>
      </c>
      <c r="S227" s="351">
        <v>9</v>
      </c>
      <c r="T227" s="351">
        <v>10</v>
      </c>
      <c r="U227" s="351">
        <v>11</v>
      </c>
      <c r="V227" s="351">
        <v>12</v>
      </c>
      <c r="W227" s="351">
        <v>13</v>
      </c>
      <c r="X227" s="351">
        <v>14</v>
      </c>
      <c r="Y227" s="351">
        <v>15</v>
      </c>
      <c r="Z227" s="350">
        <v>16</v>
      </c>
    </row>
    <row r="228" spans="6:27" x14ac:dyDescent="0.2">
      <c r="F228" s="621"/>
      <c r="G228" s="318">
        <v>12</v>
      </c>
      <c r="H228" s="349" t="s">
        <v>248</v>
      </c>
      <c r="I228" s="348"/>
      <c r="J228" s="620" t="s">
        <v>249</v>
      </c>
      <c r="K228" s="347" t="s">
        <v>250</v>
      </c>
      <c r="L228" s="347" t="s">
        <v>251</v>
      </c>
      <c r="M228" s="347" t="s">
        <v>252</v>
      </c>
      <c r="N228" s="420" t="s">
        <v>253</v>
      </c>
      <c r="O228" s="420" t="s">
        <v>254</v>
      </c>
      <c r="P228" s="420" t="s">
        <v>255</v>
      </c>
      <c r="Q228" s="420" t="s">
        <v>256</v>
      </c>
      <c r="R228" s="420" t="s">
        <v>257</v>
      </c>
      <c r="S228" s="420" t="s">
        <v>258</v>
      </c>
      <c r="T228" s="420" t="s">
        <v>259</v>
      </c>
      <c r="U228" s="420" t="s">
        <v>260</v>
      </c>
      <c r="V228" s="420" t="s">
        <v>261</v>
      </c>
      <c r="W228" s="420" t="s">
        <v>262</v>
      </c>
      <c r="X228" s="420" t="s">
        <v>263</v>
      </c>
      <c r="Y228" s="420" t="s">
        <v>264</v>
      </c>
      <c r="Z228" s="419" t="s">
        <v>265</v>
      </c>
    </row>
    <row r="229" spans="6:27" x14ac:dyDescent="0.2">
      <c r="F229" s="621"/>
      <c r="G229" s="621"/>
      <c r="H229" s="622" t="s">
        <v>266</v>
      </c>
      <c r="I229" s="294"/>
      <c r="J229" s="346">
        <v>0</v>
      </c>
      <c r="K229" s="345">
        <f t="shared" ref="K229:Z230" si="24">J229</f>
        <v>0</v>
      </c>
      <c r="L229" s="345">
        <f t="shared" si="24"/>
        <v>0</v>
      </c>
      <c r="M229" s="345">
        <f t="shared" si="24"/>
        <v>0</v>
      </c>
      <c r="N229" s="415">
        <f t="shared" si="24"/>
        <v>0</v>
      </c>
      <c r="O229" s="386">
        <f t="shared" si="24"/>
        <v>0</v>
      </c>
      <c r="P229" s="415">
        <f>O229</f>
        <v>0</v>
      </c>
      <c r="Q229" s="415">
        <f>P229</f>
        <v>0</v>
      </c>
      <c r="R229" s="415">
        <f t="shared" si="24"/>
        <v>0</v>
      </c>
      <c r="S229" s="415">
        <f t="shared" si="24"/>
        <v>0</v>
      </c>
      <c r="T229" s="415">
        <f t="shared" si="24"/>
        <v>0</v>
      </c>
      <c r="U229" s="415">
        <f t="shared" si="24"/>
        <v>0</v>
      </c>
      <c r="V229" s="415">
        <f t="shared" si="24"/>
        <v>0</v>
      </c>
      <c r="W229" s="415">
        <f t="shared" si="24"/>
        <v>0</v>
      </c>
      <c r="X229" s="415">
        <f t="shared" si="24"/>
        <v>0</v>
      </c>
      <c r="Y229" s="415">
        <f t="shared" si="24"/>
        <v>0</v>
      </c>
      <c r="Z229" s="414">
        <f t="shared" si="24"/>
        <v>0</v>
      </c>
      <c r="AA229" s="344"/>
    </row>
    <row r="230" spans="6:27" x14ac:dyDescent="0.2">
      <c r="F230" s="621"/>
      <c r="G230" s="621"/>
      <c r="H230" s="622" t="s">
        <v>267</v>
      </c>
      <c r="I230" s="294"/>
      <c r="J230" s="346">
        <v>0</v>
      </c>
      <c r="K230" s="345">
        <f t="shared" si="24"/>
        <v>0</v>
      </c>
      <c r="L230" s="345">
        <f t="shared" si="24"/>
        <v>0</v>
      </c>
      <c r="M230" s="345">
        <f t="shared" si="24"/>
        <v>0</v>
      </c>
      <c r="N230" s="415">
        <f t="shared" si="24"/>
        <v>0</v>
      </c>
      <c r="O230" s="386">
        <f t="shared" si="24"/>
        <v>0</v>
      </c>
      <c r="P230" s="415">
        <f>O230</f>
        <v>0</v>
      </c>
      <c r="Q230" s="415">
        <f>P230</f>
        <v>0</v>
      </c>
      <c r="R230" s="415">
        <f t="shared" si="24"/>
        <v>0</v>
      </c>
      <c r="S230" s="415">
        <f t="shared" si="24"/>
        <v>0</v>
      </c>
      <c r="T230" s="415">
        <f t="shared" si="24"/>
        <v>0</v>
      </c>
      <c r="U230" s="415">
        <f t="shared" si="24"/>
        <v>0</v>
      </c>
      <c r="V230" s="415">
        <f t="shared" si="24"/>
        <v>0</v>
      </c>
      <c r="W230" s="415">
        <f t="shared" si="24"/>
        <v>0</v>
      </c>
      <c r="X230" s="415">
        <f t="shared" si="24"/>
        <v>0</v>
      </c>
      <c r="Y230" s="415">
        <f t="shared" si="24"/>
        <v>0</v>
      </c>
      <c r="Z230" s="414">
        <f t="shared" si="24"/>
        <v>0</v>
      </c>
      <c r="AA230" s="344"/>
    </row>
    <row r="231" spans="6:27" x14ac:dyDescent="0.2">
      <c r="F231" s="621"/>
      <c r="G231" s="621"/>
      <c r="H231" s="622" t="s">
        <v>268</v>
      </c>
      <c r="I231" s="294"/>
      <c r="J231" s="343">
        <v>1</v>
      </c>
      <c r="K231" s="345"/>
      <c r="L231" s="345"/>
      <c r="M231" s="345"/>
      <c r="N231" s="415"/>
      <c r="O231" s="386"/>
      <c r="P231" s="415"/>
      <c r="Q231" s="415"/>
      <c r="R231" s="415"/>
      <c r="S231" s="415"/>
      <c r="T231" s="415"/>
      <c r="U231" s="415"/>
      <c r="V231" s="415"/>
      <c r="W231" s="415"/>
      <c r="X231" s="415"/>
      <c r="Y231" s="415"/>
      <c r="Z231" s="414"/>
      <c r="AA231" s="344"/>
    </row>
    <row r="232" spans="6:27" x14ac:dyDescent="0.2">
      <c r="F232" s="621"/>
      <c r="G232" s="621"/>
      <c r="H232" s="622" t="s">
        <v>269</v>
      </c>
      <c r="I232" s="294"/>
      <c r="J232" s="343">
        <v>1</v>
      </c>
      <c r="K232" s="622"/>
      <c r="L232" s="619"/>
      <c r="M232" s="619"/>
      <c r="N232" s="415"/>
      <c r="O232" s="386"/>
      <c r="P232" s="415"/>
      <c r="Q232" s="415"/>
      <c r="R232" s="415"/>
      <c r="S232" s="415"/>
      <c r="T232" s="415"/>
      <c r="U232" s="415"/>
      <c r="V232" s="415"/>
      <c r="W232" s="415"/>
      <c r="X232" s="415"/>
      <c r="Y232" s="415"/>
      <c r="Z232" s="414"/>
    </row>
    <row r="233" spans="6:27" x14ac:dyDescent="0.2">
      <c r="F233" s="621"/>
      <c r="G233" s="621"/>
      <c r="H233" s="622" t="s">
        <v>270</v>
      </c>
      <c r="I233" s="294"/>
      <c r="J233" s="633">
        <v>0</v>
      </c>
      <c r="K233" s="341">
        <v>0</v>
      </c>
      <c r="L233" s="340">
        <v>0.75</v>
      </c>
      <c r="M233" s="340">
        <v>1</v>
      </c>
      <c r="N233" s="418">
        <f t="shared" ref="N233:Z233" si="25">M233</f>
        <v>1</v>
      </c>
      <c r="O233" s="418">
        <f t="shared" si="25"/>
        <v>1</v>
      </c>
      <c r="P233" s="418">
        <f>O233</f>
        <v>1</v>
      </c>
      <c r="Q233" s="418">
        <f>P233</f>
        <v>1</v>
      </c>
      <c r="R233" s="418">
        <f t="shared" si="25"/>
        <v>1</v>
      </c>
      <c r="S233" s="418">
        <f t="shared" si="25"/>
        <v>1</v>
      </c>
      <c r="T233" s="418">
        <f t="shared" si="25"/>
        <v>1</v>
      </c>
      <c r="U233" s="418">
        <f t="shared" si="25"/>
        <v>1</v>
      </c>
      <c r="V233" s="418">
        <f t="shared" si="25"/>
        <v>1</v>
      </c>
      <c r="W233" s="418">
        <f t="shared" si="25"/>
        <v>1</v>
      </c>
      <c r="X233" s="418">
        <f t="shared" si="25"/>
        <v>1</v>
      </c>
      <c r="Y233" s="418">
        <f t="shared" si="25"/>
        <v>1</v>
      </c>
      <c r="Z233" s="417">
        <f t="shared" si="25"/>
        <v>1</v>
      </c>
      <c r="AA233" s="297"/>
    </row>
    <row r="234" spans="6:27" x14ac:dyDescent="0.2">
      <c r="F234" s="621"/>
      <c r="G234" s="621"/>
      <c r="H234" s="339" t="s">
        <v>271</v>
      </c>
      <c r="I234" s="294"/>
      <c r="J234" s="336">
        <f t="shared" ref="J234:Z234" si="26">(1+J229)^J227</f>
        <v>1</v>
      </c>
      <c r="K234" s="336">
        <f t="shared" si="26"/>
        <v>1</v>
      </c>
      <c r="L234" s="336">
        <f t="shared" si="26"/>
        <v>1</v>
      </c>
      <c r="M234" s="336">
        <f t="shared" si="26"/>
        <v>1</v>
      </c>
      <c r="N234" s="373">
        <f t="shared" si="26"/>
        <v>1</v>
      </c>
      <c r="O234" s="373">
        <f t="shared" si="26"/>
        <v>1</v>
      </c>
      <c r="P234" s="373">
        <f t="shared" si="26"/>
        <v>1</v>
      </c>
      <c r="Q234" s="373">
        <f t="shared" si="26"/>
        <v>1</v>
      </c>
      <c r="R234" s="373">
        <f t="shared" si="26"/>
        <v>1</v>
      </c>
      <c r="S234" s="373">
        <f t="shared" si="26"/>
        <v>1</v>
      </c>
      <c r="T234" s="373">
        <f t="shared" si="26"/>
        <v>1</v>
      </c>
      <c r="U234" s="373">
        <f t="shared" si="26"/>
        <v>1</v>
      </c>
      <c r="V234" s="373">
        <f t="shared" si="26"/>
        <v>1</v>
      </c>
      <c r="W234" s="373">
        <f t="shared" si="26"/>
        <v>1</v>
      </c>
      <c r="X234" s="373">
        <f t="shared" si="26"/>
        <v>1</v>
      </c>
      <c r="Y234" s="373">
        <f t="shared" si="26"/>
        <v>1</v>
      </c>
      <c r="Z234" s="416">
        <f t="shared" si="26"/>
        <v>1</v>
      </c>
      <c r="AA234" s="336"/>
    </row>
    <row r="235" spans="6:27" x14ac:dyDescent="0.2">
      <c r="F235" s="621"/>
      <c r="G235" s="621"/>
      <c r="H235" s="339" t="s">
        <v>272</v>
      </c>
      <c r="I235" s="294"/>
      <c r="J235" s="336">
        <f t="shared" ref="J235:Z235" si="27">(1+J230)^J227</f>
        <v>1</v>
      </c>
      <c r="K235" s="336">
        <f t="shared" si="27"/>
        <v>1</v>
      </c>
      <c r="L235" s="336">
        <f t="shared" si="27"/>
        <v>1</v>
      </c>
      <c r="M235" s="336">
        <f t="shared" si="27"/>
        <v>1</v>
      </c>
      <c r="N235" s="373">
        <f t="shared" si="27"/>
        <v>1</v>
      </c>
      <c r="O235" s="373">
        <f t="shared" si="27"/>
        <v>1</v>
      </c>
      <c r="P235" s="373">
        <f t="shared" si="27"/>
        <v>1</v>
      </c>
      <c r="Q235" s="373">
        <f t="shared" si="27"/>
        <v>1</v>
      </c>
      <c r="R235" s="373">
        <f t="shared" si="27"/>
        <v>1</v>
      </c>
      <c r="S235" s="373">
        <f t="shared" si="27"/>
        <v>1</v>
      </c>
      <c r="T235" s="373">
        <f t="shared" si="27"/>
        <v>1</v>
      </c>
      <c r="U235" s="373">
        <f t="shared" si="27"/>
        <v>1</v>
      </c>
      <c r="V235" s="373">
        <f t="shared" si="27"/>
        <v>1</v>
      </c>
      <c r="W235" s="373">
        <f t="shared" si="27"/>
        <v>1</v>
      </c>
      <c r="X235" s="373">
        <f t="shared" si="27"/>
        <v>1</v>
      </c>
      <c r="Y235" s="373">
        <f t="shared" si="27"/>
        <v>1</v>
      </c>
      <c r="Z235" s="416">
        <f t="shared" si="27"/>
        <v>1</v>
      </c>
      <c r="AA235" s="336"/>
    </row>
    <row r="236" spans="6:27" x14ac:dyDescent="0.2">
      <c r="F236" s="621"/>
      <c r="G236" s="621"/>
      <c r="H236" s="339" t="s">
        <v>547</v>
      </c>
      <c r="I236" s="294"/>
      <c r="J236" s="336">
        <v>100</v>
      </c>
      <c r="K236" s="336"/>
      <c r="L236" s="336"/>
      <c r="M236" s="336"/>
      <c r="N236" s="373"/>
      <c r="O236" s="373"/>
      <c r="P236" s="373"/>
      <c r="Q236" s="373"/>
      <c r="R236" s="373"/>
      <c r="S236" s="373"/>
      <c r="T236" s="373"/>
      <c r="U236" s="373"/>
      <c r="V236" s="373"/>
      <c r="W236" s="373"/>
      <c r="X236" s="373"/>
      <c r="Y236" s="373"/>
      <c r="Z236" s="416"/>
      <c r="AA236" s="336"/>
    </row>
    <row r="237" spans="6:27" x14ac:dyDescent="0.2">
      <c r="F237" s="621"/>
      <c r="G237" s="621"/>
      <c r="H237" s="339" t="s">
        <v>548</v>
      </c>
      <c r="I237" s="294"/>
      <c r="J237" s="336">
        <v>0.66</v>
      </c>
      <c r="K237" s="336"/>
      <c r="L237" s="336"/>
      <c r="M237" s="336"/>
      <c r="N237" s="373"/>
      <c r="O237" s="373"/>
      <c r="P237" s="373"/>
      <c r="Q237" s="373"/>
      <c r="R237" s="373"/>
      <c r="S237" s="373"/>
      <c r="T237" s="373"/>
      <c r="U237" s="373"/>
      <c r="V237" s="373"/>
      <c r="W237" s="373"/>
      <c r="X237" s="373"/>
      <c r="Y237" s="373"/>
      <c r="Z237" s="416"/>
      <c r="AA237" s="336"/>
    </row>
    <row r="238" spans="6:27" x14ac:dyDescent="0.2">
      <c r="F238" s="621"/>
      <c r="G238" s="621"/>
      <c r="H238" s="335" t="s">
        <v>273</v>
      </c>
      <c r="I238" s="294"/>
      <c r="J238" s="338">
        <v>1</v>
      </c>
      <c r="K238" s="336"/>
      <c r="L238" s="336"/>
      <c r="M238" s="336"/>
      <c r="N238" s="415"/>
      <c r="O238" s="415"/>
      <c r="P238" s="415"/>
      <c r="Q238" s="415"/>
      <c r="R238" s="415"/>
      <c r="S238" s="415"/>
      <c r="T238" s="415"/>
      <c r="U238" s="415"/>
      <c r="V238" s="415"/>
      <c r="W238" s="415"/>
      <c r="X238" s="415"/>
      <c r="Y238" s="415"/>
      <c r="Z238" s="414"/>
      <c r="AA238" s="336"/>
    </row>
    <row r="239" spans="6:27" x14ac:dyDescent="0.2">
      <c r="F239" s="621"/>
      <c r="G239" s="621"/>
      <c r="H239" s="335" t="s">
        <v>274</v>
      </c>
      <c r="I239" s="294"/>
      <c r="J239" s="338">
        <v>0.4</v>
      </c>
      <c r="K239" s="338">
        <v>0.6</v>
      </c>
      <c r="L239" s="336"/>
      <c r="M239" s="336"/>
      <c r="N239" s="415"/>
      <c r="O239" s="415"/>
      <c r="P239" s="415"/>
      <c r="Q239" s="415"/>
      <c r="R239" s="415"/>
      <c r="S239" s="415"/>
      <c r="T239" s="415"/>
      <c r="U239" s="415"/>
      <c r="V239" s="415"/>
      <c r="W239" s="415"/>
      <c r="X239" s="415"/>
      <c r="Y239" s="415"/>
      <c r="Z239" s="414"/>
      <c r="AA239" s="336"/>
    </row>
    <row r="240" spans="6:27" x14ac:dyDescent="0.2">
      <c r="F240" s="621"/>
      <c r="G240" s="621"/>
      <c r="H240" s="335" t="s">
        <v>275</v>
      </c>
      <c r="I240" s="294"/>
      <c r="J240" s="334">
        <v>0.01</v>
      </c>
      <c r="K240" s="333">
        <f t="shared" ref="K240:Z240" si="28">J240</f>
        <v>0.01</v>
      </c>
      <c r="L240" s="333">
        <f t="shared" si="28"/>
        <v>0.01</v>
      </c>
      <c r="M240" s="333">
        <f t="shared" si="28"/>
        <v>0.01</v>
      </c>
      <c r="N240" s="415">
        <f t="shared" si="28"/>
        <v>0.01</v>
      </c>
      <c r="O240" s="415">
        <f t="shared" si="28"/>
        <v>0.01</v>
      </c>
      <c r="P240" s="415">
        <f>O240</f>
        <v>0.01</v>
      </c>
      <c r="Q240" s="415">
        <f>P240</f>
        <v>0.01</v>
      </c>
      <c r="R240" s="415">
        <f t="shared" si="28"/>
        <v>0.01</v>
      </c>
      <c r="S240" s="415">
        <f t="shared" si="28"/>
        <v>0.01</v>
      </c>
      <c r="T240" s="415">
        <f t="shared" si="28"/>
        <v>0.01</v>
      </c>
      <c r="U240" s="415">
        <f t="shared" si="28"/>
        <v>0.01</v>
      </c>
      <c r="V240" s="415">
        <f t="shared" si="28"/>
        <v>0.01</v>
      </c>
      <c r="W240" s="415">
        <f t="shared" si="28"/>
        <v>0.01</v>
      </c>
      <c r="X240" s="415">
        <f t="shared" si="28"/>
        <v>0.01</v>
      </c>
      <c r="Y240" s="415">
        <f t="shared" si="28"/>
        <v>0.01</v>
      </c>
      <c r="Z240" s="414">
        <f t="shared" si="28"/>
        <v>0.01</v>
      </c>
      <c r="AA240" s="333"/>
    </row>
    <row r="241" spans="3:28" x14ac:dyDescent="0.2">
      <c r="F241" s="621"/>
      <c r="G241" s="621"/>
      <c r="H241" s="622" t="s">
        <v>276</v>
      </c>
      <c r="I241" s="294"/>
      <c r="J241" s="332">
        <v>0.2</v>
      </c>
      <c r="K241" s="622" t="s">
        <v>277</v>
      </c>
      <c r="L241" s="619"/>
      <c r="M241" s="619"/>
      <c r="N241" s="624"/>
      <c r="O241" s="367"/>
      <c r="P241" s="624"/>
      <c r="Q241" s="624"/>
      <c r="R241" s="624"/>
      <c r="S241" s="624"/>
      <c r="T241" s="624"/>
      <c r="U241" s="624"/>
      <c r="V241" s="624"/>
      <c r="W241" s="624"/>
      <c r="X241" s="624"/>
      <c r="Y241" s="624"/>
      <c r="Z241" s="663"/>
    </row>
    <row r="242" spans="3:28" x14ac:dyDescent="0.2">
      <c r="F242" s="621"/>
      <c r="G242" s="621"/>
      <c r="H242" s="619"/>
      <c r="I242" s="629"/>
      <c r="J242" s="619"/>
      <c r="K242" s="619"/>
      <c r="L242" s="630"/>
      <c r="M242" s="619"/>
      <c r="N242" s="624"/>
      <c r="O242" s="624"/>
      <c r="P242" s="624"/>
      <c r="Q242" s="624"/>
      <c r="R242" s="624"/>
      <c r="S242" s="624"/>
      <c r="T242" s="624"/>
      <c r="U242" s="624"/>
      <c r="V242" s="624"/>
      <c r="W242" s="624"/>
      <c r="X242" s="624"/>
      <c r="Y242" s="624"/>
      <c r="Z242" s="663"/>
    </row>
    <row r="243" spans="3:28" x14ac:dyDescent="0.2">
      <c r="F243" s="621"/>
      <c r="G243" s="318">
        <v>13</v>
      </c>
      <c r="H243" s="317" t="s">
        <v>278</v>
      </c>
      <c r="I243" s="316"/>
      <c r="J243" s="315" t="s">
        <v>249</v>
      </c>
      <c r="K243" s="638" t="s">
        <v>250</v>
      </c>
      <c r="L243" s="620" t="s">
        <v>251</v>
      </c>
      <c r="M243" s="620" t="s">
        <v>252</v>
      </c>
      <c r="N243" s="665" t="s">
        <v>253</v>
      </c>
      <c r="O243" s="665" t="s">
        <v>254</v>
      </c>
      <c r="P243" s="665" t="s">
        <v>255</v>
      </c>
      <c r="Q243" s="665" t="s">
        <v>256</v>
      </c>
      <c r="R243" s="665" t="s">
        <v>257</v>
      </c>
      <c r="S243" s="665" t="s">
        <v>258</v>
      </c>
      <c r="T243" s="665" t="s">
        <v>259</v>
      </c>
      <c r="U243" s="665" t="s">
        <v>260</v>
      </c>
      <c r="V243" s="665" t="s">
        <v>261</v>
      </c>
      <c r="W243" s="665" t="s">
        <v>262</v>
      </c>
      <c r="X243" s="665" t="s">
        <v>263</v>
      </c>
      <c r="Y243" s="665" t="s">
        <v>264</v>
      </c>
      <c r="Z243" s="662" t="s">
        <v>265</v>
      </c>
      <c r="AB243" s="620"/>
    </row>
    <row r="244" spans="3:28" x14ac:dyDescent="0.2">
      <c r="C244" s="186"/>
      <c r="D244" s="186"/>
      <c r="E244" s="186"/>
      <c r="F244" s="621"/>
      <c r="G244" s="331"/>
      <c r="H244" s="627" t="s">
        <v>279</v>
      </c>
      <c r="I244" s="279"/>
      <c r="J244" s="330"/>
      <c r="K244" s="329"/>
      <c r="L244" s="328"/>
      <c r="M244" s="328"/>
      <c r="N244" s="413"/>
      <c r="O244" s="413"/>
      <c r="P244" s="413"/>
      <c r="Q244" s="413"/>
      <c r="R244" s="413"/>
      <c r="S244" s="413"/>
      <c r="T244" s="413"/>
      <c r="U244" s="413"/>
      <c r="V244" s="413"/>
      <c r="W244" s="413"/>
      <c r="X244" s="413"/>
      <c r="Y244" s="413"/>
      <c r="Z244" s="412"/>
      <c r="AA244" s="328"/>
      <c r="AB244" s="328"/>
    </row>
    <row r="245" spans="3:28" x14ac:dyDescent="0.2">
      <c r="C245" s="186"/>
      <c r="D245" s="186"/>
      <c r="E245" s="186"/>
      <c r="F245" s="621"/>
      <c r="G245" s="331"/>
      <c r="H245" s="274"/>
      <c r="I245" s="279"/>
      <c r="J245" s="330"/>
      <c r="K245" s="329"/>
      <c r="L245" s="643">
        <f t="shared" ref="L245:Z245" si="29">L233*$J$231*L234*SUM($M$33:$M$34)</f>
        <v>0</v>
      </c>
      <c r="M245" s="643">
        <f t="shared" si="29"/>
        <v>0</v>
      </c>
      <c r="N245" s="643">
        <f t="shared" si="29"/>
        <v>0</v>
      </c>
      <c r="O245" s="643">
        <f t="shared" si="29"/>
        <v>0</v>
      </c>
      <c r="P245" s="643">
        <f t="shared" si="29"/>
        <v>0</v>
      </c>
      <c r="Q245" s="643">
        <f t="shared" si="29"/>
        <v>0</v>
      </c>
      <c r="R245" s="643">
        <f t="shared" si="29"/>
        <v>0</v>
      </c>
      <c r="S245" s="643">
        <f t="shared" si="29"/>
        <v>0</v>
      </c>
      <c r="T245" s="643">
        <f t="shared" si="29"/>
        <v>0</v>
      </c>
      <c r="U245" s="643">
        <f t="shared" si="29"/>
        <v>0</v>
      </c>
      <c r="V245" s="643">
        <f t="shared" si="29"/>
        <v>0</v>
      </c>
      <c r="W245" s="643">
        <f t="shared" si="29"/>
        <v>0</v>
      </c>
      <c r="X245" s="643">
        <f t="shared" si="29"/>
        <v>0</v>
      </c>
      <c r="Y245" s="643">
        <f t="shared" si="29"/>
        <v>0</v>
      </c>
      <c r="Z245" s="643">
        <f t="shared" si="29"/>
        <v>0</v>
      </c>
      <c r="AA245" s="328"/>
      <c r="AB245" s="328"/>
    </row>
    <row r="246" spans="3:28" x14ac:dyDescent="0.2">
      <c r="C246" s="186"/>
      <c r="D246" s="186"/>
      <c r="E246" s="186"/>
      <c r="F246" s="621"/>
      <c r="G246" s="331"/>
      <c r="H246" s="274"/>
      <c r="I246" s="279"/>
      <c r="J246" s="330"/>
      <c r="K246" s="329"/>
      <c r="L246" s="643">
        <f t="shared" ref="L246:Z246" si="30">L233*$J$231*L234*$M$35</f>
        <v>0</v>
      </c>
      <c r="M246" s="643">
        <f t="shared" si="30"/>
        <v>0</v>
      </c>
      <c r="N246" s="643">
        <f t="shared" si="30"/>
        <v>0</v>
      </c>
      <c r="O246" s="643">
        <f t="shared" si="30"/>
        <v>0</v>
      </c>
      <c r="P246" s="643">
        <f t="shared" si="30"/>
        <v>0</v>
      </c>
      <c r="Q246" s="643">
        <f t="shared" si="30"/>
        <v>0</v>
      </c>
      <c r="R246" s="643">
        <f t="shared" si="30"/>
        <v>0</v>
      </c>
      <c r="S246" s="643">
        <f t="shared" si="30"/>
        <v>0</v>
      </c>
      <c r="T246" s="643">
        <f t="shared" si="30"/>
        <v>0</v>
      </c>
      <c r="U246" s="643">
        <f t="shared" si="30"/>
        <v>0</v>
      </c>
      <c r="V246" s="643">
        <f t="shared" si="30"/>
        <v>0</v>
      </c>
      <c r="W246" s="643">
        <f t="shared" si="30"/>
        <v>0</v>
      </c>
      <c r="X246" s="643">
        <f t="shared" si="30"/>
        <v>0</v>
      </c>
      <c r="Y246" s="643">
        <f t="shared" si="30"/>
        <v>0</v>
      </c>
      <c r="Z246" s="643">
        <f t="shared" si="30"/>
        <v>0</v>
      </c>
      <c r="AA246" s="328"/>
      <c r="AB246" s="328"/>
    </row>
    <row r="247" spans="3:28" x14ac:dyDescent="0.2">
      <c r="C247" s="186"/>
      <c r="D247" s="186"/>
      <c r="E247" s="186"/>
      <c r="F247" s="621"/>
      <c r="G247" s="331"/>
      <c r="H247" s="622"/>
      <c r="I247" s="279"/>
      <c r="J247" s="330"/>
      <c r="K247" s="329"/>
      <c r="L247" s="643">
        <f t="shared" ref="L247:Z247" si="31">L233*$J$231*L234*$M$36</f>
        <v>0</v>
      </c>
      <c r="M247" s="643">
        <f t="shared" si="31"/>
        <v>0</v>
      </c>
      <c r="N247" s="643">
        <f t="shared" si="31"/>
        <v>0</v>
      </c>
      <c r="O247" s="643">
        <f t="shared" si="31"/>
        <v>0</v>
      </c>
      <c r="P247" s="643">
        <f t="shared" si="31"/>
        <v>0</v>
      </c>
      <c r="Q247" s="643">
        <f t="shared" si="31"/>
        <v>0</v>
      </c>
      <c r="R247" s="643">
        <f t="shared" si="31"/>
        <v>0</v>
      </c>
      <c r="S247" s="643">
        <f t="shared" si="31"/>
        <v>0</v>
      </c>
      <c r="T247" s="643">
        <f t="shared" si="31"/>
        <v>0</v>
      </c>
      <c r="U247" s="643">
        <f t="shared" si="31"/>
        <v>0</v>
      </c>
      <c r="V247" s="643">
        <f t="shared" si="31"/>
        <v>0</v>
      </c>
      <c r="W247" s="643">
        <f t="shared" si="31"/>
        <v>0</v>
      </c>
      <c r="X247" s="643">
        <f t="shared" si="31"/>
        <v>0</v>
      </c>
      <c r="Y247" s="643">
        <f t="shared" si="31"/>
        <v>0</v>
      </c>
      <c r="Z247" s="643">
        <f t="shared" si="31"/>
        <v>0</v>
      </c>
      <c r="AA247" s="328"/>
      <c r="AB247" s="328"/>
    </row>
    <row r="248" spans="3:28" x14ac:dyDescent="0.2">
      <c r="C248" s="186"/>
      <c r="D248" s="186"/>
      <c r="E248" s="186"/>
      <c r="F248" s="621"/>
      <c r="G248" s="621"/>
      <c r="H248" s="622" t="s">
        <v>280</v>
      </c>
      <c r="I248" s="294"/>
      <c r="J248" s="275"/>
      <c r="K248" s="625"/>
      <c r="L248" s="643">
        <f t="shared" ref="L248:Z248" si="32">L233*$J$231*L234*$M$15</f>
        <v>67500000</v>
      </c>
      <c r="M248" s="643">
        <f t="shared" si="32"/>
        <v>90000000</v>
      </c>
      <c r="N248" s="643">
        <f t="shared" si="32"/>
        <v>90000000</v>
      </c>
      <c r="O248" s="643">
        <f t="shared" si="32"/>
        <v>90000000</v>
      </c>
      <c r="P248" s="643">
        <f t="shared" si="32"/>
        <v>90000000</v>
      </c>
      <c r="Q248" s="643">
        <f t="shared" si="32"/>
        <v>90000000</v>
      </c>
      <c r="R248" s="643">
        <f t="shared" si="32"/>
        <v>90000000</v>
      </c>
      <c r="S248" s="643">
        <f t="shared" si="32"/>
        <v>90000000</v>
      </c>
      <c r="T248" s="643">
        <f t="shared" si="32"/>
        <v>90000000</v>
      </c>
      <c r="U248" s="643">
        <f t="shared" si="32"/>
        <v>90000000</v>
      </c>
      <c r="V248" s="643">
        <f t="shared" si="32"/>
        <v>90000000</v>
      </c>
      <c r="W248" s="643">
        <f t="shared" si="32"/>
        <v>90000000</v>
      </c>
      <c r="X248" s="643">
        <f t="shared" si="32"/>
        <v>90000000</v>
      </c>
      <c r="Y248" s="643">
        <f t="shared" si="32"/>
        <v>90000000</v>
      </c>
      <c r="Z248" s="643">
        <f t="shared" si="32"/>
        <v>90000000</v>
      </c>
      <c r="AA248" s="623"/>
    </row>
    <row r="249" spans="3:28" x14ac:dyDescent="0.2">
      <c r="C249" s="186">
        <v>8</v>
      </c>
      <c r="D249" s="186" t="s">
        <v>640</v>
      </c>
      <c r="E249" s="186"/>
      <c r="F249" s="621"/>
      <c r="G249" s="621"/>
      <c r="H249" s="656" t="s">
        <v>626</v>
      </c>
      <c r="I249" s="294"/>
      <c r="J249" s="275"/>
      <c r="K249" s="625"/>
      <c r="L249" s="643">
        <f t="shared" ref="L249:Z249" si="33">L233*$J$231*L234*$M$81</f>
        <v>887764.47849945619</v>
      </c>
      <c r="M249" s="643">
        <f t="shared" si="33"/>
        <v>1183685.9713326083</v>
      </c>
      <c r="N249" s="643">
        <f t="shared" si="33"/>
        <v>1183685.9713326083</v>
      </c>
      <c r="O249" s="643">
        <f t="shared" si="33"/>
        <v>1183685.9713326083</v>
      </c>
      <c r="P249" s="643">
        <f t="shared" si="33"/>
        <v>1183685.9713326083</v>
      </c>
      <c r="Q249" s="643">
        <f t="shared" si="33"/>
        <v>1183685.9713326083</v>
      </c>
      <c r="R249" s="643">
        <f t="shared" si="33"/>
        <v>1183685.9713326083</v>
      </c>
      <c r="S249" s="643">
        <f t="shared" si="33"/>
        <v>1183685.9713326083</v>
      </c>
      <c r="T249" s="643">
        <f t="shared" si="33"/>
        <v>1183685.9713326083</v>
      </c>
      <c r="U249" s="643">
        <f t="shared" si="33"/>
        <v>1183685.9713326083</v>
      </c>
      <c r="V249" s="643">
        <f t="shared" si="33"/>
        <v>1183685.9713326083</v>
      </c>
      <c r="W249" s="643">
        <f t="shared" si="33"/>
        <v>1183685.9713326083</v>
      </c>
      <c r="X249" s="643">
        <f t="shared" si="33"/>
        <v>1183685.9713326083</v>
      </c>
      <c r="Y249" s="643">
        <f t="shared" si="33"/>
        <v>1183685.9713326083</v>
      </c>
      <c r="Z249" s="643">
        <f t="shared" si="33"/>
        <v>1183685.9713326083</v>
      </c>
      <c r="AA249" s="623"/>
    </row>
    <row r="250" spans="3:28" x14ac:dyDescent="0.2">
      <c r="C250" s="186">
        <v>8</v>
      </c>
      <c r="D250" s="186" t="s">
        <v>640</v>
      </c>
      <c r="E250" s="186"/>
      <c r="F250" s="621"/>
      <c r="G250" s="621"/>
      <c r="H250" s="622" t="s">
        <v>281</v>
      </c>
      <c r="I250" s="294"/>
      <c r="J250" s="275"/>
      <c r="K250" s="625"/>
      <c r="L250" s="643">
        <f t="shared" ref="L250:Z250" si="34">L233*$J$231*L234*$M$225</f>
        <v>2602898.6043070229</v>
      </c>
      <c r="M250" s="643">
        <f t="shared" si="34"/>
        <v>3470531.4724093638</v>
      </c>
      <c r="N250" s="643">
        <f t="shared" si="34"/>
        <v>3470531.4724093638</v>
      </c>
      <c r="O250" s="643">
        <f t="shared" si="34"/>
        <v>3470531.4724093638</v>
      </c>
      <c r="P250" s="643">
        <f t="shared" si="34"/>
        <v>3470531.4724093638</v>
      </c>
      <c r="Q250" s="643">
        <f t="shared" si="34"/>
        <v>3470531.4724093638</v>
      </c>
      <c r="R250" s="643">
        <f t="shared" si="34"/>
        <v>3470531.4724093638</v>
      </c>
      <c r="S250" s="643">
        <f t="shared" si="34"/>
        <v>3470531.4724093638</v>
      </c>
      <c r="T250" s="643">
        <f t="shared" si="34"/>
        <v>3470531.4724093638</v>
      </c>
      <c r="U250" s="643">
        <f t="shared" si="34"/>
        <v>3470531.4724093638</v>
      </c>
      <c r="V250" s="643">
        <f t="shared" si="34"/>
        <v>3470531.4724093638</v>
      </c>
      <c r="W250" s="643">
        <f t="shared" si="34"/>
        <v>3470531.4724093638</v>
      </c>
      <c r="X250" s="643">
        <f t="shared" si="34"/>
        <v>3470531.4724093638</v>
      </c>
      <c r="Y250" s="643">
        <f t="shared" si="34"/>
        <v>3470531.4724093638</v>
      </c>
      <c r="Z250" s="643">
        <f t="shared" si="34"/>
        <v>3470531.4724093638</v>
      </c>
      <c r="AA250" s="623"/>
    </row>
    <row r="251" spans="3:28" x14ac:dyDescent="0.2">
      <c r="C251" s="186"/>
      <c r="D251" s="186"/>
      <c r="E251" s="186"/>
      <c r="F251" s="621"/>
      <c r="G251" s="621"/>
      <c r="H251" s="656" t="s">
        <v>654</v>
      </c>
      <c r="I251" s="294"/>
      <c r="J251" s="275"/>
      <c r="K251" s="625"/>
      <c r="L251" s="643">
        <f>L233*$J$231*L234*$M$219</f>
        <v>2143796.8695282969</v>
      </c>
      <c r="M251" s="643">
        <f t="shared" ref="M251:Z251" si="35">M233*$J$231*M234*$M$219</f>
        <v>2858395.8260377292</v>
      </c>
      <c r="N251" s="643">
        <f t="shared" si="35"/>
        <v>2858395.8260377292</v>
      </c>
      <c r="O251" s="643">
        <f t="shared" si="35"/>
        <v>2858395.8260377292</v>
      </c>
      <c r="P251" s="643">
        <f t="shared" si="35"/>
        <v>2858395.8260377292</v>
      </c>
      <c r="Q251" s="643">
        <f t="shared" si="35"/>
        <v>2858395.8260377292</v>
      </c>
      <c r="R251" s="643">
        <f t="shared" si="35"/>
        <v>2858395.8260377292</v>
      </c>
      <c r="S251" s="643">
        <f t="shared" si="35"/>
        <v>2858395.8260377292</v>
      </c>
      <c r="T251" s="643">
        <f t="shared" si="35"/>
        <v>2858395.8260377292</v>
      </c>
      <c r="U251" s="643">
        <f t="shared" si="35"/>
        <v>2858395.8260377292</v>
      </c>
      <c r="V251" s="643">
        <f t="shared" si="35"/>
        <v>2858395.8260377292</v>
      </c>
      <c r="W251" s="643">
        <f t="shared" si="35"/>
        <v>2858395.8260377292</v>
      </c>
      <c r="X251" s="643">
        <f t="shared" si="35"/>
        <v>2858395.8260377292</v>
      </c>
      <c r="Y251" s="643">
        <f t="shared" si="35"/>
        <v>2858395.8260377292</v>
      </c>
      <c r="Z251" s="643">
        <f t="shared" si="35"/>
        <v>2858395.8260377292</v>
      </c>
      <c r="AA251" s="623"/>
    </row>
    <row r="252" spans="3:28" x14ac:dyDescent="0.2">
      <c r="C252" s="186"/>
      <c r="D252" s="186"/>
      <c r="E252" s="186"/>
      <c r="F252" s="621"/>
      <c r="G252" s="621"/>
      <c r="H252" s="622"/>
      <c r="I252" s="294"/>
      <c r="J252" s="275"/>
      <c r="K252" s="625"/>
      <c r="L252" s="646">
        <f t="shared" ref="L252:Z252" si="36">SUM(L245:L250)</f>
        <v>70990663.082806483</v>
      </c>
      <c r="M252" s="647">
        <f t="shared" si="36"/>
        <v>94654217.443741977</v>
      </c>
      <c r="N252" s="647">
        <f t="shared" si="36"/>
        <v>94654217.443741977</v>
      </c>
      <c r="O252" s="647">
        <f t="shared" si="36"/>
        <v>94654217.443741977</v>
      </c>
      <c r="P252" s="647">
        <f t="shared" si="36"/>
        <v>94654217.443741977</v>
      </c>
      <c r="Q252" s="647">
        <f t="shared" si="36"/>
        <v>94654217.443741977</v>
      </c>
      <c r="R252" s="647">
        <f t="shared" si="36"/>
        <v>94654217.443741977</v>
      </c>
      <c r="S252" s="647">
        <f t="shared" si="36"/>
        <v>94654217.443741977</v>
      </c>
      <c r="T252" s="647">
        <f t="shared" si="36"/>
        <v>94654217.443741977</v>
      </c>
      <c r="U252" s="647">
        <f t="shared" si="36"/>
        <v>94654217.443741977</v>
      </c>
      <c r="V252" s="647">
        <f t="shared" si="36"/>
        <v>94654217.443741977</v>
      </c>
      <c r="W252" s="647">
        <f t="shared" si="36"/>
        <v>94654217.443741977</v>
      </c>
      <c r="X252" s="647">
        <f t="shared" si="36"/>
        <v>94654217.443741977</v>
      </c>
      <c r="Y252" s="647">
        <f t="shared" si="36"/>
        <v>94654217.443741977</v>
      </c>
      <c r="Z252" s="648">
        <f t="shared" si="36"/>
        <v>94654217.443741977</v>
      </c>
      <c r="AA252" s="623"/>
    </row>
    <row r="253" spans="3:28" x14ac:dyDescent="0.2">
      <c r="C253" s="186"/>
      <c r="D253" s="186"/>
      <c r="E253" s="186"/>
      <c r="F253" s="621"/>
      <c r="G253" s="621"/>
      <c r="H253" s="627" t="s">
        <v>282</v>
      </c>
      <c r="I253" s="629"/>
      <c r="J253" s="621"/>
      <c r="K253" s="625"/>
      <c r="AA253" s="623"/>
    </row>
    <row r="254" spans="3:28" x14ac:dyDescent="0.2">
      <c r="C254" s="186"/>
      <c r="D254" s="186"/>
      <c r="E254" s="186"/>
      <c r="F254" s="621"/>
      <c r="G254" s="621"/>
      <c r="H254" s="274"/>
      <c r="I254" s="629"/>
      <c r="J254" s="621"/>
      <c r="K254" s="625"/>
      <c r="L254" s="643">
        <f>-$M$166*$J$232*L233*L235</f>
        <v>0</v>
      </c>
      <c r="M254" s="643">
        <f>-$M$166*$J$232*M233*M235</f>
        <v>0</v>
      </c>
      <c r="N254" s="643">
        <f t="shared" ref="N254:Z254" si="37">-$M$165*$J$232*N233*N235</f>
        <v>0</v>
      </c>
      <c r="O254" s="643">
        <f t="shared" si="37"/>
        <v>0</v>
      </c>
      <c r="P254" s="643">
        <f t="shared" si="37"/>
        <v>0</v>
      </c>
      <c r="Q254" s="643">
        <f t="shared" si="37"/>
        <v>0</v>
      </c>
      <c r="R254" s="643">
        <f t="shared" si="37"/>
        <v>0</v>
      </c>
      <c r="S254" s="643">
        <f t="shared" si="37"/>
        <v>0</v>
      </c>
      <c r="T254" s="643">
        <f t="shared" si="37"/>
        <v>0</v>
      </c>
      <c r="U254" s="643">
        <f t="shared" si="37"/>
        <v>0</v>
      </c>
      <c r="V254" s="643">
        <f t="shared" si="37"/>
        <v>0</v>
      </c>
      <c r="W254" s="643">
        <f t="shared" si="37"/>
        <v>0</v>
      </c>
      <c r="X254" s="643">
        <f t="shared" si="37"/>
        <v>0</v>
      </c>
      <c r="Y254" s="643">
        <f t="shared" si="37"/>
        <v>0</v>
      </c>
      <c r="Z254" s="643">
        <f t="shared" si="37"/>
        <v>0</v>
      </c>
      <c r="AA254" s="623"/>
    </row>
    <row r="255" spans="3:28" x14ac:dyDescent="0.2">
      <c r="C255" s="186"/>
      <c r="D255" s="186"/>
      <c r="E255" s="186"/>
      <c r="F255" s="621"/>
      <c r="G255" s="621"/>
      <c r="H255" s="274"/>
      <c r="I255" s="629"/>
      <c r="J255" s="621"/>
      <c r="K255" s="625"/>
      <c r="L255" s="643">
        <f>-$M$167*$J$232*L233*L235</f>
        <v>0</v>
      </c>
      <c r="M255" s="643">
        <f>-$M$167*$J$232*M233*M235</f>
        <v>0</v>
      </c>
      <c r="N255" s="643">
        <f t="shared" ref="N255:Z255" si="38">-$M$166*$J$232*N233*N235</f>
        <v>0</v>
      </c>
      <c r="O255" s="643">
        <f t="shared" si="38"/>
        <v>0</v>
      </c>
      <c r="P255" s="643">
        <f t="shared" si="38"/>
        <v>0</v>
      </c>
      <c r="Q255" s="643">
        <f t="shared" si="38"/>
        <v>0</v>
      </c>
      <c r="R255" s="643">
        <f t="shared" si="38"/>
        <v>0</v>
      </c>
      <c r="S255" s="643">
        <f t="shared" si="38"/>
        <v>0</v>
      </c>
      <c r="T255" s="643">
        <f t="shared" si="38"/>
        <v>0</v>
      </c>
      <c r="U255" s="643">
        <f t="shared" si="38"/>
        <v>0</v>
      </c>
      <c r="V255" s="643">
        <f t="shared" si="38"/>
        <v>0</v>
      </c>
      <c r="W255" s="643">
        <f t="shared" si="38"/>
        <v>0</v>
      </c>
      <c r="X255" s="643">
        <f t="shared" si="38"/>
        <v>0</v>
      </c>
      <c r="Y255" s="643">
        <f t="shared" si="38"/>
        <v>0</v>
      </c>
      <c r="Z255" s="643">
        <f t="shared" si="38"/>
        <v>0</v>
      </c>
      <c r="AA255" s="623"/>
    </row>
    <row r="256" spans="3:28" x14ac:dyDescent="0.2">
      <c r="C256" s="186"/>
      <c r="D256" s="186"/>
      <c r="E256" s="186"/>
      <c r="F256" s="621"/>
      <c r="G256" s="621"/>
      <c r="H256" s="622"/>
      <c r="I256" s="629"/>
      <c r="J256" s="621"/>
      <c r="K256" s="625"/>
      <c r="L256" s="643">
        <f>-$M$168*$J$232*L233*L235</f>
        <v>0</v>
      </c>
      <c r="M256" s="643">
        <f>-$M$168*$J$232*M233*M235</f>
        <v>0</v>
      </c>
      <c r="N256" s="643">
        <f t="shared" ref="N256:Z256" si="39">-$M$167*$J$232*N233*N235</f>
        <v>0</v>
      </c>
      <c r="O256" s="643">
        <f t="shared" si="39"/>
        <v>0</v>
      </c>
      <c r="P256" s="643">
        <f t="shared" si="39"/>
        <v>0</v>
      </c>
      <c r="Q256" s="643">
        <f t="shared" si="39"/>
        <v>0</v>
      </c>
      <c r="R256" s="643">
        <f t="shared" si="39"/>
        <v>0</v>
      </c>
      <c r="S256" s="643">
        <f t="shared" si="39"/>
        <v>0</v>
      </c>
      <c r="T256" s="643">
        <f t="shared" si="39"/>
        <v>0</v>
      </c>
      <c r="U256" s="643">
        <f t="shared" si="39"/>
        <v>0</v>
      </c>
      <c r="V256" s="643">
        <f t="shared" si="39"/>
        <v>0</v>
      </c>
      <c r="W256" s="643">
        <f t="shared" si="39"/>
        <v>0</v>
      </c>
      <c r="X256" s="643">
        <f t="shared" si="39"/>
        <v>0</v>
      </c>
      <c r="Y256" s="643">
        <f t="shared" si="39"/>
        <v>0</v>
      </c>
      <c r="Z256" s="643">
        <f t="shared" si="39"/>
        <v>0</v>
      </c>
      <c r="AA256" s="623"/>
    </row>
    <row r="257" spans="1:27" x14ac:dyDescent="0.2">
      <c r="C257" s="186"/>
      <c r="D257" s="186"/>
      <c r="E257" s="186"/>
      <c r="F257" s="621"/>
      <c r="G257" s="621"/>
      <c r="H257" s="622"/>
      <c r="I257" s="629"/>
      <c r="J257" s="621"/>
      <c r="K257" s="625"/>
      <c r="L257" s="643">
        <f t="shared" ref="L257:Z257" si="40">-$M$169*$J$232*L233*L235</f>
        <v>0</v>
      </c>
      <c r="M257" s="643">
        <f t="shared" si="40"/>
        <v>0</v>
      </c>
      <c r="N257" s="643">
        <f t="shared" si="40"/>
        <v>0</v>
      </c>
      <c r="O257" s="643">
        <f t="shared" si="40"/>
        <v>0</v>
      </c>
      <c r="P257" s="643">
        <f t="shared" si="40"/>
        <v>0</v>
      </c>
      <c r="Q257" s="643">
        <f t="shared" si="40"/>
        <v>0</v>
      </c>
      <c r="R257" s="643">
        <f t="shared" si="40"/>
        <v>0</v>
      </c>
      <c r="S257" s="643">
        <f t="shared" si="40"/>
        <v>0</v>
      </c>
      <c r="T257" s="643">
        <f t="shared" si="40"/>
        <v>0</v>
      </c>
      <c r="U257" s="643">
        <f t="shared" si="40"/>
        <v>0</v>
      </c>
      <c r="V257" s="643">
        <f t="shared" si="40"/>
        <v>0</v>
      </c>
      <c r="W257" s="643">
        <f t="shared" si="40"/>
        <v>0</v>
      </c>
      <c r="X257" s="643">
        <f t="shared" si="40"/>
        <v>0</v>
      </c>
      <c r="Y257" s="643">
        <f t="shared" si="40"/>
        <v>0</v>
      </c>
      <c r="Z257" s="643">
        <f t="shared" si="40"/>
        <v>0</v>
      </c>
      <c r="AA257" s="623"/>
    </row>
    <row r="258" spans="1:27" x14ac:dyDescent="0.2">
      <c r="C258" s="186">
        <v>7</v>
      </c>
      <c r="D258" s="186" t="s">
        <v>184</v>
      </c>
      <c r="E258" s="186"/>
      <c r="F258" s="621"/>
      <c r="G258" s="621"/>
      <c r="H258" s="656" t="s">
        <v>280</v>
      </c>
      <c r="I258" s="629"/>
      <c r="J258" s="621"/>
      <c r="K258" s="625"/>
      <c r="L258" s="643">
        <f>-$M$175*$J$232*L233*L235</f>
        <v>-8364386.25</v>
      </c>
      <c r="M258" s="643">
        <f>-$M$175*$J$232*M233*M235</f>
        <v>-11152515</v>
      </c>
      <c r="N258" s="643">
        <f t="shared" ref="N258:Z258" si="41">-$M$175*$J$232*N233*N235</f>
        <v>-11152515</v>
      </c>
      <c r="O258" s="643">
        <f t="shared" si="41"/>
        <v>-11152515</v>
      </c>
      <c r="P258" s="643">
        <f t="shared" si="41"/>
        <v>-11152515</v>
      </c>
      <c r="Q258" s="643">
        <f t="shared" si="41"/>
        <v>-11152515</v>
      </c>
      <c r="R258" s="643">
        <f t="shared" si="41"/>
        <v>-11152515</v>
      </c>
      <c r="S258" s="643">
        <f t="shared" si="41"/>
        <v>-11152515</v>
      </c>
      <c r="T258" s="643">
        <f t="shared" si="41"/>
        <v>-11152515</v>
      </c>
      <c r="U258" s="643">
        <f t="shared" si="41"/>
        <v>-11152515</v>
      </c>
      <c r="V258" s="643">
        <f t="shared" si="41"/>
        <v>-11152515</v>
      </c>
      <c r="W258" s="643">
        <f t="shared" si="41"/>
        <v>-11152515</v>
      </c>
      <c r="X258" s="643">
        <f t="shared" si="41"/>
        <v>-11152515</v>
      </c>
      <c r="Y258" s="643">
        <f t="shared" si="41"/>
        <v>-11152515</v>
      </c>
      <c r="Z258" s="643">
        <f t="shared" si="41"/>
        <v>-11152515</v>
      </c>
      <c r="AA258" s="623"/>
    </row>
    <row r="259" spans="1:27" x14ac:dyDescent="0.2">
      <c r="C259" s="186"/>
      <c r="D259" s="186"/>
      <c r="E259" s="186"/>
      <c r="F259" s="621"/>
      <c r="G259" s="621"/>
      <c r="H259" s="627" t="s">
        <v>283</v>
      </c>
      <c r="I259" s="629"/>
      <c r="J259" s="640"/>
      <c r="K259" s="645"/>
      <c r="L259" s="646">
        <f t="shared" ref="L259:Z259" si="42">SUM(L252:L258)</f>
        <v>62626276.832806483</v>
      </c>
      <c r="M259" s="647">
        <f t="shared" si="42"/>
        <v>83501702.443741977</v>
      </c>
      <c r="N259" s="647">
        <f t="shared" si="42"/>
        <v>83501702.443741977</v>
      </c>
      <c r="O259" s="647">
        <f t="shared" si="42"/>
        <v>83501702.443741977</v>
      </c>
      <c r="P259" s="647">
        <f t="shared" si="42"/>
        <v>83501702.443741977</v>
      </c>
      <c r="Q259" s="647">
        <f t="shared" si="42"/>
        <v>83501702.443741977</v>
      </c>
      <c r="R259" s="647">
        <f t="shared" si="42"/>
        <v>83501702.443741977</v>
      </c>
      <c r="S259" s="647">
        <f t="shared" si="42"/>
        <v>83501702.443741977</v>
      </c>
      <c r="T259" s="647">
        <f t="shared" si="42"/>
        <v>83501702.443741977</v>
      </c>
      <c r="U259" s="647">
        <f t="shared" si="42"/>
        <v>83501702.443741977</v>
      </c>
      <c r="V259" s="647">
        <f t="shared" si="42"/>
        <v>83501702.443741977</v>
      </c>
      <c r="W259" s="647">
        <f t="shared" si="42"/>
        <v>83501702.443741977</v>
      </c>
      <c r="X259" s="647">
        <f t="shared" si="42"/>
        <v>83501702.443741977</v>
      </c>
      <c r="Y259" s="647">
        <f t="shared" si="42"/>
        <v>83501702.443741977</v>
      </c>
      <c r="Z259" s="648">
        <f t="shared" si="42"/>
        <v>83501702.443741977</v>
      </c>
      <c r="AA259" s="649"/>
    </row>
    <row r="260" spans="1:27" x14ac:dyDescent="0.2">
      <c r="C260" s="186"/>
      <c r="D260" s="186"/>
      <c r="E260" s="186"/>
      <c r="F260" s="621"/>
      <c r="G260" s="621"/>
      <c r="H260" s="627" t="s">
        <v>284</v>
      </c>
      <c r="I260" s="629"/>
      <c r="J260" s="640"/>
      <c r="K260" s="645"/>
      <c r="L260" s="643"/>
      <c r="M260" s="643"/>
      <c r="N260" s="643"/>
      <c r="O260" s="643"/>
      <c r="P260" s="643"/>
      <c r="Q260" s="643"/>
      <c r="R260" s="643"/>
      <c r="S260" s="643"/>
      <c r="T260" s="643"/>
      <c r="U260" s="643"/>
      <c r="V260" s="643"/>
      <c r="W260" s="643"/>
      <c r="X260" s="643"/>
      <c r="Y260" s="643"/>
      <c r="Z260" s="644"/>
      <c r="AA260" s="626"/>
    </row>
    <row r="261" spans="1:27" x14ac:dyDescent="0.2">
      <c r="C261" s="186">
        <v>1</v>
      </c>
      <c r="D261" s="186" t="str">
        <f>H261</f>
        <v>Feedstock</v>
      </c>
      <c r="E261" s="186"/>
      <c r="F261" s="621"/>
      <c r="G261" s="621"/>
      <c r="H261" s="622" t="s">
        <v>285</v>
      </c>
      <c r="I261" s="629"/>
      <c r="J261" s="640"/>
      <c r="K261" s="645"/>
      <c r="L261" s="643">
        <f t="shared" ref="L261:Z261" si="43">-L233*$M$91*$L$235*$J$232</f>
        <v>-9732577.390017556</v>
      </c>
      <c r="M261" s="643">
        <f t="shared" si="43"/>
        <v>-12976769.853356741</v>
      </c>
      <c r="N261" s="643">
        <f t="shared" si="43"/>
        <v>-12976769.853356741</v>
      </c>
      <c r="O261" s="643">
        <f t="shared" si="43"/>
        <v>-12976769.853356741</v>
      </c>
      <c r="P261" s="643">
        <f t="shared" si="43"/>
        <v>-12976769.853356741</v>
      </c>
      <c r="Q261" s="643">
        <f t="shared" si="43"/>
        <v>-12976769.853356741</v>
      </c>
      <c r="R261" s="643">
        <f t="shared" si="43"/>
        <v>-12976769.853356741</v>
      </c>
      <c r="S261" s="643">
        <f t="shared" si="43"/>
        <v>-12976769.853356741</v>
      </c>
      <c r="T261" s="643">
        <f t="shared" si="43"/>
        <v>-12976769.853356741</v>
      </c>
      <c r="U261" s="643">
        <f t="shared" si="43"/>
        <v>-12976769.853356741</v>
      </c>
      <c r="V261" s="643">
        <f t="shared" si="43"/>
        <v>-12976769.853356741</v>
      </c>
      <c r="W261" s="643">
        <f t="shared" si="43"/>
        <v>-12976769.853356741</v>
      </c>
      <c r="X261" s="643">
        <f t="shared" si="43"/>
        <v>-12976769.853356741</v>
      </c>
      <c r="Y261" s="643">
        <f t="shared" si="43"/>
        <v>-12976769.853356741</v>
      </c>
      <c r="Z261" s="643">
        <f t="shared" si="43"/>
        <v>-12976769.853356741</v>
      </c>
      <c r="AA261" s="643"/>
    </row>
    <row r="262" spans="1:27" x14ac:dyDescent="0.2">
      <c r="C262" s="186">
        <v>2</v>
      </c>
      <c r="D262" s="186" t="str">
        <f>H262</f>
        <v>Chemicals</v>
      </c>
      <c r="E262" s="186"/>
      <c r="F262" s="621"/>
      <c r="G262" s="621"/>
      <c r="H262" s="622" t="s">
        <v>86</v>
      </c>
      <c r="I262" s="629"/>
      <c r="J262" s="640"/>
      <c r="K262" s="645"/>
      <c r="L262" s="643">
        <f t="shared" ref="L262:Z262" si="44">-L$233*$M$127*L$235*$J$232</f>
        <v>-22218865.144340705</v>
      </c>
      <c r="M262" s="643">
        <f t="shared" si="44"/>
        <v>-29625153.525787607</v>
      </c>
      <c r="N262" s="643">
        <f t="shared" si="44"/>
        <v>-29625153.525787607</v>
      </c>
      <c r="O262" s="643">
        <f t="shared" si="44"/>
        <v>-29625153.525787607</v>
      </c>
      <c r="P262" s="643">
        <f>-P$233*$M$127*P$235*$J$232</f>
        <v>-29625153.525787607</v>
      </c>
      <c r="Q262" s="643">
        <f t="shared" si="44"/>
        <v>-29625153.525787607</v>
      </c>
      <c r="R262" s="643">
        <f t="shared" si="44"/>
        <v>-29625153.525787607</v>
      </c>
      <c r="S262" s="643">
        <f t="shared" si="44"/>
        <v>-29625153.525787607</v>
      </c>
      <c r="T262" s="643">
        <f t="shared" si="44"/>
        <v>-29625153.525787607</v>
      </c>
      <c r="U262" s="643">
        <f t="shared" si="44"/>
        <v>-29625153.525787607</v>
      </c>
      <c r="V262" s="643">
        <f t="shared" si="44"/>
        <v>-29625153.525787607</v>
      </c>
      <c r="W262" s="643">
        <f t="shared" si="44"/>
        <v>-29625153.525787607</v>
      </c>
      <c r="X262" s="643">
        <f t="shared" si="44"/>
        <v>-29625153.525787607</v>
      </c>
      <c r="Y262" s="643">
        <f t="shared" si="44"/>
        <v>-29625153.525787607</v>
      </c>
      <c r="Z262" s="643">
        <f t="shared" si="44"/>
        <v>-29625153.525787607</v>
      </c>
      <c r="AA262" s="627"/>
    </row>
    <row r="263" spans="1:27" x14ac:dyDescent="0.2">
      <c r="C263" s="186">
        <v>3</v>
      </c>
      <c r="D263" s="186" t="s">
        <v>129</v>
      </c>
      <c r="E263" s="186"/>
      <c r="F263" s="621"/>
      <c r="G263" s="621"/>
      <c r="H263" s="622" t="s">
        <v>139</v>
      </c>
      <c r="I263" s="629"/>
      <c r="J263" s="640"/>
      <c r="K263" s="645"/>
      <c r="L263" s="643">
        <f t="shared" ref="L263:Z263" si="45">-L$233*$M$150*L$235*$J$232</f>
        <v>-2722500</v>
      </c>
      <c r="M263" s="643">
        <f t="shared" si="45"/>
        <v>-3630000</v>
      </c>
      <c r="N263" s="643">
        <f t="shared" si="45"/>
        <v>-3630000</v>
      </c>
      <c r="O263" s="643">
        <f t="shared" si="45"/>
        <v>-3630000</v>
      </c>
      <c r="P263" s="643">
        <f>-P$233*$M$150*P$235*$J$232</f>
        <v>-3630000</v>
      </c>
      <c r="Q263" s="643">
        <f t="shared" si="45"/>
        <v>-3630000</v>
      </c>
      <c r="R263" s="643">
        <f t="shared" si="45"/>
        <v>-3630000</v>
      </c>
      <c r="S263" s="643">
        <f t="shared" si="45"/>
        <v>-3630000</v>
      </c>
      <c r="T263" s="643">
        <f t="shared" si="45"/>
        <v>-3630000</v>
      </c>
      <c r="U263" s="643">
        <f t="shared" si="45"/>
        <v>-3630000</v>
      </c>
      <c r="V263" s="643">
        <f t="shared" si="45"/>
        <v>-3630000</v>
      </c>
      <c r="W263" s="643">
        <f t="shared" si="45"/>
        <v>-3630000</v>
      </c>
      <c r="X263" s="643">
        <f t="shared" si="45"/>
        <v>-3630000</v>
      </c>
      <c r="Y263" s="643">
        <f t="shared" si="45"/>
        <v>-3630000</v>
      </c>
      <c r="Z263" s="643">
        <f t="shared" si="45"/>
        <v>-3630000</v>
      </c>
      <c r="AA263" s="627"/>
    </row>
    <row r="264" spans="1:27" x14ac:dyDescent="0.2">
      <c r="C264" s="186">
        <v>3</v>
      </c>
      <c r="D264" s="186" t="s">
        <v>129</v>
      </c>
      <c r="E264" s="186"/>
      <c r="F264" s="621"/>
      <c r="G264" s="621"/>
      <c r="H264" s="622" t="s">
        <v>286</v>
      </c>
      <c r="I264" s="629"/>
      <c r="J264" s="640"/>
      <c r="K264" s="645"/>
      <c r="L264" s="643">
        <f t="shared" ref="L264:Z264" si="46">-L$233*SUM($M$161,$M$136)*L$235*$J$232</f>
        <v>-3128882.7</v>
      </c>
      <c r="M264" s="643">
        <f t="shared" si="46"/>
        <v>-4171843.6</v>
      </c>
      <c r="N264" s="643">
        <f t="shared" si="46"/>
        <v>-4171843.6</v>
      </c>
      <c r="O264" s="643">
        <f t="shared" si="46"/>
        <v>-4171843.6</v>
      </c>
      <c r="P264" s="643">
        <f>-P$233*SUM($M$161,$M$136)*P$235*$J$232</f>
        <v>-4171843.6</v>
      </c>
      <c r="Q264" s="643">
        <f t="shared" si="46"/>
        <v>-4171843.6</v>
      </c>
      <c r="R264" s="643">
        <f t="shared" si="46"/>
        <v>-4171843.6</v>
      </c>
      <c r="S264" s="643">
        <f t="shared" si="46"/>
        <v>-4171843.6</v>
      </c>
      <c r="T264" s="643">
        <f t="shared" si="46"/>
        <v>-4171843.6</v>
      </c>
      <c r="U264" s="643">
        <f t="shared" si="46"/>
        <v>-4171843.6</v>
      </c>
      <c r="V264" s="643">
        <f t="shared" si="46"/>
        <v>-4171843.6</v>
      </c>
      <c r="W264" s="643">
        <f t="shared" si="46"/>
        <v>-4171843.6</v>
      </c>
      <c r="X264" s="643">
        <f t="shared" si="46"/>
        <v>-4171843.6</v>
      </c>
      <c r="Y264" s="643">
        <f t="shared" si="46"/>
        <v>-4171843.6</v>
      </c>
      <c r="Z264" s="643">
        <f t="shared" si="46"/>
        <v>-4171843.6</v>
      </c>
      <c r="AA264" s="627"/>
    </row>
    <row r="265" spans="1:27" x14ac:dyDescent="0.2">
      <c r="C265" s="186">
        <v>4</v>
      </c>
      <c r="D265" s="186" t="s">
        <v>218</v>
      </c>
      <c r="E265" s="186"/>
      <c r="F265" s="621"/>
      <c r="G265" s="621"/>
      <c r="H265" s="622" t="s">
        <v>218</v>
      </c>
      <c r="I265" s="629"/>
      <c r="J265" s="640"/>
      <c r="K265" s="645"/>
      <c r="L265" s="643">
        <f t="shared" ref="L265:Z265" si="47">-L$233*$M$183*L$235*$J$232</f>
        <v>-7020435.9375</v>
      </c>
      <c r="M265" s="643">
        <f t="shared" si="47"/>
        <v>-9360581.25</v>
      </c>
      <c r="N265" s="643">
        <f t="shared" si="47"/>
        <v>-9360581.25</v>
      </c>
      <c r="O265" s="643">
        <f t="shared" si="47"/>
        <v>-9360581.25</v>
      </c>
      <c r="P265" s="643">
        <f>-P$233*$M$183*P$235*$J$232</f>
        <v>-9360581.25</v>
      </c>
      <c r="Q265" s="643">
        <f t="shared" si="47"/>
        <v>-9360581.25</v>
      </c>
      <c r="R265" s="643">
        <f t="shared" si="47"/>
        <v>-9360581.25</v>
      </c>
      <c r="S265" s="643">
        <f t="shared" si="47"/>
        <v>-9360581.25</v>
      </c>
      <c r="T265" s="643">
        <f t="shared" si="47"/>
        <v>-9360581.25</v>
      </c>
      <c r="U265" s="643">
        <f t="shared" si="47"/>
        <v>-9360581.25</v>
      </c>
      <c r="V265" s="643">
        <f t="shared" si="47"/>
        <v>-9360581.25</v>
      </c>
      <c r="W265" s="643">
        <f t="shared" si="47"/>
        <v>-9360581.25</v>
      </c>
      <c r="X265" s="643">
        <f t="shared" si="47"/>
        <v>-9360581.25</v>
      </c>
      <c r="Y265" s="643">
        <f t="shared" si="47"/>
        <v>-9360581.25</v>
      </c>
      <c r="Z265" s="643">
        <f t="shared" si="47"/>
        <v>-9360581.25</v>
      </c>
      <c r="AA265" s="627"/>
    </row>
    <row r="266" spans="1:27" x14ac:dyDescent="0.2">
      <c r="C266" s="186">
        <v>5</v>
      </c>
      <c r="D266" s="186" t="s">
        <v>287</v>
      </c>
      <c r="E266" s="186"/>
      <c r="F266" s="621"/>
      <c r="G266" s="621"/>
      <c r="H266" s="622" t="s">
        <v>190</v>
      </c>
      <c r="I266" s="629"/>
      <c r="J266" s="640"/>
      <c r="K266" s="645"/>
      <c r="L266" s="643">
        <f>-$M$199*$L$235*$J$232*L233</f>
        <v>-2830500</v>
      </c>
      <c r="M266" s="643">
        <f t="shared" ref="M266:Z266" si="48">-$M$199*$L$235*$J$232*M233</f>
        <v>-3774000</v>
      </c>
      <c r="N266" s="643">
        <f t="shared" si="48"/>
        <v>-3774000</v>
      </c>
      <c r="O266" s="643">
        <f t="shared" si="48"/>
        <v>-3774000</v>
      </c>
      <c r="P266" s="643">
        <f t="shared" si="48"/>
        <v>-3774000</v>
      </c>
      <c r="Q266" s="643">
        <f t="shared" si="48"/>
        <v>-3774000</v>
      </c>
      <c r="R266" s="643">
        <f t="shared" si="48"/>
        <v>-3774000</v>
      </c>
      <c r="S266" s="643">
        <f t="shared" si="48"/>
        <v>-3774000</v>
      </c>
      <c r="T266" s="643">
        <f t="shared" si="48"/>
        <v>-3774000</v>
      </c>
      <c r="U266" s="643">
        <f t="shared" si="48"/>
        <v>-3774000</v>
      </c>
      <c r="V266" s="643">
        <f t="shared" si="48"/>
        <v>-3774000</v>
      </c>
      <c r="W266" s="643">
        <f t="shared" si="48"/>
        <v>-3774000</v>
      </c>
      <c r="X266" s="643">
        <f t="shared" si="48"/>
        <v>-3774000</v>
      </c>
      <c r="Y266" s="643">
        <f t="shared" si="48"/>
        <v>-3774000</v>
      </c>
      <c r="Z266" s="643">
        <f t="shared" si="48"/>
        <v>-3774000</v>
      </c>
      <c r="AA266" s="627"/>
    </row>
    <row r="267" spans="1:27" x14ac:dyDescent="0.2">
      <c r="C267" s="186">
        <v>6</v>
      </c>
      <c r="D267" s="186" t="s">
        <v>448</v>
      </c>
      <c r="E267" s="186"/>
      <c r="F267" s="621"/>
      <c r="G267" s="621"/>
      <c r="H267" s="622" t="s">
        <v>288</v>
      </c>
      <c r="I267" s="629"/>
      <c r="J267" s="640"/>
      <c r="K267" s="645"/>
      <c r="L267" s="643">
        <f>-L$233*$M209*L$235*$J$232</f>
        <v>-1655474.53125</v>
      </c>
      <c r="M267" s="643">
        <f t="shared" ref="M267:Z267" si="49">-M$233*$M209*M$235*$J$232</f>
        <v>-2207299.375</v>
      </c>
      <c r="N267" s="643">
        <f t="shared" si="49"/>
        <v>-2207299.375</v>
      </c>
      <c r="O267" s="643">
        <f t="shared" si="49"/>
        <v>-2207299.375</v>
      </c>
      <c r="P267" s="643">
        <f t="shared" si="49"/>
        <v>-2207299.375</v>
      </c>
      <c r="Q267" s="643">
        <f t="shared" si="49"/>
        <v>-2207299.375</v>
      </c>
      <c r="R267" s="643">
        <f t="shared" si="49"/>
        <v>-2207299.375</v>
      </c>
      <c r="S267" s="643">
        <f t="shared" si="49"/>
        <v>-2207299.375</v>
      </c>
      <c r="T267" s="643">
        <f t="shared" si="49"/>
        <v>-2207299.375</v>
      </c>
      <c r="U267" s="643">
        <f t="shared" si="49"/>
        <v>-2207299.375</v>
      </c>
      <c r="V267" s="643">
        <f t="shared" si="49"/>
        <v>-2207299.375</v>
      </c>
      <c r="W267" s="643">
        <f t="shared" si="49"/>
        <v>-2207299.375</v>
      </c>
      <c r="X267" s="643">
        <f t="shared" si="49"/>
        <v>-2207299.375</v>
      </c>
      <c r="Y267" s="643">
        <f t="shared" si="49"/>
        <v>-2207299.375</v>
      </c>
      <c r="Z267" s="643">
        <f t="shared" si="49"/>
        <v>-2207299.375</v>
      </c>
      <c r="AA267" s="627"/>
    </row>
    <row r="268" spans="1:27" x14ac:dyDescent="0.2">
      <c r="A268" s="617" t="s">
        <v>715</v>
      </c>
      <c r="B268" s="617" t="s">
        <v>692</v>
      </c>
      <c r="C268" s="186">
        <v>4</v>
      </c>
      <c r="D268" s="186" t="s">
        <v>218</v>
      </c>
      <c r="E268" s="186"/>
      <c r="F268" s="621"/>
      <c r="G268" s="621"/>
      <c r="H268" s="622" t="s">
        <v>275</v>
      </c>
      <c r="I268" s="629"/>
      <c r="J268" s="640"/>
      <c r="K268" s="645"/>
      <c r="L268" s="643">
        <f>-L288*10^6</f>
        <v>-2917131.25</v>
      </c>
      <c r="M268" s="643">
        <f t="shared" ref="M268:Z268" si="50">-M288*10^6</f>
        <v>-2917131.25</v>
      </c>
      <c r="N268" s="643">
        <f t="shared" si="50"/>
        <v>-2917131.25</v>
      </c>
      <c r="O268" s="643">
        <f t="shared" si="50"/>
        <v>-2917131.25</v>
      </c>
      <c r="P268" s="643">
        <f t="shared" si="50"/>
        <v>-2917131.25</v>
      </c>
      <c r="Q268" s="643">
        <f t="shared" si="50"/>
        <v>-2917131.25</v>
      </c>
      <c r="R268" s="643">
        <f t="shared" si="50"/>
        <v>-2917131.25</v>
      </c>
      <c r="S268" s="643">
        <f t="shared" si="50"/>
        <v>-2917131.25</v>
      </c>
      <c r="T268" s="643">
        <f t="shared" si="50"/>
        <v>-2917131.25</v>
      </c>
      <c r="U268" s="643">
        <f t="shared" si="50"/>
        <v>-2917131.25</v>
      </c>
      <c r="V268" s="643">
        <f t="shared" si="50"/>
        <v>-2917131.25</v>
      </c>
      <c r="W268" s="643">
        <f t="shared" si="50"/>
        <v>-2917131.25</v>
      </c>
      <c r="X268" s="643">
        <f t="shared" si="50"/>
        <v>-2917131.25</v>
      </c>
      <c r="Y268" s="643">
        <f t="shared" si="50"/>
        <v>-2917131.25</v>
      </c>
      <c r="Z268" s="643">
        <f t="shared" si="50"/>
        <v>-2917131.25</v>
      </c>
      <c r="AA268" s="627"/>
    </row>
    <row r="269" spans="1:27" x14ac:dyDescent="0.2">
      <c r="C269" s="186"/>
      <c r="D269" s="186"/>
      <c r="E269" s="186"/>
      <c r="F269" s="621"/>
      <c r="G269" s="621"/>
      <c r="H269" s="622"/>
      <c r="I269" s="629"/>
      <c r="J269" s="640"/>
      <c r="K269" s="645"/>
      <c r="L269" s="643"/>
      <c r="M269" s="643"/>
      <c r="N269" s="643"/>
      <c r="O269" s="643"/>
      <c r="P269" s="643"/>
      <c r="Q269" s="643"/>
      <c r="R269" s="643"/>
      <c r="S269" s="643"/>
      <c r="T269" s="643"/>
      <c r="U269" s="643"/>
      <c r="V269" s="643"/>
      <c r="W269" s="643"/>
      <c r="X269" s="643"/>
      <c r="Y269" s="643"/>
      <c r="Z269" s="644"/>
      <c r="AA269" s="627"/>
    </row>
    <row r="270" spans="1:27" x14ac:dyDescent="0.2">
      <c r="C270" s="186"/>
      <c r="D270" s="186"/>
      <c r="E270" s="186"/>
      <c r="F270" s="621"/>
      <c r="G270" s="621"/>
      <c r="H270" s="656" t="s">
        <v>247</v>
      </c>
      <c r="I270" s="629"/>
      <c r="J270" s="640"/>
      <c r="K270" s="645"/>
      <c r="L270" s="626"/>
      <c r="M270" s="627"/>
      <c r="N270" s="637"/>
      <c r="O270" s="637"/>
      <c r="P270" s="637"/>
      <c r="Q270" s="637"/>
      <c r="R270" s="637"/>
      <c r="S270" s="637"/>
      <c r="T270" s="637"/>
      <c r="U270" s="637"/>
      <c r="V270" s="637"/>
      <c r="W270" s="637"/>
      <c r="X270" s="637"/>
      <c r="Y270" s="637"/>
      <c r="Z270" s="664"/>
      <c r="AA270" s="627"/>
    </row>
    <row r="271" spans="1:27" x14ac:dyDescent="0.2">
      <c r="C271" s="186"/>
      <c r="D271" s="186"/>
      <c r="E271" s="186"/>
      <c r="F271" s="621"/>
      <c r="G271" s="621"/>
      <c r="H271" s="627" t="s">
        <v>290</v>
      </c>
      <c r="I271" s="629"/>
      <c r="J271" s="640"/>
      <c r="K271" s="645"/>
      <c r="L271" s="650">
        <f t="shared" ref="L271:Z271" si="51">SUM(L259:L270)</f>
        <v>10399909.879698224</v>
      </c>
      <c r="M271" s="650">
        <f t="shared" si="51"/>
        <v>14838923.58959762</v>
      </c>
      <c r="N271" s="650">
        <f t="shared" si="51"/>
        <v>14838923.58959762</v>
      </c>
      <c r="O271" s="650">
        <f t="shared" si="51"/>
        <v>14838923.58959762</v>
      </c>
      <c r="P271" s="650">
        <f t="shared" si="51"/>
        <v>14838923.58959762</v>
      </c>
      <c r="Q271" s="650">
        <f t="shared" si="51"/>
        <v>14838923.58959762</v>
      </c>
      <c r="R271" s="650">
        <f t="shared" si="51"/>
        <v>14838923.58959762</v>
      </c>
      <c r="S271" s="650">
        <f t="shared" si="51"/>
        <v>14838923.58959762</v>
      </c>
      <c r="T271" s="650">
        <f t="shared" si="51"/>
        <v>14838923.58959762</v>
      </c>
      <c r="U271" s="650">
        <f t="shared" si="51"/>
        <v>14838923.58959762</v>
      </c>
      <c r="V271" s="650">
        <f t="shared" si="51"/>
        <v>14838923.58959762</v>
      </c>
      <c r="W271" s="650">
        <f t="shared" si="51"/>
        <v>14838923.58959762</v>
      </c>
      <c r="X271" s="650">
        <f t="shared" si="51"/>
        <v>14838923.58959762</v>
      </c>
      <c r="Y271" s="650">
        <f t="shared" si="51"/>
        <v>14838923.58959762</v>
      </c>
      <c r="Z271" s="650">
        <f t="shared" si="51"/>
        <v>14838923.58959762</v>
      </c>
      <c r="AA271" s="627"/>
    </row>
    <row r="272" spans="1:27" x14ac:dyDescent="0.2">
      <c r="C272" s="186"/>
      <c r="D272" s="186"/>
      <c r="E272" s="186"/>
      <c r="F272" s="621"/>
      <c r="G272" s="621"/>
      <c r="H272" s="619"/>
      <c r="I272" s="629"/>
      <c r="J272" s="621"/>
      <c r="K272" s="625"/>
      <c r="L272" s="630"/>
      <c r="M272" s="619"/>
      <c r="N272" s="624"/>
      <c r="O272" s="624"/>
      <c r="P272" s="624"/>
      <c r="Q272" s="624"/>
      <c r="R272" s="624"/>
      <c r="S272" s="624"/>
      <c r="T272" s="624"/>
      <c r="U272" s="624"/>
      <c r="V272" s="624"/>
      <c r="W272" s="624"/>
      <c r="X272" s="624"/>
      <c r="Y272" s="624"/>
      <c r="Z272" s="663"/>
    </row>
    <row r="273" spans="3:27" x14ac:dyDescent="0.2">
      <c r="F273" s="621"/>
      <c r="G273" s="318">
        <v>14</v>
      </c>
      <c r="H273" s="317" t="s">
        <v>291</v>
      </c>
      <c r="I273" s="316" t="s">
        <v>21</v>
      </c>
      <c r="J273" s="315" t="s">
        <v>249</v>
      </c>
      <c r="K273" s="638" t="s">
        <v>250</v>
      </c>
      <c r="L273" s="620" t="s">
        <v>251</v>
      </c>
      <c r="M273" s="620" t="s">
        <v>252</v>
      </c>
      <c r="N273" s="665" t="s">
        <v>253</v>
      </c>
      <c r="O273" s="665" t="s">
        <v>254</v>
      </c>
      <c r="P273" s="665" t="s">
        <v>255</v>
      </c>
      <c r="Q273" s="665" t="s">
        <v>256</v>
      </c>
      <c r="R273" s="665" t="s">
        <v>257</v>
      </c>
      <c r="S273" s="665" t="s">
        <v>258</v>
      </c>
      <c r="T273" s="665" t="s">
        <v>259</v>
      </c>
      <c r="U273" s="665" t="s">
        <v>260</v>
      </c>
      <c r="V273" s="665" t="s">
        <v>261</v>
      </c>
      <c r="W273" s="665" t="s">
        <v>262</v>
      </c>
      <c r="X273" s="665" t="s">
        <v>263</v>
      </c>
      <c r="Y273" s="665" t="s">
        <v>264</v>
      </c>
      <c r="Z273" s="662" t="s">
        <v>265</v>
      </c>
    </row>
    <row r="274" spans="3:27" x14ac:dyDescent="0.2">
      <c r="E274" s="617" t="s">
        <v>484</v>
      </c>
      <c r="F274" s="619"/>
      <c r="G274" s="621"/>
      <c r="H274" s="656" t="s">
        <v>826</v>
      </c>
      <c r="I274" s="310">
        <v>18.5</v>
      </c>
      <c r="J274" s="651">
        <f t="shared" ref="J274:K282" si="52">J$239*$I274*$J$235*$J$238*(($J$15/$J$236)^$J$237)</f>
        <v>7.4</v>
      </c>
      <c r="K274" s="652">
        <f t="shared" si="52"/>
        <v>11.1</v>
      </c>
      <c r="L274" s="630"/>
      <c r="M274" s="619"/>
      <c r="N274" s="624"/>
      <c r="O274" s="624"/>
      <c r="P274" s="624"/>
      <c r="Q274" s="624"/>
      <c r="R274" s="624"/>
      <c r="S274" s="624"/>
      <c r="T274" s="624"/>
      <c r="U274" s="624"/>
      <c r="V274" s="624"/>
      <c r="W274" s="624"/>
      <c r="X274" s="624"/>
      <c r="Y274" s="624"/>
      <c r="Z274" s="663"/>
    </row>
    <row r="275" spans="3:27" x14ac:dyDescent="0.2">
      <c r="E275" s="617">
        <v>0</v>
      </c>
      <c r="F275" s="619"/>
      <c r="G275" s="621"/>
      <c r="H275" s="656" t="s">
        <v>628</v>
      </c>
      <c r="I275" s="310">
        <v>25</v>
      </c>
      <c r="J275" s="651">
        <f t="shared" si="52"/>
        <v>10</v>
      </c>
      <c r="K275" s="652">
        <f t="shared" si="52"/>
        <v>15</v>
      </c>
      <c r="L275" s="630"/>
      <c r="M275" s="619"/>
      <c r="N275" s="624"/>
      <c r="O275" s="624"/>
      <c r="P275" s="624"/>
      <c r="Q275" s="624"/>
      <c r="R275" s="624"/>
      <c r="S275" s="624"/>
      <c r="T275" s="624"/>
      <c r="U275" s="624"/>
      <c r="V275" s="624"/>
      <c r="W275" s="624"/>
      <c r="X275" s="624"/>
      <c r="Y275" s="624"/>
      <c r="Z275" s="663"/>
    </row>
    <row r="276" spans="3:27" x14ac:dyDescent="0.2">
      <c r="E276" s="617">
        <v>1</v>
      </c>
      <c r="F276" s="619"/>
      <c r="G276" s="621"/>
      <c r="H276" s="656" t="s">
        <v>629</v>
      </c>
      <c r="I276" s="310">
        <v>25</v>
      </c>
      <c r="J276" s="651">
        <f t="shared" si="52"/>
        <v>10</v>
      </c>
      <c r="K276" s="652">
        <f t="shared" si="52"/>
        <v>15</v>
      </c>
      <c r="L276" s="630"/>
      <c r="M276" s="619"/>
      <c r="N276" s="624"/>
      <c r="O276" s="624"/>
      <c r="P276" s="624"/>
      <c r="Q276" s="624"/>
      <c r="R276" s="624"/>
      <c r="S276" s="624"/>
      <c r="T276" s="624"/>
      <c r="U276" s="624"/>
      <c r="V276" s="624"/>
      <c r="W276" s="624"/>
      <c r="X276" s="624"/>
      <c r="Y276" s="624"/>
      <c r="Z276" s="663"/>
    </row>
    <row r="277" spans="3:27" x14ac:dyDescent="0.2">
      <c r="E277" s="617">
        <v>1</v>
      </c>
      <c r="F277" s="619"/>
      <c r="G277" s="621"/>
      <c r="H277" s="656" t="s">
        <v>630</v>
      </c>
      <c r="I277" s="310">
        <v>40</v>
      </c>
      <c r="J277" s="651">
        <f t="shared" si="52"/>
        <v>16</v>
      </c>
      <c r="K277" s="652">
        <f t="shared" si="52"/>
        <v>24</v>
      </c>
      <c r="L277" s="630"/>
      <c r="M277" s="619"/>
      <c r="N277" s="624"/>
      <c r="O277" s="624"/>
      <c r="P277" s="624"/>
      <c r="Q277" s="624"/>
      <c r="R277" s="624"/>
      <c r="S277" s="624"/>
      <c r="T277" s="624"/>
      <c r="U277" s="624"/>
      <c r="V277" s="624"/>
      <c r="W277" s="624"/>
      <c r="X277" s="624"/>
      <c r="Y277" s="624"/>
      <c r="Z277" s="663"/>
    </row>
    <row r="278" spans="3:27" x14ac:dyDescent="0.2">
      <c r="E278" s="617">
        <v>1</v>
      </c>
      <c r="F278" s="619"/>
      <c r="G278" s="621"/>
      <c r="H278" s="622" t="s">
        <v>294</v>
      </c>
      <c r="I278" s="310">
        <v>23</v>
      </c>
      <c r="J278" s="651">
        <f t="shared" si="52"/>
        <v>9.2000000000000011</v>
      </c>
      <c r="K278" s="652">
        <f t="shared" si="52"/>
        <v>13.799999999999999</v>
      </c>
      <c r="L278" s="630"/>
      <c r="M278" s="619"/>
      <c r="N278" s="624"/>
      <c r="O278" s="624"/>
      <c r="P278" s="624"/>
      <c r="Q278" s="624"/>
      <c r="R278" s="624"/>
      <c r="S278" s="624"/>
      <c r="T278" s="624"/>
      <c r="U278" s="624"/>
      <c r="V278" s="624"/>
      <c r="W278" s="624"/>
      <c r="X278" s="624"/>
      <c r="Y278" s="624"/>
      <c r="Z278" s="663"/>
    </row>
    <row r="279" spans="3:27" x14ac:dyDescent="0.2">
      <c r="E279" s="617">
        <v>1</v>
      </c>
      <c r="F279" s="619"/>
      <c r="G279" s="621"/>
      <c r="H279" s="622" t="s">
        <v>295</v>
      </c>
      <c r="I279" s="310">
        <v>5</v>
      </c>
      <c r="J279" s="651">
        <f t="shared" si="52"/>
        <v>2</v>
      </c>
      <c r="K279" s="652">
        <f t="shared" si="52"/>
        <v>3</v>
      </c>
      <c r="L279" s="630"/>
      <c r="M279" s="619"/>
      <c r="N279" s="624"/>
      <c r="O279" s="624"/>
      <c r="P279" s="624"/>
      <c r="Q279" s="624"/>
      <c r="R279" s="624"/>
      <c r="S279" s="624"/>
      <c r="T279" s="624"/>
      <c r="U279" s="624"/>
      <c r="V279" s="624"/>
      <c r="W279" s="624"/>
      <c r="X279" s="624"/>
      <c r="Y279" s="624"/>
      <c r="Z279" s="663"/>
    </row>
    <row r="280" spans="3:27" x14ac:dyDescent="0.2">
      <c r="E280" s="617">
        <v>1</v>
      </c>
      <c r="F280" s="619"/>
      <c r="G280" s="621"/>
      <c r="H280" s="622" t="s">
        <v>167</v>
      </c>
      <c r="I280" s="310">
        <v>13</v>
      </c>
      <c r="J280" s="651">
        <f t="shared" si="52"/>
        <v>5.2</v>
      </c>
      <c r="K280" s="652">
        <f t="shared" si="52"/>
        <v>7.8</v>
      </c>
      <c r="L280" s="630"/>
      <c r="M280" s="619"/>
      <c r="N280" s="624"/>
      <c r="O280" s="624"/>
      <c r="P280" s="624"/>
      <c r="Q280" s="624"/>
      <c r="R280" s="624"/>
      <c r="S280" s="624"/>
      <c r="T280" s="624"/>
      <c r="U280" s="624"/>
      <c r="V280" s="624"/>
      <c r="W280" s="624"/>
      <c r="X280" s="624"/>
      <c r="Y280" s="624"/>
      <c r="Z280" s="663"/>
    </row>
    <row r="281" spans="3:27" x14ac:dyDescent="0.2">
      <c r="E281" s="617">
        <v>1</v>
      </c>
      <c r="F281" s="619"/>
      <c r="G281" s="621"/>
      <c r="H281" s="622" t="s">
        <v>461</v>
      </c>
      <c r="I281" s="310">
        <v>40</v>
      </c>
      <c r="J281" s="651">
        <f t="shared" si="52"/>
        <v>16</v>
      </c>
      <c r="K281" s="652">
        <f t="shared" si="52"/>
        <v>24</v>
      </c>
      <c r="L281" s="630"/>
      <c r="M281" s="619"/>
      <c r="N281" s="624"/>
      <c r="O281" s="624"/>
      <c r="P281" s="624"/>
      <c r="Q281" s="624"/>
      <c r="R281" s="624"/>
      <c r="S281" s="624"/>
      <c r="T281" s="624"/>
      <c r="U281" s="624"/>
      <c r="V281" s="624"/>
      <c r="W281" s="624"/>
      <c r="X281" s="624"/>
      <c r="Y281" s="624"/>
      <c r="Z281" s="663"/>
    </row>
    <row r="282" spans="3:27" x14ac:dyDescent="0.2">
      <c r="E282" s="617">
        <v>1</v>
      </c>
      <c r="F282" s="619"/>
      <c r="G282" s="621"/>
      <c r="H282" s="622" t="s">
        <v>462</v>
      </c>
      <c r="I282" s="310">
        <v>5</v>
      </c>
      <c r="J282" s="651">
        <f t="shared" si="52"/>
        <v>2</v>
      </c>
      <c r="K282" s="652">
        <f t="shared" si="52"/>
        <v>3</v>
      </c>
      <c r="L282" s="630"/>
      <c r="M282" s="619"/>
      <c r="N282" s="624"/>
      <c r="O282" s="624"/>
      <c r="P282" s="624"/>
      <c r="Q282" s="624"/>
      <c r="R282" s="624"/>
      <c r="S282" s="624"/>
      <c r="T282" s="624"/>
      <c r="U282" s="624"/>
      <c r="V282" s="624"/>
      <c r="W282" s="624"/>
      <c r="X282" s="624"/>
      <c r="Y282" s="624"/>
      <c r="Z282" s="663"/>
    </row>
    <row r="283" spans="3:27" x14ac:dyDescent="0.2">
      <c r="E283" s="617">
        <v>1</v>
      </c>
      <c r="F283" s="619"/>
      <c r="G283" s="621"/>
      <c r="H283" s="622" t="s">
        <v>298</v>
      </c>
      <c r="I283" s="312">
        <v>0.125</v>
      </c>
      <c r="J283" s="651">
        <f>SUM(J274:J282)*$I283</f>
        <v>9.7250000000000014</v>
      </c>
      <c r="K283" s="652">
        <f>SUM(K274:K282)*$I283</f>
        <v>14.587499999999999</v>
      </c>
      <c r="L283" s="622" t="s">
        <v>367</v>
      </c>
      <c r="N283" s="624"/>
      <c r="O283" s="624"/>
      <c r="P283" s="624"/>
      <c r="Q283" s="624"/>
      <c r="R283" s="624"/>
      <c r="S283" s="624"/>
      <c r="T283" s="624"/>
      <c r="U283" s="624"/>
      <c r="V283" s="624"/>
      <c r="W283" s="624"/>
      <c r="X283" s="624"/>
      <c r="Y283" s="624"/>
      <c r="Z283" s="663"/>
    </row>
    <row r="284" spans="3:27" x14ac:dyDescent="0.2">
      <c r="F284" s="619"/>
      <c r="G284" s="621"/>
      <c r="H284" s="622" t="s">
        <v>368</v>
      </c>
      <c r="I284" s="312">
        <v>0.1</v>
      </c>
      <c r="J284" s="651">
        <f>SUM(J274:J283)*$I284</f>
        <v>8.7525000000000013</v>
      </c>
      <c r="K284" s="652">
        <f>SUM(K274:K283)*$I284</f>
        <v>13.12875</v>
      </c>
      <c r="L284" s="636" t="s">
        <v>369</v>
      </c>
      <c r="M284" s="622"/>
      <c r="N284" s="624"/>
      <c r="O284" s="624"/>
      <c r="P284" s="624"/>
      <c r="Q284" s="624"/>
      <c r="R284" s="624"/>
      <c r="S284" s="624"/>
      <c r="T284" s="624"/>
      <c r="U284" s="624"/>
      <c r="V284" s="624"/>
      <c r="W284" s="624"/>
      <c r="X284" s="624"/>
      <c r="Y284" s="624"/>
      <c r="Z284" s="663"/>
    </row>
    <row r="285" spans="3:27" x14ac:dyDescent="0.2">
      <c r="F285" s="619"/>
      <c r="G285" s="621"/>
      <c r="H285" s="622" t="s">
        <v>370</v>
      </c>
      <c r="I285" s="310">
        <v>7.5</v>
      </c>
      <c r="J285" s="651">
        <f>I285</f>
        <v>7.5</v>
      </c>
      <c r="K285" s="652"/>
      <c r="L285" s="635" t="s">
        <v>371</v>
      </c>
      <c r="M285" s="619"/>
      <c r="N285" s="624"/>
      <c r="O285" s="624"/>
      <c r="P285" s="624"/>
      <c r="Q285" s="624"/>
      <c r="R285" s="624"/>
      <c r="S285" s="624"/>
      <c r="T285" s="624"/>
      <c r="U285" s="624"/>
      <c r="V285" s="624"/>
      <c r="W285" s="624"/>
      <c r="X285" s="624"/>
      <c r="Y285" s="624"/>
      <c r="Z285" s="663"/>
    </row>
    <row r="286" spans="3:27" x14ac:dyDescent="0.2">
      <c r="F286" s="619"/>
      <c r="G286" s="621"/>
      <c r="H286" s="622" t="s">
        <v>372</v>
      </c>
      <c r="I286" s="310">
        <v>17</v>
      </c>
      <c r="J286" s="651">
        <f>J$239*$I286*$J$235*$J$238</f>
        <v>6.8000000000000007</v>
      </c>
      <c r="K286" s="652">
        <f>K$239*$I286*$J$235*$J$238</f>
        <v>10.199999999999999</v>
      </c>
      <c r="L286" s="630"/>
      <c r="M286" s="619"/>
      <c r="N286" s="624"/>
      <c r="O286" s="624"/>
      <c r="P286" s="624"/>
      <c r="Q286" s="624"/>
      <c r="R286" s="624"/>
      <c r="S286" s="624"/>
      <c r="T286" s="624"/>
      <c r="U286" s="624"/>
      <c r="V286" s="624"/>
      <c r="W286" s="624"/>
      <c r="X286" s="624"/>
      <c r="Y286" s="624"/>
      <c r="Z286" s="663"/>
    </row>
    <row r="287" spans="3:27" x14ac:dyDescent="0.2">
      <c r="F287" s="619"/>
      <c r="G287" s="621"/>
      <c r="H287" s="622" t="s">
        <v>299</v>
      </c>
      <c r="I287" s="309">
        <v>0.1</v>
      </c>
      <c r="J287" s="651">
        <f>SUM(J274:J286)*$I287</f>
        <v>11.05775</v>
      </c>
      <c r="K287" s="652">
        <f>SUM(K274:K286)*$I287</f>
        <v>15.461624999999998</v>
      </c>
      <c r="L287" s="630"/>
      <c r="M287" s="619"/>
      <c r="N287" s="624"/>
      <c r="O287" s="624"/>
      <c r="P287" s="624"/>
      <c r="Q287" s="624"/>
      <c r="R287" s="624"/>
      <c r="S287" s="624"/>
      <c r="T287" s="624"/>
      <c r="U287" s="624"/>
      <c r="V287" s="624"/>
      <c r="W287" s="624"/>
      <c r="X287" s="624"/>
      <c r="Y287" s="624"/>
      <c r="Z287" s="663"/>
    </row>
    <row r="288" spans="3:27" x14ac:dyDescent="0.2">
      <c r="C288" s="186">
        <v>4</v>
      </c>
      <c r="D288" s="186" t="s">
        <v>218</v>
      </c>
      <c r="F288" s="619"/>
      <c r="G288" s="621"/>
      <c r="H288" s="656" t="s">
        <v>275</v>
      </c>
      <c r="I288" s="294" t="s">
        <v>300</v>
      </c>
      <c r="J288" s="657"/>
      <c r="K288" s="658"/>
      <c r="L288" s="653">
        <f>L235*L240*SUM($J$289:$K$289)</f>
        <v>2.9171312500000002</v>
      </c>
      <c r="M288" s="653">
        <f t="shared" ref="M288:Z288" si="53">M235*M240*SUM($J$289:$K$289)</f>
        <v>2.9171312500000002</v>
      </c>
      <c r="N288" s="623">
        <f t="shared" si="53"/>
        <v>2.9171312500000002</v>
      </c>
      <c r="O288" s="623">
        <f t="shared" si="53"/>
        <v>2.9171312500000002</v>
      </c>
      <c r="P288" s="623">
        <f t="shared" si="53"/>
        <v>2.9171312500000002</v>
      </c>
      <c r="Q288" s="623">
        <f t="shared" si="53"/>
        <v>2.9171312500000002</v>
      </c>
      <c r="R288" s="623">
        <f t="shared" si="53"/>
        <v>2.9171312500000002</v>
      </c>
      <c r="S288" s="623">
        <f t="shared" si="53"/>
        <v>2.9171312500000002</v>
      </c>
      <c r="T288" s="623">
        <f t="shared" si="53"/>
        <v>2.9171312500000002</v>
      </c>
      <c r="U288" s="623">
        <f t="shared" si="53"/>
        <v>2.9171312500000002</v>
      </c>
      <c r="V288" s="623">
        <f t="shared" si="53"/>
        <v>2.9171312500000002</v>
      </c>
      <c r="W288" s="623">
        <f t="shared" si="53"/>
        <v>2.9171312500000002</v>
      </c>
      <c r="X288" s="623">
        <f t="shared" si="53"/>
        <v>2.9171312500000002</v>
      </c>
      <c r="Y288" s="623">
        <f t="shared" si="53"/>
        <v>2.9171312500000002</v>
      </c>
      <c r="Z288" s="408">
        <f t="shared" si="53"/>
        <v>2.9171312500000002</v>
      </c>
      <c r="AA288" s="653">
        <f>AA235*AA240*SUM($J$253:Z289)</f>
        <v>0</v>
      </c>
    </row>
    <row r="289" spans="3:28" x14ac:dyDescent="0.2">
      <c r="C289" s="186"/>
      <c r="D289" s="186"/>
      <c r="F289" s="619"/>
      <c r="G289" s="621"/>
      <c r="H289" s="627" t="s">
        <v>301</v>
      </c>
      <c r="I289" s="629"/>
      <c r="J289" s="654">
        <f t="shared" ref="J289:Z289" si="54">SUM(J274:J288)</f>
        <v>121.63525</v>
      </c>
      <c r="K289" s="303">
        <f t="shared" si="54"/>
        <v>170.07787499999998</v>
      </c>
      <c r="L289" s="654">
        <f t="shared" si="54"/>
        <v>2.9171312500000002</v>
      </c>
      <c r="M289" s="654">
        <f t="shared" si="54"/>
        <v>2.9171312500000002</v>
      </c>
      <c r="N289" s="362">
        <f t="shared" si="54"/>
        <v>2.9171312500000002</v>
      </c>
      <c r="O289" s="362">
        <f t="shared" si="54"/>
        <v>2.9171312500000002</v>
      </c>
      <c r="P289" s="362">
        <f t="shared" si="54"/>
        <v>2.9171312500000002</v>
      </c>
      <c r="Q289" s="362">
        <f t="shared" si="54"/>
        <v>2.9171312500000002</v>
      </c>
      <c r="R289" s="362">
        <f t="shared" si="54"/>
        <v>2.9171312500000002</v>
      </c>
      <c r="S289" s="362">
        <f t="shared" si="54"/>
        <v>2.9171312500000002</v>
      </c>
      <c r="T289" s="362">
        <f t="shared" si="54"/>
        <v>2.9171312500000002</v>
      </c>
      <c r="U289" s="362">
        <f t="shared" si="54"/>
        <v>2.9171312500000002</v>
      </c>
      <c r="V289" s="362">
        <f t="shared" si="54"/>
        <v>2.9171312500000002</v>
      </c>
      <c r="W289" s="362">
        <f t="shared" si="54"/>
        <v>2.9171312500000002</v>
      </c>
      <c r="X289" s="362">
        <f t="shared" si="54"/>
        <v>2.9171312500000002</v>
      </c>
      <c r="Y289" s="362">
        <f t="shared" si="54"/>
        <v>2.9171312500000002</v>
      </c>
      <c r="Z289" s="407">
        <f t="shared" si="54"/>
        <v>2.9171312500000002</v>
      </c>
    </row>
    <row r="290" spans="3:28" x14ac:dyDescent="0.2">
      <c r="F290" s="619"/>
      <c r="G290" s="621"/>
      <c r="H290" s="619"/>
      <c r="I290" s="629"/>
      <c r="J290" s="621"/>
      <c r="K290" s="625"/>
      <c r="L290" s="630"/>
      <c r="M290" s="619"/>
      <c r="N290" s="624"/>
      <c r="O290" s="624"/>
      <c r="P290" s="624"/>
      <c r="Q290" s="624"/>
      <c r="R290" s="624"/>
      <c r="S290" s="624"/>
      <c r="T290" s="624"/>
      <c r="U290" s="624"/>
      <c r="V290" s="624"/>
      <c r="W290" s="624"/>
      <c r="X290" s="624"/>
      <c r="Y290" s="624"/>
      <c r="Z290" s="663"/>
    </row>
    <row r="291" spans="3:28" x14ac:dyDescent="0.2">
      <c r="F291" s="619"/>
      <c r="G291" s="264"/>
      <c r="H291" s="263"/>
      <c r="I291" s="266"/>
      <c r="J291" s="264"/>
      <c r="K291" s="262"/>
      <c r="L291" s="265"/>
      <c r="M291" s="263"/>
      <c r="N291" s="398"/>
      <c r="O291" s="398"/>
      <c r="P291" s="398"/>
      <c r="Q291" s="398"/>
      <c r="R291" s="398"/>
      <c r="S291" s="398"/>
      <c r="T291" s="398"/>
      <c r="U291" s="398"/>
      <c r="V291" s="398"/>
      <c r="W291" s="398"/>
      <c r="X291" s="398"/>
      <c r="Y291" s="398"/>
      <c r="Z291" s="397"/>
    </row>
    <row r="292" spans="3:28" x14ac:dyDescent="0.2">
      <c r="F292" s="619"/>
      <c r="G292" s="619"/>
      <c r="K292" s="619"/>
      <c r="L292" s="630"/>
      <c r="M292" s="619"/>
      <c r="N292" s="624"/>
      <c r="O292" s="624"/>
      <c r="P292" s="624"/>
      <c r="Q292" s="624"/>
      <c r="R292" s="624"/>
      <c r="S292" s="624"/>
      <c r="T292" s="624"/>
    </row>
    <row r="293" spans="3:28" x14ac:dyDescent="0.2">
      <c r="F293" s="621"/>
      <c r="G293" s="621"/>
      <c r="H293" s="619"/>
      <c r="I293" s="629"/>
      <c r="J293" s="619"/>
      <c r="K293" s="619"/>
      <c r="L293" s="630"/>
      <c r="M293" s="619"/>
      <c r="N293" s="663"/>
      <c r="O293" s="624"/>
      <c r="P293" s="624"/>
      <c r="Q293" s="624"/>
      <c r="R293" s="624"/>
      <c r="S293" s="624"/>
      <c r="T293" s="663"/>
    </row>
    <row r="294" spans="3:28" x14ac:dyDescent="0.2">
      <c r="F294" s="621"/>
      <c r="G294" s="621"/>
      <c r="H294" s="619"/>
      <c r="I294" s="629"/>
      <c r="J294" s="619"/>
      <c r="K294" s="619"/>
      <c r="L294" s="630"/>
      <c r="M294" s="619"/>
      <c r="N294" s="663"/>
      <c r="O294" s="624"/>
      <c r="P294" s="624"/>
      <c r="Q294" s="624"/>
      <c r="R294" s="624"/>
      <c r="S294" s="624"/>
      <c r="T294" s="663"/>
    </row>
    <row r="295" spans="3:28" x14ac:dyDescent="0.2">
      <c r="F295" s="621"/>
      <c r="G295" s="621"/>
      <c r="H295" s="619"/>
      <c r="I295" s="629"/>
      <c r="J295" s="619"/>
      <c r="K295" s="619"/>
      <c r="L295" s="630"/>
      <c r="M295" s="619"/>
      <c r="N295" s="663"/>
      <c r="O295" s="624"/>
      <c r="P295" s="624"/>
      <c r="Q295" s="624"/>
      <c r="R295" s="624"/>
      <c r="S295" s="624"/>
      <c r="T295" s="663"/>
    </row>
    <row r="296" spans="3:28" x14ac:dyDescent="0.2">
      <c r="F296" s="621"/>
      <c r="G296" s="621"/>
      <c r="H296" s="619"/>
      <c r="I296" s="629"/>
      <c r="J296" s="619"/>
      <c r="K296" s="619"/>
      <c r="L296" s="630"/>
      <c r="M296" s="619"/>
      <c r="N296" s="663"/>
      <c r="O296" s="624"/>
      <c r="P296" s="624"/>
      <c r="Q296" s="624"/>
      <c r="R296" s="624"/>
      <c r="S296" s="624"/>
      <c r="T296" s="663"/>
    </row>
    <row r="297" spans="3:28" s="661" customFormat="1" x14ac:dyDescent="0.2">
      <c r="C297" s="617"/>
      <c r="D297" s="617"/>
      <c r="E297" s="617"/>
      <c r="F297" s="621"/>
      <c r="G297" s="621"/>
      <c r="H297" s="619"/>
      <c r="I297" s="629"/>
      <c r="J297" s="619"/>
      <c r="K297" s="619"/>
      <c r="L297" s="630"/>
      <c r="M297" s="619"/>
      <c r="N297" s="663"/>
      <c r="O297" s="624"/>
      <c r="P297" s="624"/>
      <c r="Q297" s="624"/>
      <c r="R297" s="624"/>
      <c r="S297" s="624"/>
      <c r="T297" s="663"/>
      <c r="AA297" s="617"/>
      <c r="AB297" s="617"/>
    </row>
    <row r="298" spans="3:28" s="661" customFormat="1" x14ac:dyDescent="0.2">
      <c r="F298" s="621"/>
      <c r="G298" s="621"/>
      <c r="H298" s="619"/>
      <c r="I298" s="629"/>
      <c r="J298" s="619"/>
      <c r="K298" s="619"/>
      <c r="L298" s="630"/>
      <c r="M298" s="619"/>
      <c r="N298" s="663"/>
      <c r="O298" s="624"/>
      <c r="P298" s="624"/>
      <c r="Q298" s="624"/>
      <c r="R298" s="624"/>
      <c r="S298" s="624"/>
      <c r="T298" s="663"/>
    </row>
    <row r="299" spans="3:28" s="661" customFormat="1" x14ac:dyDescent="0.2">
      <c r="F299" s="621"/>
      <c r="G299" s="621"/>
      <c r="H299" s="619"/>
      <c r="I299" s="629"/>
      <c r="J299" s="619"/>
      <c r="K299" s="619"/>
      <c r="L299" s="630"/>
      <c r="M299" s="619"/>
      <c r="N299" s="663"/>
      <c r="O299" s="624"/>
      <c r="P299" s="624"/>
      <c r="Q299" s="624"/>
      <c r="R299" s="624"/>
      <c r="S299" s="624"/>
      <c r="T299" s="663"/>
    </row>
    <row r="300" spans="3:28" s="661" customFormat="1" x14ac:dyDescent="0.2">
      <c r="F300" s="621"/>
      <c r="G300" s="621"/>
      <c r="H300" s="619"/>
      <c r="I300" s="629"/>
      <c r="J300" s="619"/>
      <c r="K300" s="619"/>
      <c r="L300" s="630"/>
      <c r="M300" s="619"/>
      <c r="N300" s="663"/>
      <c r="O300" s="624"/>
      <c r="P300" s="624"/>
      <c r="Q300" s="624"/>
      <c r="R300" s="624"/>
      <c r="S300" s="624"/>
      <c r="T300" s="663"/>
    </row>
    <row r="301" spans="3:28" s="661" customFormat="1" x14ac:dyDescent="0.2">
      <c r="F301" s="621"/>
      <c r="G301" s="621"/>
      <c r="H301" s="619"/>
      <c r="I301" s="629"/>
      <c r="J301" s="619"/>
      <c r="K301" s="619"/>
      <c r="L301" s="630"/>
      <c r="M301" s="619"/>
      <c r="N301" s="663"/>
      <c r="O301" s="624"/>
      <c r="P301" s="624"/>
      <c r="Q301" s="624"/>
      <c r="R301" s="624"/>
      <c r="S301" s="624"/>
      <c r="T301" s="663"/>
    </row>
    <row r="302" spans="3:28" s="661" customFormat="1" x14ac:dyDescent="0.2">
      <c r="F302" s="621"/>
      <c r="G302" s="621"/>
      <c r="H302" s="619"/>
      <c r="I302" s="629"/>
      <c r="J302" s="619"/>
      <c r="K302" s="619"/>
      <c r="L302" s="630"/>
      <c r="M302" s="619"/>
      <c r="N302" s="663"/>
      <c r="O302" s="624"/>
      <c r="P302" s="624"/>
      <c r="Q302" s="624"/>
      <c r="R302" s="624"/>
      <c r="S302" s="624"/>
      <c r="T302" s="663"/>
    </row>
    <row r="303" spans="3:28" s="661" customFormat="1" x14ac:dyDescent="0.2">
      <c r="F303" s="621"/>
      <c r="G303" s="621"/>
      <c r="H303" s="619"/>
      <c r="I303" s="629"/>
      <c r="J303" s="619"/>
      <c r="K303" s="619"/>
      <c r="L303" s="630"/>
      <c r="M303" s="619"/>
      <c r="N303" s="663"/>
      <c r="O303" s="624"/>
      <c r="P303" s="624"/>
      <c r="Q303" s="624"/>
      <c r="R303" s="624"/>
      <c r="S303" s="624"/>
      <c r="T303" s="663"/>
    </row>
    <row r="304" spans="3:28" s="661" customFormat="1" x14ac:dyDescent="0.2">
      <c r="F304" s="621"/>
      <c r="G304" s="621"/>
      <c r="H304" s="619"/>
      <c r="I304" s="629"/>
      <c r="J304" s="619"/>
      <c r="K304" s="619"/>
      <c r="L304" s="630"/>
      <c r="M304" s="619"/>
      <c r="N304" s="663"/>
      <c r="O304" s="624"/>
      <c r="P304" s="624"/>
      <c r="Q304" s="624"/>
      <c r="R304" s="624"/>
      <c r="S304" s="624"/>
      <c r="T304" s="663"/>
    </row>
    <row r="305" spans="6:20" s="661" customFormat="1" x14ac:dyDescent="0.2">
      <c r="F305" s="621"/>
      <c r="G305" s="621"/>
      <c r="H305" s="619"/>
      <c r="I305" s="629"/>
      <c r="J305" s="619"/>
      <c r="K305" s="619"/>
      <c r="L305" s="630"/>
      <c r="M305" s="619"/>
      <c r="N305" s="663"/>
      <c r="O305" s="624"/>
      <c r="P305" s="624"/>
      <c r="Q305" s="624"/>
      <c r="R305" s="624"/>
      <c r="S305" s="624"/>
      <c r="T305" s="663"/>
    </row>
    <row r="306" spans="6:20" s="661" customFormat="1" x14ac:dyDescent="0.2">
      <c r="F306" s="621"/>
      <c r="G306" s="621"/>
      <c r="H306" s="619"/>
      <c r="I306" s="629"/>
      <c r="J306" s="619"/>
      <c r="K306" s="619"/>
      <c r="L306" s="630"/>
      <c r="M306" s="619"/>
      <c r="N306" s="663"/>
      <c r="O306" s="624"/>
      <c r="P306" s="624"/>
      <c r="Q306" s="624"/>
      <c r="R306" s="624"/>
      <c r="S306" s="624"/>
      <c r="T306" s="663"/>
    </row>
    <row r="307" spans="6:20" s="661" customFormat="1" x14ac:dyDescent="0.2">
      <c r="F307" s="621"/>
      <c r="G307" s="621"/>
      <c r="H307" s="619"/>
      <c r="I307" s="629"/>
      <c r="J307" s="619"/>
      <c r="K307" s="619"/>
      <c r="L307" s="630"/>
      <c r="M307" s="619"/>
      <c r="N307" s="663"/>
      <c r="O307" s="624"/>
      <c r="P307" s="624"/>
      <c r="Q307" s="624"/>
      <c r="R307" s="624"/>
      <c r="S307" s="624"/>
      <c r="T307" s="663"/>
    </row>
    <row r="308" spans="6:20" s="661" customFormat="1" x14ac:dyDescent="0.2">
      <c r="F308" s="621"/>
      <c r="G308" s="621"/>
      <c r="H308" s="619"/>
      <c r="I308" s="629"/>
      <c r="J308" s="619"/>
      <c r="K308" s="619"/>
      <c r="L308" s="630"/>
      <c r="M308" s="619"/>
      <c r="N308" s="663"/>
      <c r="O308" s="624"/>
      <c r="P308" s="624"/>
      <c r="Q308" s="624"/>
      <c r="R308" s="624"/>
      <c r="S308" s="624"/>
      <c r="T308" s="663"/>
    </row>
    <row r="309" spans="6:20" s="661" customFormat="1" x14ac:dyDescent="0.2">
      <c r="F309" s="621"/>
      <c r="G309" s="621"/>
      <c r="H309" s="619"/>
      <c r="I309" s="629"/>
      <c r="J309" s="619"/>
      <c r="K309" s="619"/>
      <c r="L309" s="630"/>
      <c r="M309" s="619"/>
      <c r="N309" s="663"/>
      <c r="O309" s="624"/>
      <c r="P309" s="624"/>
      <c r="Q309" s="624"/>
      <c r="R309" s="624"/>
      <c r="S309" s="624"/>
      <c r="T309" s="663"/>
    </row>
    <row r="310" spans="6:20" s="661" customFormat="1" x14ac:dyDescent="0.2">
      <c r="F310" s="621"/>
      <c r="G310" s="621"/>
      <c r="H310" s="619"/>
      <c r="I310" s="629"/>
      <c r="J310" s="619"/>
      <c r="K310" s="619"/>
      <c r="L310" s="630"/>
      <c r="M310" s="619"/>
      <c r="N310" s="663"/>
      <c r="O310" s="624"/>
      <c r="P310" s="624"/>
      <c r="Q310" s="624"/>
      <c r="R310" s="624"/>
      <c r="S310" s="624"/>
      <c r="T310" s="663"/>
    </row>
    <row r="311" spans="6:20" s="661" customFormat="1" x14ac:dyDescent="0.2">
      <c r="F311" s="621"/>
      <c r="G311" s="621"/>
      <c r="H311" s="619"/>
      <c r="I311" s="629"/>
      <c r="J311" s="619"/>
      <c r="K311" s="619"/>
      <c r="L311" s="630"/>
      <c r="M311" s="619"/>
      <c r="N311" s="663"/>
      <c r="O311" s="624"/>
      <c r="P311" s="624"/>
      <c r="Q311" s="624"/>
      <c r="R311" s="624"/>
      <c r="S311" s="624"/>
      <c r="T311" s="663"/>
    </row>
    <row r="312" spans="6:20" s="661" customFormat="1" x14ac:dyDescent="0.2">
      <c r="F312" s="621"/>
      <c r="G312" s="621"/>
      <c r="H312" s="619"/>
      <c r="I312" s="629"/>
      <c r="J312" s="619"/>
      <c r="K312" s="619"/>
      <c r="L312" s="630"/>
      <c r="M312" s="619"/>
      <c r="N312" s="663"/>
      <c r="O312" s="624"/>
      <c r="P312" s="624"/>
      <c r="Q312" s="624"/>
      <c r="R312" s="624"/>
      <c r="S312" s="624"/>
      <c r="T312" s="663"/>
    </row>
    <row r="313" spans="6:20" s="661" customFormat="1" x14ac:dyDescent="0.2">
      <c r="F313" s="621"/>
      <c r="G313" s="621"/>
      <c r="H313" s="619"/>
      <c r="I313" s="629"/>
      <c r="J313" s="619"/>
      <c r="K313" s="619"/>
      <c r="L313" s="630"/>
      <c r="M313" s="619"/>
      <c r="N313" s="663"/>
      <c r="O313" s="624"/>
      <c r="P313" s="624"/>
      <c r="Q313" s="624"/>
      <c r="R313" s="624"/>
      <c r="S313" s="624"/>
      <c r="T313" s="663"/>
    </row>
    <row r="314" spans="6:20" s="661" customFormat="1" x14ac:dyDescent="0.2">
      <c r="F314" s="621"/>
      <c r="G314" s="621"/>
      <c r="H314" s="619"/>
      <c r="I314" s="629"/>
      <c r="J314" s="619"/>
      <c r="K314" s="619"/>
      <c r="L314" s="630"/>
      <c r="M314" s="619"/>
      <c r="N314" s="663"/>
      <c r="O314" s="624"/>
      <c r="P314" s="624"/>
      <c r="Q314" s="624"/>
      <c r="R314" s="624"/>
      <c r="S314" s="624"/>
      <c r="T314" s="663"/>
    </row>
    <row r="315" spans="6:20" s="661" customFormat="1" x14ac:dyDescent="0.2">
      <c r="F315" s="621"/>
      <c r="G315" s="621"/>
      <c r="H315" s="619"/>
      <c r="I315" s="629"/>
      <c r="J315" s="619"/>
      <c r="K315" s="619"/>
      <c r="L315" s="630"/>
      <c r="M315" s="619"/>
      <c r="N315" s="663"/>
      <c r="O315" s="624"/>
      <c r="P315" s="624"/>
      <c r="Q315" s="624"/>
      <c r="R315" s="624"/>
      <c r="S315" s="624"/>
      <c r="T315" s="663"/>
    </row>
    <row r="316" spans="6:20" s="661" customFormat="1" x14ac:dyDescent="0.2">
      <c r="F316" s="621"/>
      <c r="G316" s="621"/>
      <c r="H316" s="619"/>
      <c r="I316" s="629"/>
      <c r="J316" s="619"/>
      <c r="K316" s="619"/>
      <c r="L316" s="630"/>
      <c r="M316" s="619"/>
      <c r="N316" s="663"/>
      <c r="O316" s="624"/>
      <c r="P316" s="624"/>
      <c r="Q316" s="624"/>
      <c r="R316" s="624"/>
      <c r="S316" s="624"/>
      <c r="T316" s="663"/>
    </row>
    <row r="317" spans="6:20" s="661" customFormat="1" x14ac:dyDescent="0.2">
      <c r="F317" s="621"/>
      <c r="G317" s="621"/>
      <c r="H317" s="619"/>
      <c r="I317" s="629"/>
      <c r="J317" s="619"/>
      <c r="K317" s="619"/>
      <c r="L317" s="630"/>
      <c r="M317" s="619"/>
      <c r="N317" s="663"/>
      <c r="O317" s="624"/>
      <c r="P317" s="624"/>
      <c r="Q317" s="624"/>
      <c r="R317" s="624"/>
      <c r="S317" s="624"/>
      <c r="T317" s="663"/>
    </row>
    <row r="318" spans="6:20" s="661" customFormat="1" x14ac:dyDescent="0.2">
      <c r="F318" s="621"/>
      <c r="G318" s="621"/>
      <c r="H318" s="619"/>
      <c r="I318" s="629"/>
      <c r="J318" s="619"/>
      <c r="K318" s="619"/>
      <c r="L318" s="630"/>
      <c r="M318" s="619"/>
      <c r="N318" s="663"/>
      <c r="O318" s="624"/>
      <c r="P318" s="624"/>
      <c r="Q318" s="624"/>
      <c r="R318" s="624"/>
      <c r="S318" s="624"/>
      <c r="T318" s="663"/>
    </row>
    <row r="319" spans="6:20" s="661" customFormat="1" x14ac:dyDescent="0.2">
      <c r="F319" s="621"/>
      <c r="G319" s="621"/>
      <c r="H319" s="619"/>
      <c r="I319" s="629"/>
      <c r="J319" s="619"/>
      <c r="K319" s="619"/>
      <c r="L319" s="630"/>
      <c r="M319" s="619"/>
      <c r="N319" s="663"/>
      <c r="O319" s="624"/>
      <c r="P319" s="624"/>
      <c r="Q319" s="624"/>
      <c r="R319" s="624"/>
      <c r="S319" s="624"/>
      <c r="T319" s="663"/>
    </row>
    <row r="320" spans="6:20" s="661" customFormat="1" x14ac:dyDescent="0.2">
      <c r="F320" s="621"/>
      <c r="G320" s="621"/>
      <c r="H320" s="619"/>
      <c r="I320" s="629"/>
      <c r="J320" s="619"/>
      <c r="K320" s="619"/>
      <c r="L320" s="630"/>
      <c r="M320" s="619"/>
      <c r="N320" s="663"/>
      <c r="O320" s="624"/>
      <c r="P320" s="624"/>
      <c r="Q320" s="624"/>
      <c r="R320" s="624"/>
      <c r="S320" s="624"/>
      <c r="T320" s="663"/>
    </row>
    <row r="321" spans="6:20" s="661" customFormat="1" x14ac:dyDescent="0.2">
      <c r="F321" s="621"/>
      <c r="G321" s="621"/>
      <c r="H321" s="619"/>
      <c r="I321" s="629"/>
      <c r="J321" s="619"/>
      <c r="K321" s="619"/>
      <c r="L321" s="630"/>
      <c r="M321" s="619"/>
      <c r="N321" s="663"/>
      <c r="O321" s="624"/>
      <c r="P321" s="624"/>
      <c r="Q321" s="624"/>
      <c r="R321" s="624"/>
      <c r="S321" s="624"/>
      <c r="T321" s="663"/>
    </row>
    <row r="322" spans="6:20" s="661" customFormat="1" x14ac:dyDescent="0.2">
      <c r="F322" s="621"/>
      <c r="G322" s="621"/>
      <c r="H322" s="619"/>
      <c r="I322" s="629"/>
      <c r="J322" s="619"/>
      <c r="K322" s="619"/>
      <c r="L322" s="630"/>
      <c r="M322" s="619"/>
      <c r="N322" s="663"/>
      <c r="O322" s="624"/>
      <c r="P322" s="624"/>
      <c r="Q322" s="624"/>
      <c r="R322" s="624"/>
      <c r="S322" s="624"/>
      <c r="T322" s="663"/>
    </row>
    <row r="323" spans="6:20" s="661" customFormat="1" x14ac:dyDescent="0.2">
      <c r="F323" s="621"/>
      <c r="G323" s="621"/>
      <c r="H323" s="619"/>
      <c r="I323" s="629"/>
      <c r="J323" s="619"/>
      <c r="K323" s="619"/>
      <c r="L323" s="630"/>
      <c r="M323" s="619"/>
      <c r="N323" s="663"/>
      <c r="O323" s="624"/>
      <c r="P323" s="624"/>
      <c r="Q323" s="624"/>
      <c r="R323" s="624"/>
      <c r="S323" s="624"/>
      <c r="T323" s="663"/>
    </row>
    <row r="324" spans="6:20" s="661" customFormat="1" x14ac:dyDescent="0.2">
      <c r="F324" s="621"/>
      <c r="G324" s="621"/>
      <c r="H324" s="619"/>
      <c r="I324" s="629"/>
      <c r="J324" s="619"/>
      <c r="K324" s="619"/>
      <c r="L324" s="630"/>
      <c r="M324" s="619"/>
      <c r="N324" s="663"/>
      <c r="O324" s="624"/>
      <c r="P324" s="624"/>
      <c r="Q324" s="624"/>
      <c r="R324" s="624"/>
      <c r="S324" s="624"/>
      <c r="T324" s="663"/>
    </row>
    <row r="325" spans="6:20" s="661" customFormat="1" x14ac:dyDescent="0.2">
      <c r="F325" s="621"/>
      <c r="G325" s="318" t="s">
        <v>217</v>
      </c>
      <c r="H325" s="317"/>
      <c r="I325" s="316"/>
      <c r="J325" s="620"/>
      <c r="K325" s="620"/>
      <c r="L325" s="347"/>
      <c r="M325" s="620"/>
      <c r="N325" s="401"/>
      <c r="O325" s="406"/>
      <c r="P325" s="402"/>
      <c r="Q325" s="402"/>
      <c r="R325" s="402"/>
      <c r="S325" s="402"/>
      <c r="T325" s="401"/>
    </row>
    <row r="326" spans="6:20" s="661" customFormat="1" x14ac:dyDescent="0.2">
      <c r="F326" s="619"/>
      <c r="G326" s="621"/>
      <c r="H326" s="622"/>
      <c r="I326" s="629"/>
      <c r="J326" s="619"/>
      <c r="K326" s="619"/>
      <c r="L326" s="630"/>
      <c r="M326" s="619"/>
      <c r="N326" s="663"/>
      <c r="O326" s="405"/>
      <c r="P326" s="624"/>
      <c r="Q326" s="624"/>
      <c r="R326" s="624"/>
      <c r="S326" s="624"/>
      <c r="T326" s="663"/>
    </row>
    <row r="327" spans="6:20" s="661" customFormat="1" x14ac:dyDescent="0.2">
      <c r="F327" s="619"/>
      <c r="G327" s="621"/>
      <c r="H327" s="622"/>
      <c r="I327" s="629"/>
      <c r="J327" s="619"/>
      <c r="K327" s="619"/>
      <c r="L327" s="630"/>
      <c r="M327" s="619"/>
      <c r="N327" s="663"/>
      <c r="O327" s="405"/>
      <c r="P327" s="624"/>
      <c r="Q327" s="624"/>
      <c r="R327" s="624"/>
      <c r="S327" s="624"/>
      <c r="T327" s="663"/>
    </row>
    <row r="328" spans="6:20" s="661" customFormat="1" x14ac:dyDescent="0.2">
      <c r="F328" s="619"/>
      <c r="G328" s="621"/>
      <c r="H328" s="622"/>
      <c r="I328" s="629"/>
      <c r="J328" s="619"/>
      <c r="K328" s="619"/>
      <c r="L328" s="630"/>
      <c r="M328" s="619"/>
      <c r="N328" s="663"/>
      <c r="O328" s="405"/>
      <c r="P328" s="624"/>
      <c r="Q328" s="624"/>
      <c r="R328" s="624"/>
      <c r="S328" s="624"/>
      <c r="T328" s="663"/>
    </row>
    <row r="329" spans="6:20" s="661" customFormat="1" x14ac:dyDescent="0.2">
      <c r="F329" s="619"/>
      <c r="G329" s="621"/>
      <c r="H329" s="622"/>
      <c r="I329" s="629"/>
      <c r="J329" s="619"/>
      <c r="K329" s="619"/>
      <c r="L329" s="630"/>
      <c r="M329" s="619"/>
      <c r="N329" s="663"/>
      <c r="O329" s="405"/>
      <c r="P329" s="624"/>
      <c r="Q329" s="624"/>
      <c r="R329" s="624"/>
      <c r="S329" s="624"/>
      <c r="T329" s="663"/>
    </row>
    <row r="330" spans="6:20" s="661" customFormat="1" x14ac:dyDescent="0.2">
      <c r="F330" s="619"/>
      <c r="G330" s="621"/>
      <c r="H330" s="622"/>
      <c r="I330" s="629"/>
      <c r="J330" s="619"/>
      <c r="K330" s="619"/>
      <c r="L330" s="630"/>
      <c r="M330" s="619"/>
      <c r="N330" s="663"/>
      <c r="O330" s="405"/>
      <c r="P330" s="624"/>
      <c r="Q330" s="624"/>
      <c r="R330" s="624"/>
      <c r="S330" s="624"/>
      <c r="T330" s="663"/>
    </row>
    <row r="331" spans="6:20" s="661" customFormat="1" x14ac:dyDescent="0.2">
      <c r="F331" s="619"/>
      <c r="G331" s="621"/>
      <c r="H331" s="622"/>
      <c r="I331" s="629"/>
      <c r="J331" s="619"/>
      <c r="K331" s="619"/>
      <c r="L331" s="630"/>
      <c r="M331" s="619"/>
      <c r="N331" s="663"/>
      <c r="O331" s="405"/>
      <c r="P331" s="624"/>
      <c r="Q331" s="624"/>
      <c r="R331" s="624"/>
      <c r="S331" s="624"/>
      <c r="T331" s="663"/>
    </row>
    <row r="332" spans="6:20" s="661" customFormat="1" x14ac:dyDescent="0.2">
      <c r="F332" s="619"/>
      <c r="G332" s="621"/>
      <c r="H332" s="622"/>
      <c r="I332" s="629"/>
      <c r="J332" s="619"/>
      <c r="K332" s="619"/>
      <c r="L332" s="630"/>
      <c r="M332" s="619"/>
      <c r="N332" s="663"/>
      <c r="O332" s="405"/>
      <c r="P332" s="624"/>
      <c r="Q332" s="624"/>
      <c r="R332" s="624"/>
      <c r="S332" s="624"/>
      <c r="T332" s="663"/>
    </row>
    <row r="333" spans="6:20" s="661" customFormat="1" x14ac:dyDescent="0.2">
      <c r="F333" s="619"/>
      <c r="G333" s="621"/>
      <c r="H333" s="622"/>
      <c r="I333" s="629"/>
      <c r="J333" s="619"/>
      <c r="K333" s="619"/>
      <c r="L333" s="630"/>
      <c r="M333" s="619"/>
      <c r="N333" s="663"/>
      <c r="O333" s="405"/>
      <c r="P333" s="624"/>
      <c r="Q333" s="624"/>
      <c r="R333" s="624"/>
      <c r="S333" s="624"/>
      <c r="T333" s="663"/>
    </row>
    <row r="334" spans="6:20" s="661" customFormat="1" x14ac:dyDescent="0.2">
      <c r="F334" s="619"/>
      <c r="G334" s="621"/>
      <c r="H334" s="622"/>
      <c r="I334" s="629"/>
      <c r="J334" s="619"/>
      <c r="K334" s="619"/>
      <c r="L334" s="630"/>
      <c r="M334" s="619"/>
      <c r="N334" s="663"/>
      <c r="O334" s="405"/>
      <c r="P334" s="624"/>
      <c r="Q334" s="624"/>
      <c r="R334" s="624"/>
      <c r="S334" s="624"/>
      <c r="T334" s="663"/>
    </row>
    <row r="335" spans="6:20" s="661" customFormat="1" x14ac:dyDescent="0.2">
      <c r="F335" s="619"/>
      <c r="G335" s="621"/>
      <c r="H335" s="622"/>
      <c r="I335" s="629"/>
      <c r="J335" s="619"/>
      <c r="K335" s="619"/>
      <c r="L335" s="630"/>
      <c r="M335" s="619"/>
      <c r="N335" s="663"/>
      <c r="O335" s="405"/>
      <c r="P335" s="624"/>
      <c r="Q335" s="624"/>
      <c r="R335" s="624"/>
      <c r="S335" s="624"/>
      <c r="T335" s="663"/>
    </row>
    <row r="336" spans="6:20" s="661" customFormat="1" x14ac:dyDescent="0.2">
      <c r="F336" s="619"/>
      <c r="G336" s="621"/>
      <c r="H336" s="622"/>
      <c r="I336" s="629"/>
      <c r="J336" s="619"/>
      <c r="K336" s="619"/>
      <c r="L336" s="630"/>
      <c r="M336" s="619"/>
      <c r="N336" s="663"/>
      <c r="O336" s="405"/>
      <c r="P336" s="624"/>
      <c r="Q336" s="624"/>
      <c r="R336" s="624"/>
      <c r="S336" s="624"/>
      <c r="T336" s="663"/>
    </row>
    <row r="337" spans="6:20" s="661" customFormat="1" x14ac:dyDescent="0.2">
      <c r="F337" s="619"/>
      <c r="G337" s="621"/>
      <c r="H337" s="627"/>
      <c r="I337" s="629"/>
      <c r="J337" s="619"/>
      <c r="K337" s="619"/>
      <c r="L337" s="630"/>
      <c r="M337" s="619"/>
      <c r="N337" s="663"/>
      <c r="O337" s="405"/>
      <c r="P337" s="624"/>
      <c r="Q337" s="624"/>
      <c r="R337" s="624"/>
      <c r="S337" s="624"/>
      <c r="T337" s="663"/>
    </row>
    <row r="338" spans="6:20" s="661" customFormat="1" x14ac:dyDescent="0.2">
      <c r="F338" s="619"/>
      <c r="G338" s="264"/>
      <c r="H338" s="263"/>
      <c r="I338" s="266"/>
      <c r="J338" s="263"/>
      <c r="K338" s="263"/>
      <c r="L338" s="265"/>
      <c r="M338" s="263"/>
      <c r="N338" s="397"/>
      <c r="O338" s="404"/>
      <c r="P338" s="398"/>
      <c r="Q338" s="398"/>
      <c r="R338" s="398"/>
      <c r="S338" s="398"/>
      <c r="T338" s="397"/>
    </row>
    <row r="339" spans="6:20" s="661" customFormat="1" x14ac:dyDescent="0.2">
      <c r="F339" s="619"/>
      <c r="G339" s="619"/>
      <c r="H339" s="617"/>
      <c r="I339" s="261"/>
      <c r="J339" s="617"/>
      <c r="K339" s="619"/>
      <c r="L339" s="630"/>
      <c r="M339" s="619"/>
      <c r="N339" s="624"/>
      <c r="O339" s="624"/>
      <c r="P339" s="624"/>
      <c r="Q339" s="624"/>
      <c r="R339" s="624"/>
      <c r="S339" s="624"/>
      <c r="T339" s="624"/>
    </row>
    <row r="341" spans="6:20" s="661" customFormat="1" ht="23.25" x14ac:dyDescent="0.35">
      <c r="F341" s="617"/>
      <c r="G341" s="617"/>
      <c r="H341" s="302"/>
      <c r="I341" s="261"/>
      <c r="J341" s="617"/>
      <c r="K341" s="617"/>
      <c r="L341" s="618"/>
      <c r="M341" s="617"/>
    </row>
    <row r="343" spans="6:20" s="661" customFormat="1" ht="18" x14ac:dyDescent="0.25">
      <c r="F343" s="617"/>
      <c r="G343" s="285" t="s">
        <v>0</v>
      </c>
      <c r="H343" s="284"/>
      <c r="I343" s="283"/>
      <c r="J343" s="280"/>
      <c r="K343" s="280"/>
      <c r="L343" s="282"/>
      <c r="M343" s="281"/>
      <c r="N343" s="402"/>
      <c r="O343" s="402"/>
      <c r="P343" s="402"/>
      <c r="Q343" s="402"/>
      <c r="R343" s="402"/>
      <c r="S343" s="402"/>
      <c r="T343" s="401"/>
    </row>
    <row r="344" spans="6:20" s="661" customFormat="1" x14ac:dyDescent="0.2">
      <c r="F344" s="617"/>
      <c r="G344" s="621"/>
      <c r="H344" s="278"/>
      <c r="I344" s="279"/>
      <c r="J344" s="279"/>
      <c r="K344" s="278"/>
      <c r="L344" s="277"/>
      <c r="M344" s="276"/>
      <c r="N344" s="624"/>
      <c r="O344" s="624"/>
      <c r="P344" s="624"/>
      <c r="Q344" s="624"/>
      <c r="R344" s="624"/>
      <c r="S344" s="624"/>
      <c r="T344" s="663"/>
    </row>
    <row r="345" spans="6:20" s="661" customFormat="1" x14ac:dyDescent="0.2">
      <c r="F345" s="617"/>
      <c r="G345" s="621"/>
      <c r="H345" s="622"/>
      <c r="I345" s="629"/>
      <c r="J345" s="629"/>
      <c r="K345" s="619"/>
      <c r="L345" s="630"/>
      <c r="M345" s="621"/>
      <c r="N345" s="624"/>
      <c r="O345" s="624"/>
      <c r="P345" s="624"/>
      <c r="Q345" s="624"/>
      <c r="R345" s="624"/>
      <c r="S345" s="624"/>
      <c r="T345" s="663"/>
    </row>
    <row r="346" spans="6:20" s="661" customFormat="1" x14ac:dyDescent="0.2">
      <c r="G346" s="621"/>
      <c r="H346" s="622"/>
      <c r="I346" s="629"/>
      <c r="J346" s="629"/>
      <c r="K346" s="622"/>
      <c r="L346" s="630"/>
      <c r="M346" s="275"/>
      <c r="N346" s="624"/>
      <c r="O346" s="624"/>
      <c r="P346" s="624"/>
      <c r="Q346" s="624"/>
      <c r="R346" s="624"/>
      <c r="S346" s="624"/>
      <c r="T346" s="663"/>
    </row>
    <row r="347" spans="6:20" s="661" customFormat="1" x14ac:dyDescent="0.2">
      <c r="G347" s="621"/>
      <c r="H347" s="622"/>
      <c r="I347" s="629"/>
      <c r="J347" s="629"/>
      <c r="K347" s="356"/>
      <c r="L347" s="630"/>
      <c r="M347" s="275"/>
      <c r="N347" s="619"/>
      <c r="O347" s="619"/>
      <c r="P347" s="619"/>
      <c r="Q347" s="619"/>
      <c r="R347" s="619"/>
      <c r="S347" s="624"/>
      <c r="T347" s="663"/>
    </row>
    <row r="348" spans="6:20" s="661" customFormat="1" x14ac:dyDescent="0.2">
      <c r="G348" s="621"/>
      <c r="H348" s="622"/>
      <c r="I348" s="629"/>
      <c r="J348" s="629"/>
      <c r="K348" s="619"/>
      <c r="L348" s="630"/>
      <c r="M348" s="621"/>
      <c r="N348" s="624"/>
      <c r="O348" s="624"/>
      <c r="P348" s="624"/>
      <c r="Q348" s="624"/>
      <c r="R348" s="624"/>
      <c r="S348" s="624"/>
      <c r="T348" s="663"/>
    </row>
    <row r="349" spans="6:20" s="661" customFormat="1" x14ac:dyDescent="0.2">
      <c r="G349" s="621"/>
      <c r="H349" s="622"/>
      <c r="I349" s="629"/>
      <c r="J349" s="629"/>
      <c r="K349" s="622"/>
      <c r="L349" s="630"/>
      <c r="M349" s="275"/>
      <c r="N349" s="624"/>
      <c r="O349" s="624"/>
      <c r="P349" s="624"/>
      <c r="Q349" s="624"/>
      <c r="R349" s="624"/>
      <c r="S349" s="624"/>
      <c r="T349" s="663"/>
    </row>
    <row r="350" spans="6:20" s="661" customFormat="1" x14ac:dyDescent="0.2">
      <c r="G350" s="621"/>
      <c r="H350" s="622"/>
      <c r="I350" s="629"/>
      <c r="J350" s="629"/>
      <c r="K350" s="622"/>
      <c r="L350" s="630"/>
      <c r="M350" s="275"/>
      <c r="N350" s="624"/>
      <c r="O350" s="624"/>
      <c r="P350" s="624"/>
      <c r="Q350" s="624"/>
      <c r="R350" s="624"/>
      <c r="S350" s="624"/>
      <c r="T350" s="663"/>
    </row>
    <row r="351" spans="6:20" s="661" customFormat="1" ht="18" x14ac:dyDescent="0.25">
      <c r="G351" s="285" t="s">
        <v>18</v>
      </c>
      <c r="H351" s="284"/>
      <c r="I351" s="283"/>
      <c r="J351" s="280"/>
      <c r="K351" s="280"/>
      <c r="L351" s="282"/>
      <c r="M351" s="281"/>
      <c r="N351" s="402"/>
      <c r="O351" s="402"/>
      <c r="P351" s="402"/>
      <c r="Q351" s="402"/>
      <c r="R351" s="402"/>
      <c r="S351" s="402"/>
      <c r="T351" s="401"/>
    </row>
    <row r="352" spans="6:20" s="661" customFormat="1" x14ac:dyDescent="0.2">
      <c r="G352" s="621"/>
      <c r="H352" s="278"/>
      <c r="I352" s="279"/>
      <c r="J352" s="279"/>
      <c r="K352" s="278"/>
      <c r="L352" s="277"/>
      <c r="M352" s="276"/>
      <c r="N352" s="624"/>
      <c r="O352" s="624"/>
      <c r="P352" s="624"/>
      <c r="Q352" s="624"/>
      <c r="R352" s="624"/>
      <c r="S352" s="624"/>
      <c r="T352" s="663"/>
    </row>
    <row r="353" spans="7:21" s="661" customFormat="1" x14ac:dyDescent="0.2">
      <c r="G353" s="621"/>
      <c r="H353" s="622"/>
      <c r="I353" s="629"/>
      <c r="J353" s="629"/>
      <c r="K353" s="356"/>
      <c r="L353" s="630"/>
      <c r="M353" s="275"/>
      <c r="N353" s="624"/>
      <c r="O353" s="367"/>
      <c r="P353" s="624"/>
      <c r="Q353" s="367"/>
      <c r="R353" s="624"/>
      <c r="S353" s="403"/>
      <c r="T353" s="367"/>
      <c r="U353" s="623"/>
    </row>
    <row r="354" spans="7:21" s="661" customFormat="1" x14ac:dyDescent="0.2">
      <c r="G354" s="285"/>
      <c r="H354" s="622"/>
      <c r="I354" s="629"/>
      <c r="J354" s="629"/>
      <c r="K354" s="356"/>
      <c r="L354" s="630"/>
      <c r="M354" s="275"/>
      <c r="N354" s="624"/>
      <c r="O354" s="367"/>
      <c r="P354" s="624"/>
      <c r="Q354" s="367"/>
      <c r="R354" s="624"/>
      <c r="S354" s="403"/>
      <c r="T354" s="367"/>
      <c r="U354" s="623"/>
    </row>
    <row r="355" spans="7:21" s="661" customFormat="1" x14ac:dyDescent="0.2">
      <c r="G355" s="621"/>
      <c r="H355" s="619"/>
      <c r="I355" s="629"/>
      <c r="J355" s="629"/>
      <c r="K355" s="619"/>
      <c r="L355" s="630"/>
      <c r="M355" s="621"/>
      <c r="N355" s="624"/>
      <c r="O355" s="624"/>
      <c r="P355" s="624"/>
      <c r="Q355" s="624"/>
      <c r="R355" s="624"/>
      <c r="S355" s="624"/>
      <c r="T355" s="663"/>
    </row>
    <row r="356" spans="7:21" s="661" customFormat="1" ht="18" x14ac:dyDescent="0.25">
      <c r="G356" s="285" t="s">
        <v>69</v>
      </c>
      <c r="H356" s="284"/>
      <c r="I356" s="283"/>
      <c r="J356" s="283"/>
      <c r="K356" s="280"/>
      <c r="L356" s="282"/>
      <c r="M356" s="281"/>
      <c r="N356" s="402"/>
      <c r="O356" s="402"/>
      <c r="P356" s="402"/>
      <c r="Q356" s="402"/>
      <c r="R356" s="402"/>
      <c r="S356" s="402"/>
      <c r="T356" s="401"/>
    </row>
    <row r="357" spans="7:21" s="661" customFormat="1" x14ac:dyDescent="0.2">
      <c r="G357" s="621"/>
      <c r="H357" s="278"/>
      <c r="I357" s="279"/>
      <c r="J357" s="279"/>
      <c r="K357" s="278"/>
      <c r="L357" s="277"/>
      <c r="M357" s="276"/>
      <c r="N357" s="624"/>
      <c r="O357" s="624"/>
      <c r="P357" s="624"/>
      <c r="Q357" s="624"/>
      <c r="R357" s="624"/>
      <c r="S357" s="624"/>
      <c r="T357" s="663"/>
    </row>
    <row r="358" spans="7:21" s="661" customFormat="1" x14ac:dyDescent="0.2">
      <c r="G358" s="621"/>
      <c r="H358" s="278"/>
      <c r="I358" s="279"/>
      <c r="J358" s="279"/>
      <c r="K358" s="278"/>
      <c r="L358" s="277"/>
      <c r="M358" s="276"/>
      <c r="N358" s="624"/>
      <c r="O358" s="624"/>
      <c r="P358" s="624"/>
      <c r="Q358" s="624"/>
      <c r="R358" s="624"/>
      <c r="S358" s="624"/>
      <c r="T358" s="663"/>
    </row>
    <row r="359" spans="7:21" s="661" customFormat="1" x14ac:dyDescent="0.2">
      <c r="G359" s="621"/>
      <c r="H359" s="622"/>
      <c r="I359" s="629"/>
      <c r="J359" s="629"/>
      <c r="K359" s="622"/>
      <c r="L359" s="630"/>
      <c r="M359" s="275"/>
      <c r="N359" s="624"/>
      <c r="O359" s="624"/>
      <c r="P359" s="624"/>
      <c r="Q359" s="624"/>
      <c r="R359" s="624"/>
      <c r="S359" s="624"/>
      <c r="T359" s="663"/>
    </row>
    <row r="360" spans="7:21" s="661" customFormat="1" x14ac:dyDescent="0.2">
      <c r="G360" s="621"/>
      <c r="H360" s="622"/>
      <c r="I360" s="629"/>
      <c r="J360" s="629"/>
      <c r="K360" s="622"/>
      <c r="L360" s="630"/>
      <c r="M360" s="275"/>
      <c r="N360" s="624"/>
      <c r="O360" s="624"/>
      <c r="P360" s="624"/>
      <c r="Q360" s="624"/>
      <c r="R360" s="624"/>
      <c r="S360" s="624"/>
      <c r="T360" s="663"/>
    </row>
    <row r="361" spans="7:21" s="661" customFormat="1" x14ac:dyDescent="0.2">
      <c r="G361" s="621"/>
      <c r="H361" s="622"/>
      <c r="I361" s="629"/>
      <c r="J361" s="629"/>
      <c r="K361" s="622"/>
      <c r="L361" s="630"/>
      <c r="M361" s="275"/>
      <c r="N361" s="624"/>
      <c r="O361" s="624"/>
      <c r="P361" s="624"/>
      <c r="Q361" s="624"/>
      <c r="R361" s="624"/>
      <c r="S361" s="624"/>
      <c r="T361" s="663"/>
    </row>
    <row r="362" spans="7:21" s="661" customFormat="1" x14ac:dyDescent="0.2">
      <c r="G362" s="621"/>
      <c r="H362" s="622"/>
      <c r="I362" s="629"/>
      <c r="J362" s="629"/>
      <c r="K362" s="622"/>
      <c r="L362" s="630"/>
      <c r="M362" s="275"/>
      <c r="N362" s="624"/>
      <c r="O362" s="624"/>
      <c r="P362" s="624"/>
      <c r="Q362" s="624"/>
      <c r="R362" s="624"/>
      <c r="S362" s="624"/>
      <c r="T362" s="663"/>
    </row>
    <row r="363" spans="7:21" s="661" customFormat="1" x14ac:dyDescent="0.2">
      <c r="G363" s="621"/>
      <c r="H363" s="622"/>
      <c r="I363" s="629"/>
      <c r="J363" s="629"/>
      <c r="K363" s="622"/>
      <c r="L363" s="630"/>
      <c r="M363" s="275"/>
      <c r="N363" s="624"/>
      <c r="O363" s="624"/>
      <c r="P363" s="624"/>
      <c r="Q363" s="624"/>
      <c r="R363" s="624"/>
      <c r="S363" s="624"/>
      <c r="T363" s="663"/>
    </row>
    <row r="364" spans="7:21" s="661" customFormat="1" x14ac:dyDescent="0.2">
      <c r="G364" s="621"/>
      <c r="H364" s="622"/>
      <c r="I364" s="629"/>
      <c r="J364" s="629"/>
      <c r="K364" s="622"/>
      <c r="L364" s="630"/>
      <c r="M364" s="275"/>
      <c r="N364" s="624"/>
      <c r="O364" s="624"/>
      <c r="P364" s="624"/>
      <c r="Q364" s="624"/>
      <c r="R364" s="624"/>
      <c r="S364" s="624"/>
      <c r="T364" s="663"/>
    </row>
    <row r="365" spans="7:21" s="661" customFormat="1" x14ac:dyDescent="0.2">
      <c r="G365" s="621"/>
      <c r="H365" s="622"/>
      <c r="I365" s="629"/>
      <c r="J365" s="629"/>
      <c r="K365" s="622"/>
      <c r="L365" s="630"/>
      <c r="M365" s="275"/>
      <c r="N365" s="624"/>
      <c r="O365" s="624"/>
      <c r="P365" s="624"/>
      <c r="Q365" s="624"/>
      <c r="R365" s="624"/>
      <c r="S365" s="624"/>
      <c r="T365" s="663"/>
    </row>
    <row r="366" spans="7:21" s="661" customFormat="1" x14ac:dyDescent="0.2">
      <c r="G366" s="621"/>
      <c r="H366" s="622"/>
      <c r="I366" s="629"/>
      <c r="J366" s="629"/>
      <c r="K366" s="622"/>
      <c r="L366" s="630"/>
      <c r="M366" s="275"/>
      <c r="N366" s="624"/>
      <c r="O366" s="624"/>
      <c r="P366" s="624"/>
      <c r="Q366" s="624"/>
      <c r="R366" s="624"/>
      <c r="S366" s="624"/>
      <c r="T366" s="663"/>
    </row>
    <row r="367" spans="7:21" s="661" customFormat="1" x14ac:dyDescent="0.2">
      <c r="G367" s="621"/>
      <c r="H367" s="622"/>
      <c r="I367" s="629"/>
      <c r="J367" s="629"/>
      <c r="K367" s="622"/>
      <c r="L367" s="630"/>
      <c r="M367" s="275"/>
      <c r="N367" s="624"/>
      <c r="O367" s="624"/>
      <c r="P367" s="624"/>
      <c r="Q367" s="624"/>
      <c r="R367" s="624"/>
      <c r="S367" s="624"/>
      <c r="T367" s="663"/>
    </row>
    <row r="368" spans="7:21" s="661" customFormat="1" x14ac:dyDescent="0.2">
      <c r="G368" s="621"/>
      <c r="H368" s="622"/>
      <c r="I368" s="629"/>
      <c r="J368" s="629"/>
      <c r="K368" s="622"/>
      <c r="L368" s="630"/>
      <c r="M368" s="275"/>
      <c r="N368" s="624"/>
      <c r="O368" s="624"/>
      <c r="P368" s="624"/>
      <c r="Q368" s="624"/>
      <c r="R368" s="624"/>
      <c r="S368" s="624"/>
      <c r="T368" s="663"/>
    </row>
    <row r="369" spans="7:20" s="661" customFormat="1" x14ac:dyDescent="0.2">
      <c r="G369" s="621"/>
      <c r="H369" s="622"/>
      <c r="I369" s="629"/>
      <c r="J369" s="629"/>
      <c r="K369" s="622"/>
      <c r="L369" s="630"/>
      <c r="M369" s="275"/>
      <c r="N369" s="624"/>
      <c r="O369" s="624"/>
      <c r="P369" s="624"/>
      <c r="Q369" s="624"/>
      <c r="R369" s="624"/>
      <c r="S369" s="624"/>
      <c r="T369" s="663"/>
    </row>
    <row r="370" spans="7:20" s="661" customFormat="1" x14ac:dyDescent="0.2">
      <c r="G370" s="621"/>
      <c r="H370" s="622"/>
      <c r="I370" s="629"/>
      <c r="J370" s="629"/>
      <c r="K370" s="622"/>
      <c r="L370" s="630"/>
      <c r="M370" s="275"/>
      <c r="N370" s="624"/>
      <c r="O370" s="624"/>
      <c r="P370" s="624"/>
      <c r="Q370" s="624"/>
      <c r="R370" s="624"/>
      <c r="S370" s="624"/>
      <c r="T370" s="663"/>
    </row>
    <row r="371" spans="7:20" s="661" customFormat="1" x14ac:dyDescent="0.2">
      <c r="G371" s="621"/>
      <c r="H371" s="622"/>
      <c r="I371" s="629"/>
      <c r="J371" s="629"/>
      <c r="K371" s="622"/>
      <c r="L371" s="630"/>
      <c r="M371" s="621"/>
      <c r="N371" s="624"/>
      <c r="O371" s="624"/>
      <c r="P371" s="624"/>
      <c r="Q371" s="624"/>
      <c r="R371" s="624"/>
      <c r="S371" s="624"/>
      <c r="T371" s="663"/>
    </row>
    <row r="372" spans="7:20" s="661" customFormat="1" x14ac:dyDescent="0.2">
      <c r="G372" s="621"/>
      <c r="H372" s="619"/>
      <c r="I372" s="629"/>
      <c r="J372" s="629"/>
      <c r="K372" s="619"/>
      <c r="L372" s="630"/>
      <c r="M372" s="621"/>
      <c r="N372" s="624"/>
      <c r="O372" s="624"/>
      <c r="P372" s="624"/>
      <c r="Q372" s="624"/>
      <c r="R372" s="624"/>
      <c r="S372" s="624"/>
      <c r="T372" s="663"/>
    </row>
    <row r="373" spans="7:20" s="661" customFormat="1" x14ac:dyDescent="0.2">
      <c r="G373" s="621"/>
      <c r="H373" s="619"/>
      <c r="I373" s="629"/>
      <c r="J373" s="629"/>
      <c r="K373" s="619"/>
      <c r="L373" s="630"/>
      <c r="M373" s="621"/>
      <c r="N373" s="624"/>
      <c r="O373" s="624"/>
      <c r="P373" s="624"/>
      <c r="Q373" s="624"/>
      <c r="R373" s="624"/>
      <c r="S373" s="624"/>
      <c r="T373" s="663"/>
    </row>
    <row r="374" spans="7:20" s="661" customFormat="1" x14ac:dyDescent="0.2">
      <c r="G374" s="621"/>
      <c r="H374" s="619"/>
      <c r="I374" s="629"/>
      <c r="J374" s="629"/>
      <c r="K374" s="619"/>
      <c r="L374" s="630"/>
      <c r="M374" s="621"/>
      <c r="N374" s="624"/>
      <c r="O374" s="624"/>
      <c r="P374" s="624"/>
      <c r="Q374" s="624"/>
      <c r="R374" s="624"/>
      <c r="S374" s="624"/>
      <c r="T374" s="663"/>
    </row>
    <row r="375" spans="7:20" s="661" customFormat="1" x14ac:dyDescent="0.2">
      <c r="G375" s="621"/>
      <c r="H375" s="619"/>
      <c r="I375" s="629"/>
      <c r="J375" s="629"/>
      <c r="K375" s="619"/>
      <c r="L375" s="630"/>
      <c r="M375" s="621"/>
      <c r="N375" s="624"/>
      <c r="O375" s="624"/>
      <c r="P375" s="624"/>
      <c r="Q375" s="624"/>
      <c r="R375" s="624"/>
      <c r="S375" s="624"/>
      <c r="T375" s="663"/>
    </row>
    <row r="376" spans="7:20" s="661" customFormat="1" x14ac:dyDescent="0.2">
      <c r="G376" s="621"/>
      <c r="H376" s="619"/>
      <c r="I376" s="629"/>
      <c r="J376" s="629"/>
      <c r="K376" s="619"/>
      <c r="L376" s="630"/>
      <c r="M376" s="621"/>
      <c r="N376" s="624"/>
      <c r="O376" s="624"/>
      <c r="P376" s="624"/>
      <c r="Q376" s="624"/>
      <c r="R376" s="624"/>
      <c r="S376" s="624"/>
      <c r="T376" s="663"/>
    </row>
    <row r="377" spans="7:20" s="661" customFormat="1" x14ac:dyDescent="0.2">
      <c r="G377" s="621"/>
      <c r="H377" s="619"/>
      <c r="I377" s="629"/>
      <c r="J377" s="629"/>
      <c r="K377" s="619"/>
      <c r="L377" s="630"/>
      <c r="M377" s="621"/>
      <c r="N377" s="624"/>
      <c r="O377" s="624"/>
      <c r="P377" s="624"/>
      <c r="Q377" s="624"/>
      <c r="R377" s="624"/>
      <c r="S377" s="624"/>
      <c r="T377" s="663"/>
    </row>
    <row r="378" spans="7:20" s="661" customFormat="1" x14ac:dyDescent="0.2">
      <c r="G378" s="621"/>
      <c r="H378" s="619"/>
      <c r="I378" s="629"/>
      <c r="J378" s="629"/>
      <c r="K378" s="619"/>
      <c r="L378" s="630"/>
      <c r="M378" s="621"/>
      <c r="N378" s="624"/>
      <c r="O378" s="624"/>
      <c r="P378" s="624"/>
      <c r="Q378" s="624"/>
      <c r="R378" s="624"/>
      <c r="S378" s="624"/>
      <c r="T378" s="663"/>
    </row>
    <row r="379" spans="7:20" s="661" customFormat="1" ht="18" x14ac:dyDescent="0.25">
      <c r="G379" s="285" t="s">
        <v>85</v>
      </c>
      <c r="H379" s="284"/>
      <c r="I379" s="283"/>
      <c r="J379" s="283"/>
      <c r="K379" s="280"/>
      <c r="L379" s="282"/>
      <c r="M379" s="281"/>
      <c r="N379" s="402"/>
      <c r="O379" s="402"/>
      <c r="P379" s="402"/>
      <c r="Q379" s="402"/>
      <c r="R379" s="402"/>
      <c r="S379" s="402"/>
      <c r="T379" s="401"/>
    </row>
    <row r="380" spans="7:20" s="661" customFormat="1" x14ac:dyDescent="0.2">
      <c r="G380" s="621"/>
      <c r="H380" s="278"/>
      <c r="I380" s="279"/>
      <c r="J380" s="279"/>
      <c r="K380" s="278"/>
      <c r="L380" s="277"/>
      <c r="M380" s="276"/>
      <c r="N380" s="624"/>
      <c r="O380" s="624"/>
      <c r="P380" s="624"/>
      <c r="Q380" s="624"/>
      <c r="R380" s="624"/>
      <c r="S380" s="624"/>
      <c r="T380" s="663"/>
    </row>
    <row r="381" spans="7:20" s="661" customFormat="1" x14ac:dyDescent="0.2">
      <c r="G381" s="621"/>
      <c r="H381" s="278"/>
      <c r="I381" s="279"/>
      <c r="J381" s="279"/>
      <c r="K381" s="278"/>
      <c r="L381" s="277"/>
      <c r="M381" s="276"/>
      <c r="N381" s="624"/>
      <c r="O381" s="624"/>
      <c r="P381" s="624"/>
      <c r="Q381" s="624"/>
      <c r="R381" s="624"/>
      <c r="S381" s="624"/>
      <c r="T381" s="663"/>
    </row>
    <row r="382" spans="7:20" s="661" customFormat="1" x14ac:dyDescent="0.2">
      <c r="G382" s="621"/>
      <c r="H382" s="622"/>
      <c r="I382" s="629"/>
      <c r="J382" s="629"/>
      <c r="K382" s="622"/>
      <c r="L382" s="630"/>
      <c r="M382" s="275"/>
      <c r="N382" s="624"/>
      <c r="O382" s="624"/>
      <c r="P382" s="624"/>
      <c r="Q382" s="624"/>
      <c r="R382" s="624"/>
      <c r="S382" s="624"/>
      <c r="T382" s="663"/>
    </row>
    <row r="383" spans="7:20" s="661" customFormat="1" x14ac:dyDescent="0.2">
      <c r="G383" s="621"/>
      <c r="H383" s="622"/>
      <c r="I383" s="629"/>
      <c r="J383" s="629"/>
      <c r="K383" s="622"/>
      <c r="L383" s="630"/>
      <c r="M383" s="275"/>
      <c r="N383" s="624"/>
      <c r="O383" s="624"/>
      <c r="P383" s="624"/>
      <c r="Q383" s="624"/>
      <c r="R383" s="624"/>
      <c r="S383" s="624"/>
      <c r="T383" s="663"/>
    </row>
    <row r="384" spans="7:20" s="661" customFormat="1" x14ac:dyDescent="0.2">
      <c r="G384" s="621"/>
      <c r="H384" s="622"/>
      <c r="I384" s="629"/>
      <c r="J384" s="629"/>
      <c r="K384" s="622"/>
      <c r="L384" s="630"/>
      <c r="M384" s="275"/>
      <c r="N384" s="624"/>
      <c r="O384" s="624"/>
      <c r="P384" s="624"/>
      <c r="Q384" s="624"/>
      <c r="R384" s="624"/>
      <c r="S384" s="624"/>
      <c r="T384" s="663"/>
    </row>
    <row r="385" spans="7:20" s="661" customFormat="1" x14ac:dyDescent="0.2">
      <c r="G385" s="621"/>
      <c r="H385" s="622"/>
      <c r="I385" s="629"/>
      <c r="J385" s="629"/>
      <c r="K385" s="622"/>
      <c r="L385" s="630"/>
      <c r="M385" s="275"/>
      <c r="N385" s="624"/>
      <c r="O385" s="624"/>
      <c r="P385" s="624"/>
      <c r="Q385" s="624"/>
      <c r="R385" s="624"/>
      <c r="S385" s="624"/>
      <c r="T385" s="663"/>
    </row>
    <row r="386" spans="7:20" s="661" customFormat="1" x14ac:dyDescent="0.2">
      <c r="G386" s="621"/>
      <c r="H386" s="622"/>
      <c r="I386" s="629"/>
      <c r="J386" s="629"/>
      <c r="K386" s="622"/>
      <c r="L386" s="630"/>
      <c r="M386" s="621"/>
      <c r="N386" s="624"/>
      <c r="O386" s="624"/>
      <c r="P386" s="624"/>
      <c r="Q386" s="624"/>
      <c r="R386" s="624"/>
      <c r="S386" s="624"/>
      <c r="T386" s="663"/>
    </row>
    <row r="387" spans="7:20" s="661" customFormat="1" x14ac:dyDescent="0.2">
      <c r="G387" s="621"/>
      <c r="H387" s="622"/>
      <c r="I387" s="629"/>
      <c r="J387" s="629"/>
      <c r="K387" s="622"/>
      <c r="L387" s="630"/>
      <c r="M387" s="275"/>
      <c r="N387" s="624"/>
      <c r="O387" s="624"/>
      <c r="P387" s="624"/>
      <c r="Q387" s="624"/>
      <c r="R387" s="624"/>
      <c r="S387" s="624"/>
      <c r="T387" s="663"/>
    </row>
    <row r="388" spans="7:20" s="661" customFormat="1" x14ac:dyDescent="0.2">
      <c r="G388" s="621"/>
      <c r="H388" s="622"/>
      <c r="I388" s="629"/>
      <c r="J388" s="629"/>
      <c r="K388" s="622"/>
      <c r="L388" s="630"/>
      <c r="M388" s="275"/>
      <c r="N388" s="624"/>
      <c r="O388" s="624"/>
      <c r="P388" s="624"/>
      <c r="Q388" s="624"/>
      <c r="R388" s="624"/>
      <c r="S388" s="624"/>
      <c r="T388" s="663"/>
    </row>
    <row r="389" spans="7:20" s="661" customFormat="1" x14ac:dyDescent="0.2">
      <c r="G389" s="621"/>
      <c r="H389" s="622"/>
      <c r="I389" s="629"/>
      <c r="J389" s="629"/>
      <c r="K389" s="622"/>
      <c r="L389" s="630"/>
      <c r="M389" s="275"/>
      <c r="N389" s="624"/>
      <c r="O389" s="624"/>
      <c r="P389" s="624"/>
      <c r="Q389" s="624"/>
      <c r="R389" s="624"/>
      <c r="S389" s="624"/>
      <c r="T389" s="663"/>
    </row>
    <row r="390" spans="7:20" s="661" customFormat="1" x14ac:dyDescent="0.2">
      <c r="G390" s="621"/>
      <c r="H390" s="622"/>
      <c r="I390" s="629"/>
      <c r="J390" s="629"/>
      <c r="K390" s="622"/>
      <c r="L390" s="630"/>
      <c r="M390" s="621"/>
      <c r="N390" s="624"/>
      <c r="O390" s="624"/>
      <c r="P390" s="624"/>
      <c r="Q390" s="624"/>
      <c r="R390" s="624"/>
      <c r="S390" s="624"/>
      <c r="T390" s="663"/>
    </row>
    <row r="391" spans="7:20" s="661" customFormat="1" x14ac:dyDescent="0.2">
      <c r="G391" s="621"/>
      <c r="H391" s="622"/>
      <c r="I391" s="629"/>
      <c r="J391" s="629"/>
      <c r="K391" s="622"/>
      <c r="L391" s="630"/>
      <c r="M391" s="621"/>
      <c r="N391" s="624"/>
      <c r="O391" s="624"/>
      <c r="P391" s="624"/>
      <c r="Q391" s="624"/>
      <c r="R391" s="624"/>
      <c r="S391" s="624"/>
      <c r="T391" s="663"/>
    </row>
    <row r="392" spans="7:20" s="661" customFormat="1" x14ac:dyDescent="0.2">
      <c r="G392" s="621"/>
      <c r="H392" s="622"/>
      <c r="I392" s="629"/>
      <c r="J392" s="629"/>
      <c r="K392" s="622"/>
      <c r="L392" s="630"/>
      <c r="M392" s="621"/>
      <c r="N392" s="624"/>
      <c r="O392" s="624"/>
      <c r="P392" s="624"/>
      <c r="Q392" s="624"/>
      <c r="R392" s="624"/>
      <c r="S392" s="624"/>
      <c r="T392" s="663"/>
    </row>
    <row r="393" spans="7:20" s="661" customFormat="1" x14ac:dyDescent="0.2">
      <c r="G393" s="621"/>
      <c r="H393" s="622"/>
      <c r="I393" s="629"/>
      <c r="J393" s="629"/>
      <c r="K393" s="622"/>
      <c r="L393" s="630"/>
      <c r="M393" s="621"/>
      <c r="N393" s="624"/>
      <c r="O393" s="624"/>
      <c r="P393" s="624"/>
      <c r="Q393" s="624"/>
      <c r="R393" s="624"/>
      <c r="S393" s="624"/>
      <c r="T393" s="663"/>
    </row>
    <row r="394" spans="7:20" s="661" customFormat="1" x14ac:dyDescent="0.2">
      <c r="G394" s="621"/>
      <c r="H394" s="622"/>
      <c r="I394" s="629"/>
      <c r="J394" s="629"/>
      <c r="K394" s="622"/>
      <c r="L394" s="630"/>
      <c r="M394" s="621"/>
      <c r="N394" s="624"/>
      <c r="O394" s="624"/>
      <c r="P394" s="624"/>
      <c r="Q394" s="624"/>
      <c r="R394" s="624"/>
      <c r="S394" s="624"/>
      <c r="T394" s="663"/>
    </row>
    <row r="395" spans="7:20" s="661" customFormat="1" x14ac:dyDescent="0.2">
      <c r="G395" s="621"/>
      <c r="H395" s="622"/>
      <c r="I395" s="629"/>
      <c r="J395" s="629"/>
      <c r="K395" s="622"/>
      <c r="L395" s="630"/>
      <c r="M395" s="621"/>
      <c r="N395" s="624"/>
      <c r="O395" s="624"/>
      <c r="P395" s="624"/>
      <c r="Q395" s="624"/>
      <c r="R395" s="624"/>
      <c r="S395" s="624"/>
      <c r="T395" s="663"/>
    </row>
    <row r="396" spans="7:20" s="661" customFormat="1" x14ac:dyDescent="0.2">
      <c r="G396" s="621"/>
      <c r="H396" s="622"/>
      <c r="I396" s="629"/>
      <c r="J396" s="629"/>
      <c r="K396" s="622"/>
      <c r="L396" s="630"/>
      <c r="M396" s="621"/>
      <c r="N396" s="624"/>
      <c r="O396" s="624"/>
      <c r="P396" s="624"/>
      <c r="Q396" s="624"/>
      <c r="R396" s="624"/>
      <c r="S396" s="624"/>
      <c r="T396" s="663"/>
    </row>
    <row r="397" spans="7:20" s="661" customFormat="1" x14ac:dyDescent="0.2">
      <c r="G397" s="621"/>
      <c r="H397" s="622"/>
      <c r="I397" s="629"/>
      <c r="J397" s="629"/>
      <c r="K397" s="622"/>
      <c r="L397" s="630"/>
      <c r="M397" s="621"/>
      <c r="N397" s="624"/>
      <c r="O397" s="624"/>
      <c r="P397" s="624"/>
      <c r="Q397" s="624"/>
      <c r="R397" s="624"/>
      <c r="S397" s="624"/>
      <c r="T397" s="663"/>
    </row>
    <row r="398" spans="7:20" s="661" customFormat="1" x14ac:dyDescent="0.2">
      <c r="G398" s="621"/>
      <c r="H398" s="622"/>
      <c r="I398" s="629"/>
      <c r="J398" s="629"/>
      <c r="K398" s="622"/>
      <c r="L398" s="630"/>
      <c r="M398" s="621"/>
      <c r="N398" s="624"/>
      <c r="O398" s="624"/>
      <c r="P398" s="624"/>
      <c r="Q398" s="624"/>
      <c r="R398" s="624"/>
      <c r="S398" s="624"/>
      <c r="T398" s="663"/>
    </row>
    <row r="399" spans="7:20" s="661" customFormat="1" x14ac:dyDescent="0.2">
      <c r="G399" s="621"/>
      <c r="H399" s="622"/>
      <c r="I399" s="629"/>
      <c r="J399" s="629"/>
      <c r="K399" s="622"/>
      <c r="L399" s="630"/>
      <c r="M399" s="621"/>
      <c r="N399" s="624"/>
      <c r="O399" s="624"/>
      <c r="P399" s="624"/>
      <c r="Q399" s="624"/>
      <c r="R399" s="624"/>
      <c r="S399" s="624"/>
      <c r="T399" s="663"/>
    </row>
    <row r="400" spans="7:20" s="661" customFormat="1" x14ac:dyDescent="0.2">
      <c r="G400" s="621"/>
      <c r="H400" s="622"/>
      <c r="I400" s="629"/>
      <c r="J400" s="629"/>
      <c r="K400" s="622"/>
      <c r="L400" s="630"/>
      <c r="M400" s="621"/>
      <c r="N400" s="624"/>
      <c r="O400" s="624"/>
      <c r="P400" s="624"/>
      <c r="Q400" s="624"/>
      <c r="R400" s="624"/>
      <c r="S400" s="624"/>
      <c r="T400" s="663"/>
    </row>
    <row r="401" spans="7:20" s="661" customFormat="1" x14ac:dyDescent="0.2">
      <c r="G401" s="621"/>
      <c r="H401" s="622"/>
      <c r="I401" s="629"/>
      <c r="J401" s="629"/>
      <c r="K401" s="622"/>
      <c r="L401" s="630"/>
      <c r="M401" s="621"/>
      <c r="N401" s="624"/>
      <c r="O401" s="624"/>
      <c r="P401" s="624"/>
      <c r="Q401" s="624"/>
      <c r="R401" s="624"/>
      <c r="S401" s="624"/>
      <c r="T401" s="663"/>
    </row>
    <row r="402" spans="7:20" s="661" customFormat="1" x14ac:dyDescent="0.2">
      <c r="G402" s="621"/>
      <c r="H402" s="627"/>
      <c r="I402" s="629"/>
      <c r="J402" s="629"/>
      <c r="K402" s="619"/>
      <c r="L402" s="630"/>
      <c r="M402" s="621"/>
      <c r="N402" s="624"/>
      <c r="O402" s="624"/>
      <c r="P402" s="624"/>
      <c r="Q402" s="624"/>
      <c r="R402" s="624"/>
      <c r="S402" s="624"/>
      <c r="T402" s="663"/>
    </row>
    <row r="403" spans="7:20" s="661" customFormat="1" x14ac:dyDescent="0.2">
      <c r="G403" s="621"/>
      <c r="H403" s="622"/>
      <c r="I403" s="629"/>
      <c r="J403" s="629"/>
      <c r="K403" s="622"/>
      <c r="L403" s="617"/>
      <c r="M403" s="296"/>
      <c r="N403" s="624"/>
      <c r="O403" s="624"/>
      <c r="P403" s="624"/>
      <c r="Q403" s="624"/>
      <c r="R403" s="624"/>
      <c r="S403" s="624"/>
      <c r="T403" s="663"/>
    </row>
    <row r="404" spans="7:20" s="661" customFormat="1" x14ac:dyDescent="0.2">
      <c r="G404" s="621"/>
      <c r="H404" s="622"/>
      <c r="I404" s="629"/>
      <c r="J404" s="629"/>
      <c r="K404" s="622"/>
      <c r="L404" s="617"/>
      <c r="M404" s="296"/>
      <c r="N404" s="624"/>
      <c r="O404" s="624"/>
      <c r="P404" s="624"/>
      <c r="Q404" s="624"/>
      <c r="R404" s="624"/>
      <c r="S404" s="624"/>
      <c r="T404" s="663"/>
    </row>
    <row r="405" spans="7:20" s="661" customFormat="1" x14ac:dyDescent="0.2">
      <c r="G405" s="621"/>
      <c r="H405" s="622"/>
      <c r="I405" s="629"/>
      <c r="J405" s="629"/>
      <c r="K405" s="622"/>
      <c r="L405" s="617"/>
      <c r="M405" s="296"/>
      <c r="N405" s="624"/>
      <c r="O405" s="624"/>
      <c r="P405" s="624"/>
      <c r="Q405" s="624"/>
      <c r="R405" s="624"/>
      <c r="S405" s="624"/>
      <c r="T405" s="663"/>
    </row>
    <row r="406" spans="7:20" s="661" customFormat="1" x14ac:dyDescent="0.2">
      <c r="G406" s="621"/>
      <c r="H406" s="622"/>
      <c r="I406" s="629"/>
      <c r="J406" s="629"/>
      <c r="K406" s="622"/>
      <c r="L406" s="617"/>
      <c r="M406" s="296"/>
      <c r="N406" s="624"/>
      <c r="O406" s="624"/>
      <c r="P406" s="624"/>
      <c r="Q406" s="624"/>
      <c r="R406" s="624"/>
      <c r="S406" s="624"/>
      <c r="T406" s="663"/>
    </row>
    <row r="407" spans="7:20" s="661" customFormat="1" x14ac:dyDescent="0.2">
      <c r="G407" s="621"/>
      <c r="H407" s="622"/>
      <c r="I407" s="629"/>
      <c r="J407" s="629"/>
      <c r="K407" s="622"/>
      <c r="L407" s="617"/>
      <c r="M407" s="300"/>
      <c r="N407" s="624"/>
      <c r="O407" s="624"/>
      <c r="P407" s="624"/>
      <c r="Q407" s="624"/>
      <c r="R407" s="624"/>
      <c r="S407" s="624"/>
      <c r="T407" s="663"/>
    </row>
    <row r="408" spans="7:20" s="661" customFormat="1" x14ac:dyDescent="0.2">
      <c r="G408" s="621"/>
      <c r="H408" s="622"/>
      <c r="I408" s="629"/>
      <c r="J408" s="629"/>
      <c r="K408" s="622"/>
      <c r="L408" s="617"/>
      <c r="M408" s="296"/>
      <c r="N408" s="624"/>
      <c r="O408" s="624"/>
      <c r="P408" s="624"/>
      <c r="Q408" s="624"/>
      <c r="R408" s="624"/>
      <c r="S408" s="624"/>
      <c r="T408" s="663"/>
    </row>
    <row r="409" spans="7:20" s="661" customFormat="1" x14ac:dyDescent="0.2">
      <c r="G409" s="621"/>
      <c r="H409" s="622"/>
      <c r="I409" s="629"/>
      <c r="J409" s="629"/>
      <c r="K409" s="622"/>
      <c r="L409" s="617"/>
      <c r="M409" s="300"/>
      <c r="N409" s="624"/>
      <c r="O409" s="624"/>
      <c r="P409" s="624"/>
      <c r="Q409" s="624"/>
      <c r="R409" s="624"/>
      <c r="S409" s="624"/>
      <c r="T409" s="663"/>
    </row>
    <row r="410" spans="7:20" s="661" customFormat="1" x14ac:dyDescent="0.2">
      <c r="G410" s="621"/>
      <c r="H410" s="622"/>
      <c r="I410" s="629"/>
      <c r="J410" s="629"/>
      <c r="K410" s="622"/>
      <c r="L410" s="617"/>
      <c r="M410" s="300"/>
      <c r="N410" s="624"/>
      <c r="O410" s="624"/>
      <c r="P410" s="624"/>
      <c r="Q410" s="624"/>
      <c r="R410" s="624"/>
      <c r="S410" s="624"/>
      <c r="T410" s="663"/>
    </row>
    <row r="411" spans="7:20" s="661" customFormat="1" x14ac:dyDescent="0.2">
      <c r="G411" s="621"/>
      <c r="H411" s="622"/>
      <c r="I411" s="629"/>
      <c r="J411" s="629"/>
      <c r="K411" s="619"/>
      <c r="L411" s="617"/>
      <c r="M411" s="300"/>
      <c r="N411" s="624"/>
      <c r="O411" s="624"/>
      <c r="P411" s="624"/>
      <c r="Q411" s="624"/>
      <c r="R411" s="624"/>
      <c r="S411" s="624"/>
      <c r="T411" s="663"/>
    </row>
    <row r="412" spans="7:20" s="661" customFormat="1" x14ac:dyDescent="0.2">
      <c r="G412" s="621"/>
      <c r="H412" s="622"/>
      <c r="I412" s="629"/>
      <c r="J412" s="629"/>
      <c r="K412" s="622"/>
      <c r="L412" s="617"/>
      <c r="M412" s="300"/>
      <c r="N412" s="624"/>
      <c r="O412" s="624"/>
      <c r="P412" s="624"/>
      <c r="Q412" s="624"/>
      <c r="R412" s="624"/>
      <c r="S412" s="624"/>
      <c r="T412" s="663"/>
    </row>
    <row r="413" spans="7:20" s="661" customFormat="1" x14ac:dyDescent="0.2">
      <c r="G413" s="621"/>
      <c r="H413" s="622"/>
      <c r="I413" s="629"/>
      <c r="J413" s="629"/>
      <c r="K413" s="622"/>
      <c r="L413" s="617"/>
      <c r="M413" s="300"/>
      <c r="N413" s="624"/>
      <c r="O413" s="624"/>
      <c r="P413" s="624"/>
      <c r="Q413" s="624"/>
      <c r="R413" s="624"/>
      <c r="S413" s="624"/>
      <c r="T413" s="663"/>
    </row>
    <row r="414" spans="7:20" s="661" customFormat="1" x14ac:dyDescent="0.2">
      <c r="G414" s="621"/>
      <c r="H414" s="622"/>
      <c r="I414" s="629"/>
      <c r="J414" s="629"/>
      <c r="K414" s="622"/>
      <c r="L414" s="617"/>
      <c r="M414" s="300"/>
      <c r="N414" s="624"/>
      <c r="O414" s="624"/>
      <c r="P414" s="624"/>
      <c r="Q414" s="624"/>
      <c r="R414" s="624"/>
      <c r="S414" s="624"/>
      <c r="T414" s="663"/>
    </row>
    <row r="415" spans="7:20" s="661" customFormat="1" x14ac:dyDescent="0.2">
      <c r="G415" s="621"/>
      <c r="H415" s="622"/>
      <c r="I415" s="629"/>
      <c r="J415" s="629"/>
      <c r="K415" s="622"/>
      <c r="L415" s="617"/>
      <c r="M415" s="300"/>
      <c r="N415" s="624"/>
      <c r="O415" s="624"/>
      <c r="P415" s="624"/>
      <c r="Q415" s="624"/>
      <c r="R415" s="624"/>
      <c r="S415" s="624"/>
      <c r="T415" s="663"/>
    </row>
    <row r="416" spans="7:20" s="661" customFormat="1" x14ac:dyDescent="0.2">
      <c r="G416" s="621"/>
      <c r="H416" s="622"/>
      <c r="I416" s="629"/>
      <c r="J416" s="629"/>
      <c r="K416" s="622"/>
      <c r="L416" s="617"/>
      <c r="M416" s="300"/>
      <c r="N416" s="624"/>
      <c r="O416" s="624"/>
      <c r="P416" s="624"/>
      <c r="Q416" s="624"/>
      <c r="R416" s="624"/>
      <c r="S416" s="624"/>
      <c r="T416" s="663"/>
    </row>
    <row r="417" spans="7:20" s="661" customFormat="1" x14ac:dyDescent="0.2">
      <c r="G417" s="621"/>
      <c r="H417" s="622"/>
      <c r="I417" s="629"/>
      <c r="J417" s="629"/>
      <c r="K417" s="622"/>
      <c r="L417" s="617"/>
      <c r="M417" s="300"/>
      <c r="N417" s="624"/>
      <c r="O417" s="624"/>
      <c r="P417" s="624"/>
      <c r="Q417" s="624"/>
      <c r="R417" s="624"/>
      <c r="S417" s="624"/>
      <c r="T417" s="663"/>
    </row>
    <row r="418" spans="7:20" s="661" customFormat="1" x14ac:dyDescent="0.2">
      <c r="G418" s="621"/>
      <c r="H418" s="622"/>
      <c r="I418" s="629"/>
      <c r="J418" s="629"/>
      <c r="K418" s="619"/>
      <c r="L418" s="617"/>
      <c r="M418" s="300"/>
      <c r="N418" s="624"/>
      <c r="O418" s="624"/>
      <c r="P418" s="624"/>
      <c r="Q418" s="624"/>
      <c r="R418" s="624"/>
      <c r="S418" s="624"/>
      <c r="T418" s="663"/>
    </row>
    <row r="419" spans="7:20" s="661" customFormat="1" x14ac:dyDescent="0.2">
      <c r="G419" s="621"/>
      <c r="H419" s="619"/>
      <c r="I419" s="629"/>
      <c r="J419" s="629"/>
      <c r="K419" s="622"/>
      <c r="L419" s="617"/>
      <c r="M419" s="296"/>
      <c r="N419" s="624"/>
      <c r="O419" s="624"/>
      <c r="P419" s="624"/>
      <c r="Q419" s="624"/>
      <c r="R419" s="624"/>
      <c r="S419" s="624"/>
      <c r="T419" s="663"/>
    </row>
    <row r="420" spans="7:20" s="661" customFormat="1" ht="18" x14ac:dyDescent="0.25">
      <c r="G420" s="285" t="s">
        <v>69</v>
      </c>
      <c r="H420" s="284"/>
      <c r="I420" s="283"/>
      <c r="J420" s="283"/>
      <c r="K420" s="280"/>
      <c r="L420" s="282"/>
      <c r="M420" s="281"/>
      <c r="N420" s="402"/>
      <c r="O420" s="402"/>
      <c r="P420" s="402"/>
      <c r="Q420" s="402"/>
      <c r="R420" s="402"/>
      <c r="S420" s="402"/>
      <c r="T420" s="401"/>
    </row>
    <row r="421" spans="7:20" s="661" customFormat="1" x14ac:dyDescent="0.2">
      <c r="G421" s="621"/>
      <c r="H421" s="278"/>
      <c r="I421" s="279"/>
      <c r="J421" s="279"/>
      <c r="K421" s="278"/>
      <c r="L421" s="277"/>
      <c r="M421" s="276"/>
      <c r="N421" s="624"/>
      <c r="O421" s="624"/>
      <c r="P421" s="624"/>
      <c r="Q421" s="624"/>
      <c r="R421" s="624"/>
      <c r="S421" s="624"/>
      <c r="T421" s="663"/>
    </row>
    <row r="422" spans="7:20" s="661" customFormat="1" x14ac:dyDescent="0.2">
      <c r="G422" s="621"/>
      <c r="H422" s="627"/>
      <c r="I422" s="629"/>
      <c r="J422" s="629"/>
      <c r="K422" s="619"/>
      <c r="L422" s="630"/>
      <c r="M422" s="621"/>
      <c r="N422" s="624"/>
      <c r="O422" s="624"/>
      <c r="P422" s="624"/>
      <c r="Q422" s="624"/>
      <c r="R422" s="624"/>
      <c r="S422" s="624"/>
      <c r="T422" s="663"/>
    </row>
    <row r="423" spans="7:20" s="661" customFormat="1" x14ac:dyDescent="0.2">
      <c r="G423" s="621"/>
      <c r="H423" s="622"/>
      <c r="I423" s="629"/>
      <c r="J423" s="629"/>
      <c r="K423" s="622"/>
      <c r="L423" s="619"/>
      <c r="M423" s="296"/>
      <c r="N423" s="367"/>
      <c r="O423" s="624"/>
      <c r="P423" s="624"/>
      <c r="Q423" s="624"/>
      <c r="R423" s="624"/>
      <c r="S423" s="624"/>
      <c r="T423" s="663"/>
    </row>
    <row r="424" spans="7:20" s="661" customFormat="1" x14ac:dyDescent="0.2">
      <c r="G424" s="621"/>
      <c r="H424" s="622"/>
      <c r="I424" s="629"/>
      <c r="J424" s="629"/>
      <c r="K424" s="622"/>
      <c r="L424" s="619"/>
      <c r="M424" s="296"/>
      <c r="N424" s="367"/>
      <c r="O424" s="624"/>
      <c r="P424" s="624"/>
      <c r="Q424" s="624"/>
      <c r="R424" s="624"/>
      <c r="S424" s="624"/>
      <c r="T424" s="663"/>
    </row>
    <row r="425" spans="7:20" s="661" customFormat="1" x14ac:dyDescent="0.2">
      <c r="G425" s="621"/>
      <c r="H425" s="622"/>
      <c r="I425" s="629"/>
      <c r="J425" s="629"/>
      <c r="K425" s="622"/>
      <c r="L425" s="619"/>
      <c r="M425" s="296"/>
      <c r="N425" s="367"/>
      <c r="O425" s="624"/>
      <c r="P425" s="624"/>
      <c r="Q425" s="624"/>
      <c r="R425" s="624"/>
      <c r="S425" s="624"/>
      <c r="T425" s="663"/>
    </row>
    <row r="426" spans="7:20" s="661" customFormat="1" x14ac:dyDescent="0.2">
      <c r="G426" s="621"/>
      <c r="H426" s="622"/>
      <c r="I426" s="629"/>
      <c r="J426" s="629"/>
      <c r="K426" s="622"/>
      <c r="L426" s="619"/>
      <c r="M426" s="296"/>
      <c r="N426" s="367"/>
      <c r="O426" s="624"/>
      <c r="P426" s="624"/>
      <c r="Q426" s="624"/>
      <c r="R426" s="624"/>
      <c r="S426" s="624"/>
      <c r="T426" s="663"/>
    </row>
    <row r="427" spans="7:20" s="661" customFormat="1" x14ac:dyDescent="0.2">
      <c r="G427" s="621"/>
      <c r="H427" s="622"/>
      <c r="I427" s="629"/>
      <c r="J427" s="629"/>
      <c r="K427" s="622"/>
      <c r="L427" s="619"/>
      <c r="M427" s="296"/>
      <c r="N427" s="367"/>
      <c r="O427" s="624"/>
      <c r="P427" s="624"/>
      <c r="Q427" s="624"/>
      <c r="R427" s="624"/>
      <c r="S427" s="624"/>
      <c r="T427" s="663"/>
    </row>
    <row r="428" spans="7:20" s="661" customFormat="1" x14ac:dyDescent="0.2">
      <c r="G428" s="621"/>
      <c r="H428" s="622"/>
      <c r="I428" s="629"/>
      <c r="J428" s="629"/>
      <c r="K428" s="622"/>
      <c r="L428" s="619"/>
      <c r="M428" s="296"/>
      <c r="N428" s="367"/>
      <c r="O428" s="624"/>
      <c r="P428" s="624"/>
      <c r="Q428" s="624"/>
      <c r="R428" s="624"/>
      <c r="S428" s="624"/>
      <c r="T428" s="663"/>
    </row>
    <row r="429" spans="7:20" s="661" customFormat="1" x14ac:dyDescent="0.2">
      <c r="G429" s="621"/>
      <c r="H429" s="622"/>
      <c r="I429" s="629"/>
      <c r="J429" s="629"/>
      <c r="K429" s="622"/>
      <c r="L429" s="619"/>
      <c r="M429" s="296"/>
      <c r="N429" s="367"/>
      <c r="O429" s="624"/>
      <c r="P429" s="624"/>
      <c r="Q429" s="624"/>
      <c r="R429" s="624"/>
      <c r="S429" s="624"/>
      <c r="T429" s="663"/>
    </row>
    <row r="430" spans="7:20" s="661" customFormat="1" x14ac:dyDescent="0.2">
      <c r="G430" s="621"/>
      <c r="H430" s="622"/>
      <c r="I430" s="629"/>
      <c r="J430" s="629"/>
      <c r="K430" s="622"/>
      <c r="L430" s="619"/>
      <c r="M430" s="296"/>
      <c r="N430" s="367"/>
      <c r="O430" s="624"/>
      <c r="P430" s="624"/>
      <c r="Q430" s="624"/>
      <c r="R430" s="624"/>
      <c r="S430" s="624"/>
      <c r="T430" s="663"/>
    </row>
    <row r="431" spans="7:20" s="661" customFormat="1" x14ac:dyDescent="0.2">
      <c r="G431" s="621"/>
      <c r="H431" s="622"/>
      <c r="I431" s="629"/>
      <c r="J431" s="629"/>
      <c r="K431" s="622"/>
      <c r="L431" s="619"/>
      <c r="M431" s="296"/>
      <c r="N431" s="367"/>
      <c r="O431" s="624"/>
      <c r="P431" s="624"/>
      <c r="Q431" s="624"/>
      <c r="R431" s="624"/>
      <c r="S431" s="624"/>
      <c r="T431" s="663"/>
    </row>
    <row r="432" spans="7:20" s="661" customFormat="1" x14ac:dyDescent="0.2">
      <c r="G432" s="621"/>
      <c r="H432" s="622"/>
      <c r="I432" s="629"/>
      <c r="J432" s="629"/>
      <c r="K432" s="622"/>
      <c r="L432" s="619"/>
      <c r="M432" s="296"/>
      <c r="N432" s="367"/>
      <c r="O432" s="624"/>
      <c r="P432" s="624"/>
      <c r="Q432" s="624"/>
      <c r="R432" s="624"/>
      <c r="S432" s="624"/>
      <c r="T432" s="663"/>
    </row>
    <row r="433" spans="7:20" s="661" customFormat="1" x14ac:dyDescent="0.2">
      <c r="G433" s="621"/>
      <c r="H433" s="622"/>
      <c r="I433" s="629"/>
      <c r="J433" s="629"/>
      <c r="K433" s="622"/>
      <c r="L433" s="619"/>
      <c r="M433" s="296"/>
      <c r="N433" s="367"/>
      <c r="O433" s="624"/>
      <c r="P433" s="624"/>
      <c r="Q433" s="624"/>
      <c r="R433" s="624"/>
      <c r="S433" s="624"/>
      <c r="T433" s="663"/>
    </row>
    <row r="434" spans="7:20" s="661" customFormat="1" x14ac:dyDescent="0.2">
      <c r="G434" s="621"/>
      <c r="H434" s="619"/>
      <c r="I434" s="629"/>
      <c r="J434" s="629"/>
      <c r="K434" s="619"/>
      <c r="L434" s="619"/>
      <c r="M434" s="300"/>
      <c r="N434" s="624"/>
      <c r="O434" s="624"/>
      <c r="P434" s="624"/>
      <c r="Q434" s="624"/>
      <c r="R434" s="624"/>
      <c r="S434" s="624"/>
      <c r="T434" s="663"/>
    </row>
    <row r="435" spans="7:20" s="661" customFormat="1" x14ac:dyDescent="0.2">
      <c r="G435" s="621"/>
      <c r="H435" s="627"/>
      <c r="I435" s="629"/>
      <c r="J435" s="629"/>
      <c r="K435" s="619"/>
      <c r="L435" s="619"/>
      <c r="M435" s="300"/>
      <c r="N435" s="624"/>
      <c r="O435" s="643"/>
      <c r="P435" s="643"/>
      <c r="Q435" s="643"/>
      <c r="R435" s="367"/>
      <c r="S435" s="624"/>
      <c r="T435" s="663"/>
    </row>
    <row r="436" spans="7:20" s="661" customFormat="1" x14ac:dyDescent="0.2">
      <c r="G436" s="621"/>
      <c r="H436" s="622"/>
      <c r="I436" s="629"/>
      <c r="J436" s="629"/>
      <c r="K436" s="622"/>
      <c r="L436" s="619"/>
      <c r="M436" s="296"/>
      <c r="N436" s="624"/>
      <c r="O436" s="624"/>
      <c r="P436" s="624"/>
      <c r="Q436" s="624"/>
      <c r="R436" s="624"/>
      <c r="S436" s="624"/>
      <c r="T436" s="663"/>
    </row>
    <row r="437" spans="7:20" s="661" customFormat="1" x14ac:dyDescent="0.2">
      <c r="G437" s="621"/>
      <c r="H437" s="622"/>
      <c r="I437" s="629"/>
      <c r="J437" s="629"/>
      <c r="K437" s="622"/>
      <c r="L437" s="619"/>
      <c r="M437" s="296"/>
      <c r="N437" s="624"/>
      <c r="O437" s="624"/>
      <c r="P437" s="624"/>
      <c r="Q437" s="624"/>
      <c r="R437" s="624"/>
      <c r="S437" s="624"/>
      <c r="T437" s="663"/>
    </row>
    <row r="438" spans="7:20" s="661" customFormat="1" x14ac:dyDescent="0.2">
      <c r="G438" s="621"/>
      <c r="H438" s="622"/>
      <c r="I438" s="629"/>
      <c r="J438" s="629"/>
      <c r="K438" s="622"/>
      <c r="L438" s="619"/>
      <c r="M438" s="296"/>
      <c r="N438" s="624"/>
      <c r="O438" s="624"/>
      <c r="P438" s="624"/>
      <c r="Q438" s="624"/>
      <c r="R438" s="624"/>
      <c r="S438" s="624"/>
      <c r="T438" s="663"/>
    </row>
    <row r="439" spans="7:20" s="661" customFormat="1" x14ac:dyDescent="0.2">
      <c r="G439" s="621"/>
      <c r="H439" s="622"/>
      <c r="I439" s="629"/>
      <c r="J439" s="629"/>
      <c r="K439" s="622"/>
      <c r="L439" s="619"/>
      <c r="M439" s="296"/>
      <c r="N439" s="624"/>
      <c r="O439" s="624"/>
      <c r="P439" s="624"/>
      <c r="Q439" s="624"/>
      <c r="R439" s="624"/>
      <c r="S439" s="624"/>
      <c r="T439" s="663"/>
    </row>
    <row r="440" spans="7:20" s="661" customFormat="1" x14ac:dyDescent="0.2">
      <c r="G440" s="621"/>
      <c r="H440" s="622"/>
      <c r="I440" s="629"/>
      <c r="J440" s="629"/>
      <c r="K440" s="622"/>
      <c r="L440" s="619"/>
      <c r="M440" s="296"/>
      <c r="N440" s="624"/>
      <c r="O440" s="624"/>
      <c r="P440" s="624"/>
      <c r="Q440" s="624"/>
      <c r="R440" s="624"/>
      <c r="S440" s="624"/>
      <c r="T440" s="663"/>
    </row>
    <row r="441" spans="7:20" s="661" customFormat="1" x14ac:dyDescent="0.2">
      <c r="G441" s="621"/>
      <c r="H441" s="622"/>
      <c r="I441" s="629"/>
      <c r="J441" s="629"/>
      <c r="K441" s="622"/>
      <c r="L441" s="619"/>
      <c r="M441" s="296"/>
      <c r="N441" s="624"/>
      <c r="O441" s="624"/>
      <c r="P441" s="624"/>
      <c r="Q441" s="624"/>
      <c r="R441" s="624"/>
      <c r="S441" s="624"/>
      <c r="T441" s="663"/>
    </row>
    <row r="442" spans="7:20" s="661" customFormat="1" x14ac:dyDescent="0.2">
      <c r="G442" s="621"/>
      <c r="H442" s="622"/>
      <c r="I442" s="629"/>
      <c r="J442" s="629"/>
      <c r="K442" s="622"/>
      <c r="L442" s="619"/>
      <c r="M442" s="296"/>
      <c r="N442" s="624"/>
      <c r="O442" s="624"/>
      <c r="P442" s="624"/>
      <c r="Q442" s="624"/>
      <c r="R442" s="624"/>
      <c r="S442" s="624"/>
      <c r="T442" s="663"/>
    </row>
    <row r="443" spans="7:20" s="661" customFormat="1" x14ac:dyDescent="0.2">
      <c r="G443" s="621"/>
      <c r="H443" s="622"/>
      <c r="I443" s="629"/>
      <c r="J443" s="629"/>
      <c r="K443" s="622"/>
      <c r="L443" s="619"/>
      <c r="M443" s="296"/>
      <c r="N443" s="624"/>
      <c r="O443" s="624"/>
      <c r="P443" s="624"/>
      <c r="Q443" s="624"/>
      <c r="R443" s="624"/>
      <c r="S443" s="624"/>
      <c r="T443" s="663"/>
    </row>
    <row r="444" spans="7:20" s="661" customFormat="1" x14ac:dyDescent="0.2">
      <c r="G444" s="621"/>
      <c r="H444" s="622"/>
      <c r="I444" s="629"/>
      <c r="J444" s="629"/>
      <c r="K444" s="622"/>
      <c r="L444" s="619"/>
      <c r="M444" s="296"/>
      <c r="N444" s="624"/>
      <c r="O444" s="624"/>
      <c r="P444" s="624"/>
      <c r="Q444" s="624"/>
      <c r="R444" s="624"/>
      <c r="S444" s="624"/>
      <c r="T444" s="663"/>
    </row>
    <row r="445" spans="7:20" s="661" customFormat="1" x14ac:dyDescent="0.2">
      <c r="G445" s="621"/>
      <c r="H445" s="622"/>
      <c r="I445" s="629"/>
      <c r="J445" s="629"/>
      <c r="K445" s="622"/>
      <c r="L445" s="619"/>
      <c r="M445" s="296"/>
      <c r="N445" s="624"/>
      <c r="O445" s="624"/>
      <c r="P445" s="624"/>
      <c r="Q445" s="624"/>
      <c r="R445" s="624"/>
      <c r="S445" s="624"/>
      <c r="T445" s="663"/>
    </row>
    <row r="446" spans="7:20" s="661" customFormat="1" x14ac:dyDescent="0.2">
      <c r="G446" s="621"/>
      <c r="H446" s="619"/>
      <c r="I446" s="629"/>
      <c r="J446" s="629"/>
      <c r="K446" s="619"/>
      <c r="L446" s="630"/>
      <c r="M446" s="621"/>
      <c r="N446" s="624"/>
      <c r="O446" s="624"/>
      <c r="P446" s="643"/>
      <c r="Q446" s="643"/>
      <c r="R446" s="643"/>
      <c r="S446" s="624"/>
      <c r="T446" s="663"/>
    </row>
    <row r="447" spans="7:20" s="661" customFormat="1" x14ac:dyDescent="0.2">
      <c r="G447" s="621"/>
      <c r="H447" s="627"/>
      <c r="I447" s="629"/>
      <c r="J447" s="629"/>
      <c r="K447" s="619"/>
      <c r="L447" s="630"/>
      <c r="M447" s="621"/>
      <c r="N447" s="624"/>
      <c r="O447" s="624"/>
      <c r="P447" s="624"/>
      <c r="Q447" s="624"/>
      <c r="R447" s="624"/>
      <c r="S447" s="624"/>
      <c r="T447" s="663"/>
    </row>
    <row r="448" spans="7:20" s="661" customFormat="1" x14ac:dyDescent="0.2">
      <c r="G448" s="621"/>
      <c r="H448" s="622"/>
      <c r="I448" s="629"/>
      <c r="J448" s="629"/>
      <c r="K448" s="619"/>
      <c r="L448" s="630"/>
      <c r="M448" s="621"/>
      <c r="N448" s="624"/>
      <c r="O448" s="624"/>
      <c r="P448" s="624"/>
      <c r="Q448" s="624"/>
      <c r="R448" s="624"/>
      <c r="S448" s="624"/>
      <c r="T448" s="663"/>
    </row>
    <row r="449" spans="7:20" s="661" customFormat="1" x14ac:dyDescent="0.2">
      <c r="G449" s="621"/>
      <c r="H449" s="622"/>
      <c r="I449" s="629"/>
      <c r="J449" s="629"/>
      <c r="K449" s="619"/>
      <c r="L449" s="630"/>
      <c r="M449" s="621"/>
      <c r="N449" s="624"/>
      <c r="O449" s="624"/>
      <c r="P449" s="624"/>
      <c r="Q449" s="624"/>
      <c r="R449" s="624"/>
      <c r="S449" s="624"/>
      <c r="T449" s="663"/>
    </row>
    <row r="450" spans="7:20" s="661" customFormat="1" x14ac:dyDescent="0.2">
      <c r="G450" s="621"/>
      <c r="H450" s="622"/>
      <c r="I450" s="629"/>
      <c r="J450" s="629"/>
      <c r="K450" s="619"/>
      <c r="L450" s="630"/>
      <c r="M450" s="621"/>
      <c r="N450" s="624"/>
      <c r="O450" s="624"/>
      <c r="P450" s="624"/>
      <c r="Q450" s="624"/>
      <c r="R450" s="624"/>
      <c r="S450" s="624"/>
      <c r="T450" s="663"/>
    </row>
    <row r="451" spans="7:20" s="661" customFormat="1" x14ac:dyDescent="0.2">
      <c r="G451" s="621"/>
      <c r="H451" s="622"/>
      <c r="I451" s="629"/>
      <c r="J451" s="629"/>
      <c r="K451" s="619"/>
      <c r="L451" s="630"/>
      <c r="M451" s="621"/>
      <c r="N451" s="624"/>
      <c r="O451" s="624"/>
      <c r="P451" s="624"/>
      <c r="Q451" s="624"/>
      <c r="R451" s="624"/>
      <c r="S451" s="624"/>
      <c r="T451" s="663"/>
    </row>
    <row r="452" spans="7:20" s="661" customFormat="1" x14ac:dyDescent="0.2">
      <c r="G452" s="621"/>
      <c r="H452" s="622"/>
      <c r="I452" s="629"/>
      <c r="J452" s="629"/>
      <c r="K452" s="619"/>
      <c r="L452" s="630"/>
      <c r="M452" s="621"/>
      <c r="N452" s="624"/>
      <c r="O452" s="624"/>
      <c r="P452" s="624"/>
      <c r="Q452" s="624"/>
      <c r="R452" s="624"/>
      <c r="S452" s="624"/>
      <c r="T452" s="663"/>
    </row>
    <row r="453" spans="7:20" s="661" customFormat="1" x14ac:dyDescent="0.2">
      <c r="G453" s="621"/>
      <c r="H453" s="622"/>
      <c r="I453" s="629"/>
      <c r="J453" s="629"/>
      <c r="K453" s="619"/>
      <c r="L453" s="630"/>
      <c r="M453" s="621"/>
      <c r="N453" s="624"/>
      <c r="O453" s="624"/>
      <c r="P453" s="624"/>
      <c r="Q453" s="624"/>
      <c r="R453" s="624"/>
      <c r="S453" s="624"/>
      <c r="T453" s="663"/>
    </row>
    <row r="454" spans="7:20" s="661" customFormat="1" x14ac:dyDescent="0.2">
      <c r="G454" s="621"/>
      <c r="H454" s="622"/>
      <c r="I454" s="629"/>
      <c r="J454" s="629"/>
      <c r="K454" s="619"/>
      <c r="L454" s="630"/>
      <c r="M454" s="621"/>
      <c r="N454" s="624"/>
      <c r="O454" s="624"/>
      <c r="P454" s="624"/>
      <c r="Q454" s="624"/>
      <c r="R454" s="624"/>
      <c r="S454" s="624"/>
      <c r="T454" s="663"/>
    </row>
    <row r="455" spans="7:20" s="661" customFormat="1" x14ac:dyDescent="0.2">
      <c r="G455" s="621"/>
      <c r="H455" s="622"/>
      <c r="I455" s="629"/>
      <c r="J455" s="629"/>
      <c r="K455" s="619"/>
      <c r="L455" s="630"/>
      <c r="M455" s="621"/>
      <c r="N455" s="624"/>
      <c r="O455" s="624"/>
      <c r="P455" s="624"/>
      <c r="Q455" s="624"/>
      <c r="R455" s="624"/>
      <c r="S455" s="624"/>
      <c r="T455" s="663"/>
    </row>
    <row r="456" spans="7:20" s="661" customFormat="1" x14ac:dyDescent="0.2">
      <c r="G456" s="621"/>
      <c r="H456" s="622"/>
      <c r="I456" s="629"/>
      <c r="J456" s="629"/>
      <c r="K456" s="619"/>
      <c r="L456" s="630"/>
      <c r="M456" s="621"/>
      <c r="N456" s="624"/>
      <c r="O456" s="624"/>
      <c r="P456" s="624"/>
      <c r="Q456" s="624"/>
      <c r="R456" s="624"/>
      <c r="S456" s="624"/>
      <c r="T456" s="663"/>
    </row>
    <row r="457" spans="7:20" s="661" customFormat="1" x14ac:dyDescent="0.2">
      <c r="G457" s="621"/>
      <c r="H457" s="622"/>
      <c r="I457" s="629"/>
      <c r="J457" s="629"/>
      <c r="K457" s="619"/>
      <c r="L457" s="630"/>
      <c r="M457" s="621"/>
      <c r="N457" s="624"/>
      <c r="O457" s="624"/>
      <c r="P457" s="624"/>
      <c r="Q457" s="624"/>
      <c r="R457" s="624"/>
      <c r="S457" s="624"/>
      <c r="T457" s="663"/>
    </row>
    <row r="458" spans="7:20" s="661" customFormat="1" x14ac:dyDescent="0.2">
      <c r="G458" s="621"/>
      <c r="H458" s="619"/>
      <c r="I458" s="629"/>
      <c r="J458" s="629"/>
      <c r="K458" s="619"/>
      <c r="L458" s="619"/>
      <c r="M458" s="621"/>
      <c r="N458" s="624"/>
      <c r="O458" s="624"/>
      <c r="P458" s="624"/>
      <c r="Q458" s="624"/>
      <c r="R458" s="624"/>
      <c r="S458" s="624"/>
      <c r="T458" s="663"/>
    </row>
    <row r="459" spans="7:20" s="661" customFormat="1" x14ac:dyDescent="0.2">
      <c r="G459" s="621"/>
      <c r="H459" s="627"/>
      <c r="I459" s="629"/>
      <c r="J459" s="629"/>
      <c r="K459" s="619"/>
      <c r="L459" s="630"/>
      <c r="M459" s="621"/>
      <c r="N459" s="624"/>
      <c r="O459" s="367"/>
      <c r="P459" s="367"/>
      <c r="Q459" s="367"/>
      <c r="R459" s="367"/>
      <c r="S459" s="624"/>
      <c r="T459" s="663"/>
    </row>
    <row r="460" spans="7:20" s="661" customFormat="1" x14ac:dyDescent="0.2">
      <c r="G460" s="621"/>
      <c r="H460" s="622"/>
      <c r="I460" s="629"/>
      <c r="J460" s="629"/>
      <c r="K460" s="619"/>
      <c r="L460" s="636"/>
      <c r="M460" s="296"/>
      <c r="N460" s="367"/>
      <c r="O460" s="624"/>
      <c r="P460" s="624"/>
      <c r="Q460" s="624"/>
      <c r="R460" s="624"/>
      <c r="S460" s="624"/>
      <c r="T460" s="663"/>
    </row>
    <row r="461" spans="7:20" s="661" customFormat="1" x14ac:dyDescent="0.2">
      <c r="G461" s="621"/>
      <c r="H461" s="622"/>
      <c r="I461" s="629"/>
      <c r="J461" s="629"/>
      <c r="K461" s="619"/>
      <c r="L461" s="636"/>
      <c r="M461" s="296"/>
      <c r="N461" s="367"/>
      <c r="O461" s="624"/>
      <c r="P461" s="624"/>
      <c r="Q461" s="624"/>
      <c r="R461" s="624"/>
      <c r="S461" s="624"/>
      <c r="T461" s="663"/>
    </row>
    <row r="462" spans="7:20" s="661" customFormat="1" x14ac:dyDescent="0.2">
      <c r="G462" s="621"/>
      <c r="H462" s="622"/>
      <c r="I462" s="629"/>
      <c r="J462" s="629"/>
      <c r="K462" s="619"/>
      <c r="L462" s="636"/>
      <c r="M462" s="296"/>
      <c r="N462" s="367"/>
      <c r="O462" s="624"/>
      <c r="P462" s="624"/>
      <c r="Q462" s="624"/>
      <c r="R462" s="624"/>
      <c r="S462" s="624"/>
      <c r="T462" s="663"/>
    </row>
    <row r="463" spans="7:20" s="661" customFormat="1" x14ac:dyDescent="0.2">
      <c r="G463" s="621"/>
      <c r="H463" s="622"/>
      <c r="I463" s="629"/>
      <c r="J463" s="629"/>
      <c r="K463" s="619"/>
      <c r="L463" s="636"/>
      <c r="M463" s="296"/>
      <c r="N463" s="367"/>
      <c r="O463" s="624"/>
      <c r="P463" s="624"/>
      <c r="Q463" s="624"/>
      <c r="R463" s="624"/>
      <c r="S463" s="624"/>
      <c r="T463" s="663"/>
    </row>
    <row r="464" spans="7:20" s="661" customFormat="1" x14ac:dyDescent="0.2">
      <c r="G464" s="621"/>
      <c r="H464" s="622"/>
      <c r="I464" s="629"/>
      <c r="J464" s="629"/>
      <c r="K464" s="622"/>
      <c r="L464" s="636"/>
      <c r="M464" s="296"/>
      <c r="N464" s="367"/>
      <c r="O464" s="624"/>
      <c r="P464" s="624"/>
      <c r="Q464" s="624"/>
      <c r="R464" s="624"/>
      <c r="S464" s="624"/>
      <c r="T464" s="663"/>
    </row>
    <row r="465" spans="7:20" s="661" customFormat="1" x14ac:dyDescent="0.2">
      <c r="G465" s="621"/>
      <c r="H465" s="619"/>
      <c r="I465" s="629"/>
      <c r="J465" s="629"/>
      <c r="K465" s="619"/>
      <c r="L465" s="630"/>
      <c r="M465" s="621"/>
      <c r="N465" s="624"/>
      <c r="O465" s="624"/>
      <c r="P465" s="624"/>
      <c r="Q465" s="624"/>
      <c r="R465" s="624"/>
      <c r="S465" s="624"/>
      <c r="T465" s="663"/>
    </row>
    <row r="466" spans="7:20" s="661" customFormat="1" x14ac:dyDescent="0.2">
      <c r="G466" s="621"/>
      <c r="H466" s="627"/>
      <c r="I466" s="629"/>
      <c r="J466" s="629"/>
      <c r="K466" s="619"/>
      <c r="L466" s="630"/>
      <c r="M466" s="621"/>
      <c r="N466" s="624"/>
      <c r="O466" s="624"/>
      <c r="P466" s="624"/>
      <c r="Q466" s="624"/>
      <c r="R466" s="624"/>
      <c r="S466" s="624"/>
      <c r="T466" s="663"/>
    </row>
    <row r="467" spans="7:20" s="661" customFormat="1" x14ac:dyDescent="0.2">
      <c r="G467" s="621"/>
      <c r="H467" s="622"/>
      <c r="I467" s="629"/>
      <c r="J467" s="629"/>
      <c r="K467" s="622"/>
      <c r="L467" s="630"/>
      <c r="M467" s="621"/>
      <c r="N467" s="624"/>
      <c r="O467" s="624"/>
      <c r="P467" s="624"/>
      <c r="Q467" s="624"/>
      <c r="R467" s="624"/>
      <c r="S467" s="624"/>
      <c r="T467" s="663"/>
    </row>
    <row r="468" spans="7:20" s="661" customFormat="1" x14ac:dyDescent="0.2">
      <c r="G468" s="621"/>
      <c r="H468" s="622"/>
      <c r="I468" s="629"/>
      <c r="J468" s="629"/>
      <c r="K468" s="622"/>
      <c r="L468" s="630"/>
      <c r="M468" s="621"/>
      <c r="N468" s="624"/>
      <c r="O468" s="624"/>
      <c r="P468" s="624"/>
      <c r="Q468" s="624"/>
      <c r="R468" s="624"/>
      <c r="S468" s="624"/>
      <c r="T468" s="663"/>
    </row>
    <row r="469" spans="7:20" s="661" customFormat="1" x14ac:dyDescent="0.2">
      <c r="G469" s="621"/>
      <c r="H469" s="622"/>
      <c r="I469" s="629"/>
      <c r="J469" s="629"/>
      <c r="K469" s="622"/>
      <c r="L469" s="630"/>
      <c r="M469" s="621"/>
      <c r="N469" s="624"/>
      <c r="O469" s="624"/>
      <c r="P469" s="624"/>
      <c r="Q469" s="624"/>
      <c r="R469" s="624"/>
      <c r="S469" s="624"/>
      <c r="T469" s="663"/>
    </row>
    <row r="470" spans="7:20" s="661" customFormat="1" x14ac:dyDescent="0.2">
      <c r="G470" s="621"/>
      <c r="H470" s="622"/>
      <c r="I470" s="629"/>
      <c r="J470" s="629"/>
      <c r="K470" s="622"/>
      <c r="L470" s="630"/>
      <c r="M470" s="621"/>
      <c r="N470" s="624"/>
      <c r="O470" s="624"/>
      <c r="P470" s="624"/>
      <c r="Q470" s="624"/>
      <c r="R470" s="624"/>
      <c r="S470" s="624"/>
      <c r="T470" s="663"/>
    </row>
    <row r="471" spans="7:20" s="661" customFormat="1" x14ac:dyDescent="0.2">
      <c r="G471" s="621"/>
      <c r="H471" s="622"/>
      <c r="I471" s="629"/>
      <c r="J471" s="629"/>
      <c r="K471" s="622"/>
      <c r="L471" s="630"/>
      <c r="M471" s="621"/>
      <c r="N471" s="624"/>
      <c r="O471" s="624"/>
      <c r="P471" s="624"/>
      <c r="Q471" s="624"/>
      <c r="R471" s="624"/>
      <c r="S471" s="624"/>
      <c r="T471" s="663"/>
    </row>
    <row r="472" spans="7:20" s="661" customFormat="1" x14ac:dyDescent="0.2">
      <c r="G472" s="621"/>
      <c r="H472" s="622"/>
      <c r="I472" s="629"/>
      <c r="J472" s="629"/>
      <c r="K472" s="622"/>
      <c r="L472" s="630"/>
      <c r="M472" s="621"/>
      <c r="N472" s="624"/>
      <c r="O472" s="624"/>
      <c r="P472" s="624"/>
      <c r="Q472" s="624"/>
      <c r="R472" s="624"/>
      <c r="S472" s="624"/>
      <c r="T472" s="663"/>
    </row>
    <row r="473" spans="7:20" s="661" customFormat="1" x14ac:dyDescent="0.2">
      <c r="G473" s="621"/>
      <c r="H473" s="622"/>
      <c r="I473" s="629"/>
      <c r="J473" s="629"/>
      <c r="K473" s="622"/>
      <c r="L473" s="630"/>
      <c r="M473" s="621"/>
      <c r="N473" s="624"/>
      <c r="O473" s="624"/>
      <c r="P473" s="624"/>
      <c r="Q473" s="624"/>
      <c r="R473" s="624"/>
      <c r="S473" s="624"/>
      <c r="T473" s="663"/>
    </row>
    <row r="474" spans="7:20" s="661" customFormat="1" x14ac:dyDescent="0.2">
      <c r="G474" s="621"/>
      <c r="H474" s="622"/>
      <c r="I474" s="629"/>
      <c r="J474" s="629"/>
      <c r="K474" s="622"/>
      <c r="L474" s="630"/>
      <c r="M474" s="621"/>
      <c r="N474" s="624"/>
      <c r="O474" s="624"/>
      <c r="P474" s="624"/>
      <c r="Q474" s="624"/>
      <c r="R474" s="624"/>
      <c r="S474" s="624"/>
      <c r="T474" s="663"/>
    </row>
    <row r="475" spans="7:20" s="661" customFormat="1" x14ac:dyDescent="0.2">
      <c r="G475" s="621"/>
      <c r="H475" s="622"/>
      <c r="I475" s="629"/>
      <c r="J475" s="629"/>
      <c r="K475" s="622"/>
      <c r="L475" s="630"/>
      <c r="M475" s="621"/>
      <c r="N475" s="624"/>
      <c r="O475" s="624"/>
      <c r="P475" s="624"/>
      <c r="Q475" s="624"/>
      <c r="R475" s="624"/>
      <c r="S475" s="624"/>
      <c r="T475" s="663"/>
    </row>
    <row r="476" spans="7:20" s="661" customFormat="1" x14ac:dyDescent="0.2">
      <c r="G476" s="621"/>
      <c r="H476" s="622"/>
      <c r="I476" s="629"/>
      <c r="J476" s="629"/>
      <c r="K476" s="622"/>
      <c r="L476" s="630"/>
      <c r="M476" s="621"/>
      <c r="N476" s="624"/>
      <c r="O476" s="624"/>
      <c r="P476" s="624"/>
      <c r="Q476" s="624"/>
      <c r="R476" s="624"/>
      <c r="S476" s="624"/>
      <c r="T476" s="663"/>
    </row>
    <row r="477" spans="7:20" s="661" customFormat="1" x14ac:dyDescent="0.2">
      <c r="G477" s="621"/>
      <c r="H477" s="622"/>
      <c r="I477" s="629"/>
      <c r="J477" s="629"/>
      <c r="K477" s="622"/>
      <c r="L477" s="630"/>
      <c r="M477" s="621"/>
      <c r="N477" s="624"/>
      <c r="O477" s="624"/>
      <c r="P477" s="624"/>
      <c r="Q477" s="624"/>
      <c r="R477" s="624"/>
      <c r="S477" s="624"/>
      <c r="T477" s="663"/>
    </row>
    <row r="478" spans="7:20" s="661" customFormat="1" x14ac:dyDescent="0.2">
      <c r="G478" s="621"/>
      <c r="H478" s="622"/>
      <c r="I478" s="629"/>
      <c r="J478" s="629"/>
      <c r="K478" s="622"/>
      <c r="L478" s="630"/>
      <c r="M478" s="621"/>
      <c r="N478" s="624"/>
      <c r="O478" s="624"/>
      <c r="P478" s="624"/>
      <c r="Q478" s="624"/>
      <c r="R478" s="624"/>
      <c r="S478" s="624"/>
      <c r="T478" s="663"/>
    </row>
    <row r="479" spans="7:20" s="661" customFormat="1" x14ac:dyDescent="0.2">
      <c r="G479" s="621"/>
      <c r="H479" s="622"/>
      <c r="I479" s="629"/>
      <c r="J479" s="629"/>
      <c r="K479" s="622"/>
      <c r="L479" s="630"/>
      <c r="M479" s="621"/>
      <c r="N479" s="624"/>
      <c r="O479" s="624"/>
      <c r="P479" s="624"/>
      <c r="Q479" s="624"/>
      <c r="R479" s="624"/>
      <c r="S479" s="624"/>
      <c r="T479" s="663"/>
    </row>
    <row r="480" spans="7:20" s="661" customFormat="1" x14ac:dyDescent="0.2">
      <c r="G480" s="621"/>
      <c r="H480" s="622"/>
      <c r="I480" s="629"/>
      <c r="J480" s="629"/>
      <c r="K480" s="619"/>
      <c r="L480" s="630"/>
      <c r="M480" s="621"/>
      <c r="N480" s="624"/>
      <c r="O480" s="624"/>
      <c r="P480" s="624"/>
      <c r="Q480" s="624"/>
      <c r="R480" s="624"/>
      <c r="S480" s="624"/>
      <c r="T480" s="663"/>
    </row>
    <row r="481" spans="7:20" s="661" customFormat="1" x14ac:dyDescent="0.2">
      <c r="G481" s="621"/>
      <c r="H481" s="622"/>
      <c r="I481" s="629"/>
      <c r="J481" s="629"/>
      <c r="K481" s="622"/>
      <c r="L481" s="619"/>
      <c r="M481" s="296"/>
      <c r="N481" s="624"/>
      <c r="O481" s="624"/>
      <c r="P481" s="624"/>
      <c r="Q481" s="624"/>
      <c r="R481" s="624"/>
      <c r="S481" s="624"/>
      <c r="T481" s="663"/>
    </row>
    <row r="482" spans="7:20" s="661" customFormat="1" x14ac:dyDescent="0.2">
      <c r="G482" s="621"/>
      <c r="H482" s="622"/>
      <c r="I482" s="629"/>
      <c r="J482" s="629"/>
      <c r="K482" s="619"/>
      <c r="L482" s="630"/>
      <c r="M482" s="621"/>
      <c r="N482" s="624"/>
      <c r="O482" s="624"/>
      <c r="P482" s="624"/>
      <c r="Q482" s="624"/>
      <c r="R482" s="624"/>
      <c r="S482" s="624"/>
      <c r="T482" s="663"/>
    </row>
    <row r="483" spans="7:20" s="661" customFormat="1" ht="18" x14ac:dyDescent="0.25">
      <c r="G483" s="285" t="s">
        <v>85</v>
      </c>
      <c r="H483" s="284"/>
      <c r="I483" s="283"/>
      <c r="J483" s="283"/>
      <c r="K483" s="280"/>
      <c r="L483" s="291"/>
      <c r="M483" s="280"/>
      <c r="N483" s="402"/>
      <c r="O483" s="402"/>
      <c r="P483" s="402"/>
      <c r="Q483" s="402"/>
      <c r="R483" s="402"/>
      <c r="S483" s="402"/>
      <c r="T483" s="401"/>
    </row>
    <row r="484" spans="7:20" s="661" customFormat="1" x14ac:dyDescent="0.2">
      <c r="G484" s="621"/>
      <c r="H484" s="278"/>
      <c r="I484" s="279"/>
      <c r="J484" s="279"/>
      <c r="K484" s="278"/>
      <c r="L484" s="290"/>
      <c r="M484" s="278"/>
      <c r="N484" s="624"/>
      <c r="O484" s="624"/>
      <c r="P484" s="624"/>
      <c r="Q484" s="624"/>
      <c r="R484" s="624"/>
      <c r="S484" s="624"/>
      <c r="T484" s="663"/>
    </row>
    <row r="485" spans="7:20" s="661" customFormat="1" x14ac:dyDescent="0.2">
      <c r="G485" s="621"/>
      <c r="H485" s="627"/>
      <c r="I485" s="629"/>
      <c r="J485" s="629"/>
      <c r="K485" s="619"/>
      <c r="L485" s="286"/>
      <c r="M485" s="619"/>
      <c r="N485" s="624"/>
      <c r="O485" s="624"/>
      <c r="P485" s="624"/>
      <c r="Q485" s="624"/>
      <c r="R485" s="624"/>
      <c r="S485" s="624"/>
      <c r="T485" s="663"/>
    </row>
    <row r="486" spans="7:20" s="661" customFormat="1" x14ac:dyDescent="0.2">
      <c r="G486" s="621"/>
      <c r="H486" s="622"/>
      <c r="I486" s="629"/>
      <c r="J486" s="629"/>
      <c r="K486" s="295"/>
      <c r="L486" s="286"/>
      <c r="M486" s="619"/>
      <c r="N486" s="624"/>
      <c r="O486" s="624"/>
      <c r="P486" s="624"/>
      <c r="Q486" s="624"/>
      <c r="R486" s="624"/>
      <c r="S486" s="624"/>
      <c r="T486" s="663"/>
    </row>
    <row r="487" spans="7:20" s="661" customFormat="1" x14ac:dyDescent="0.2">
      <c r="G487" s="621"/>
      <c r="H487" s="622"/>
      <c r="I487" s="629"/>
      <c r="J487" s="629"/>
      <c r="K487" s="622"/>
      <c r="L487" s="286"/>
      <c r="M487" s="619"/>
      <c r="N487" s="624"/>
      <c r="O487" s="624"/>
      <c r="P487" s="624"/>
      <c r="Q487" s="624"/>
      <c r="R487" s="624"/>
      <c r="S487" s="624"/>
      <c r="T487" s="663"/>
    </row>
    <row r="488" spans="7:20" s="661" customFormat="1" x14ac:dyDescent="0.2">
      <c r="G488" s="621"/>
      <c r="H488" s="622"/>
      <c r="I488" s="629"/>
      <c r="J488" s="629"/>
      <c r="K488" s="622"/>
      <c r="L488" s="286"/>
      <c r="M488" s="619"/>
      <c r="N488" s="624"/>
      <c r="O488" s="624"/>
      <c r="P488" s="624"/>
      <c r="Q488" s="624"/>
      <c r="R488" s="624"/>
      <c r="S488" s="624"/>
      <c r="T488" s="663"/>
    </row>
    <row r="489" spans="7:20" s="661" customFormat="1" x14ac:dyDescent="0.2">
      <c r="G489" s="621"/>
      <c r="H489" s="622"/>
      <c r="I489" s="629"/>
      <c r="J489" s="629"/>
      <c r="K489" s="622"/>
      <c r="L489" s="286"/>
      <c r="M489" s="619"/>
      <c r="N489" s="624"/>
      <c r="O489" s="624"/>
      <c r="P489" s="624"/>
      <c r="Q489" s="624"/>
      <c r="R489" s="624"/>
      <c r="S489" s="624"/>
      <c r="T489" s="663"/>
    </row>
    <row r="490" spans="7:20" s="661" customFormat="1" x14ac:dyDescent="0.2">
      <c r="G490" s="621"/>
      <c r="H490" s="622"/>
      <c r="I490" s="629"/>
      <c r="J490" s="629"/>
      <c r="K490" s="622"/>
      <c r="L490" s="286"/>
      <c r="M490" s="619"/>
      <c r="N490" s="624"/>
      <c r="O490" s="624"/>
      <c r="P490" s="624"/>
      <c r="Q490" s="624"/>
      <c r="R490" s="624"/>
      <c r="S490" s="624"/>
      <c r="T490" s="663"/>
    </row>
    <row r="491" spans="7:20" s="661" customFormat="1" x14ac:dyDescent="0.2">
      <c r="G491" s="621"/>
      <c r="H491" s="622"/>
      <c r="I491" s="629"/>
      <c r="J491" s="629"/>
      <c r="K491" s="622"/>
      <c r="L491" s="286"/>
      <c r="M491" s="619"/>
      <c r="N491" s="624"/>
      <c r="O491" s="624"/>
      <c r="P491" s="624"/>
      <c r="Q491" s="624"/>
      <c r="R491" s="624"/>
      <c r="S491" s="624"/>
      <c r="T491" s="663"/>
    </row>
    <row r="492" spans="7:20" s="661" customFormat="1" x14ac:dyDescent="0.2">
      <c r="G492" s="621"/>
      <c r="H492" s="622"/>
      <c r="I492" s="629"/>
      <c r="J492" s="629"/>
      <c r="K492" s="619"/>
      <c r="L492" s="286"/>
      <c r="M492" s="619"/>
      <c r="N492" s="624"/>
      <c r="O492" s="624"/>
      <c r="P492" s="624"/>
      <c r="Q492" s="624"/>
      <c r="R492" s="624"/>
      <c r="S492" s="624"/>
      <c r="T492" s="663"/>
    </row>
    <row r="493" spans="7:20" s="661" customFormat="1" x14ac:dyDescent="0.2">
      <c r="G493" s="621"/>
      <c r="H493" s="627"/>
      <c r="I493" s="629"/>
      <c r="J493" s="629"/>
      <c r="K493" s="619"/>
      <c r="L493" s="286"/>
      <c r="M493" s="619"/>
      <c r="N493" s="624"/>
      <c r="O493" s="624"/>
      <c r="P493" s="624"/>
      <c r="Q493" s="624"/>
      <c r="R493" s="624"/>
      <c r="S493" s="624"/>
      <c r="T493" s="663"/>
    </row>
    <row r="494" spans="7:20" s="661" customFormat="1" x14ac:dyDescent="0.2">
      <c r="G494" s="621"/>
      <c r="H494" s="622"/>
      <c r="I494" s="629"/>
      <c r="J494" s="629"/>
      <c r="K494" s="622"/>
      <c r="L494" s="286"/>
      <c r="M494" s="619"/>
      <c r="N494" s="624"/>
      <c r="O494" s="624"/>
      <c r="P494" s="624"/>
      <c r="Q494" s="624"/>
      <c r="R494" s="624"/>
      <c r="S494" s="624"/>
      <c r="T494" s="663"/>
    </row>
    <row r="495" spans="7:20" s="661" customFormat="1" x14ac:dyDescent="0.2">
      <c r="G495" s="621"/>
      <c r="H495" s="622"/>
      <c r="I495" s="629"/>
      <c r="J495" s="629"/>
      <c r="K495" s="622"/>
      <c r="L495" s="286"/>
      <c r="M495" s="619"/>
      <c r="N495" s="624"/>
      <c r="O495" s="624"/>
      <c r="P495" s="624"/>
      <c r="Q495" s="624"/>
      <c r="R495" s="624"/>
      <c r="S495" s="624"/>
      <c r="T495" s="663"/>
    </row>
    <row r="496" spans="7:20" s="661" customFormat="1" x14ac:dyDescent="0.2">
      <c r="G496" s="621"/>
      <c r="H496" s="622"/>
      <c r="I496" s="629"/>
      <c r="J496" s="294"/>
      <c r="K496" s="622"/>
      <c r="L496" s="286"/>
      <c r="M496" s="619"/>
      <c r="N496" s="624"/>
      <c r="O496" s="624"/>
      <c r="P496" s="624"/>
      <c r="Q496" s="624"/>
      <c r="R496" s="624"/>
      <c r="S496" s="624"/>
      <c r="T496" s="663"/>
    </row>
    <row r="497" spans="7:20" s="661" customFormat="1" x14ac:dyDescent="0.2">
      <c r="G497" s="621"/>
      <c r="H497" s="622"/>
      <c r="I497" s="629"/>
      <c r="J497" s="294"/>
      <c r="K497" s="622"/>
      <c r="L497" s="286"/>
      <c r="M497" s="619"/>
      <c r="N497" s="624"/>
      <c r="O497" s="624"/>
      <c r="P497" s="624"/>
      <c r="Q497" s="624"/>
      <c r="R497" s="624"/>
      <c r="S497" s="624"/>
      <c r="T497" s="663"/>
    </row>
    <row r="498" spans="7:20" s="661" customFormat="1" x14ac:dyDescent="0.2">
      <c r="G498" s="621"/>
      <c r="H498" s="622"/>
      <c r="I498" s="629"/>
      <c r="J498" s="629"/>
      <c r="K498" s="619"/>
      <c r="L498" s="286"/>
      <c r="M498" s="619"/>
      <c r="N498" s="624"/>
      <c r="O498" s="624"/>
      <c r="P498" s="624"/>
      <c r="Q498" s="624"/>
      <c r="R498" s="624"/>
      <c r="S498" s="624"/>
      <c r="T498" s="663"/>
    </row>
    <row r="499" spans="7:20" s="661" customFormat="1" x14ac:dyDescent="0.2">
      <c r="G499" s="621"/>
      <c r="H499" s="622"/>
      <c r="I499" s="629"/>
      <c r="J499" s="629"/>
      <c r="K499" s="619"/>
      <c r="L499" s="286"/>
      <c r="M499" s="619"/>
      <c r="N499" s="624"/>
      <c r="O499" s="624"/>
      <c r="P499" s="624"/>
      <c r="Q499" s="624"/>
      <c r="R499" s="624"/>
      <c r="S499" s="624"/>
      <c r="T499" s="663"/>
    </row>
    <row r="500" spans="7:20" s="661" customFormat="1" x14ac:dyDescent="0.2">
      <c r="G500" s="621"/>
      <c r="H500" s="622"/>
      <c r="I500" s="629"/>
      <c r="J500" s="629"/>
      <c r="K500" s="619"/>
      <c r="L500" s="286"/>
      <c r="M500" s="619"/>
      <c r="N500" s="624"/>
      <c r="O500" s="624"/>
      <c r="P500" s="624"/>
      <c r="Q500" s="624"/>
      <c r="R500" s="624"/>
      <c r="S500" s="624"/>
      <c r="T500" s="663"/>
    </row>
    <row r="501" spans="7:20" s="661" customFormat="1" ht="18" x14ac:dyDescent="0.25">
      <c r="G501" s="285" t="s">
        <v>128</v>
      </c>
      <c r="H501" s="284"/>
      <c r="I501" s="283"/>
      <c r="J501" s="283"/>
      <c r="K501" s="280"/>
      <c r="L501" s="291"/>
      <c r="M501" s="280"/>
      <c r="N501" s="402"/>
      <c r="O501" s="402"/>
      <c r="P501" s="402"/>
      <c r="Q501" s="402"/>
      <c r="R501" s="402"/>
      <c r="S501" s="402"/>
      <c r="T501" s="401"/>
    </row>
    <row r="502" spans="7:20" s="661" customFormat="1" x14ac:dyDescent="0.2">
      <c r="G502" s="621"/>
      <c r="H502" s="278"/>
      <c r="I502" s="279"/>
      <c r="J502" s="279"/>
      <c r="K502" s="278"/>
      <c r="L502" s="290"/>
      <c r="M502" s="278"/>
      <c r="N502" s="624"/>
      <c r="O502" s="624"/>
      <c r="P502" s="624"/>
      <c r="Q502" s="624"/>
      <c r="R502" s="624"/>
      <c r="S502" s="624"/>
      <c r="T502" s="663"/>
    </row>
    <row r="503" spans="7:20" s="661" customFormat="1" x14ac:dyDescent="0.2">
      <c r="G503" s="621"/>
      <c r="H503" s="622"/>
      <c r="I503" s="629"/>
      <c r="J503" s="629"/>
      <c r="K503" s="622"/>
      <c r="L503" s="286"/>
      <c r="M503" s="619"/>
      <c r="N503" s="624"/>
      <c r="O503" s="624"/>
      <c r="P503" s="624"/>
      <c r="Q503" s="624"/>
      <c r="R503" s="624"/>
      <c r="S503" s="624"/>
      <c r="T503" s="663"/>
    </row>
    <row r="504" spans="7:20" s="661" customFormat="1" x14ac:dyDescent="0.2">
      <c r="G504" s="621"/>
      <c r="H504" s="622"/>
      <c r="I504" s="629"/>
      <c r="J504" s="629"/>
      <c r="K504" s="622"/>
      <c r="L504" s="286"/>
      <c r="M504" s="619"/>
      <c r="N504" s="624"/>
      <c r="O504" s="624"/>
      <c r="P504" s="624"/>
      <c r="Q504" s="624"/>
      <c r="R504" s="624"/>
      <c r="S504" s="624"/>
      <c r="T504" s="663"/>
    </row>
    <row r="505" spans="7:20" s="661" customFormat="1" x14ac:dyDescent="0.2">
      <c r="G505" s="621"/>
      <c r="H505" s="622"/>
      <c r="I505" s="629"/>
      <c r="J505" s="629"/>
      <c r="K505" s="293"/>
      <c r="L505" s="286"/>
      <c r="M505" s="622"/>
      <c r="N505" s="624"/>
      <c r="O505" s="624"/>
      <c r="P505" s="624"/>
      <c r="Q505" s="624"/>
      <c r="R505" s="624"/>
      <c r="S505" s="624"/>
      <c r="T505" s="663"/>
    </row>
    <row r="506" spans="7:20" s="661" customFormat="1" x14ac:dyDescent="0.2">
      <c r="G506" s="621"/>
      <c r="H506" s="622"/>
      <c r="I506" s="629"/>
      <c r="J506" s="629"/>
      <c r="K506" s="622"/>
      <c r="L506" s="286"/>
      <c r="M506" s="619"/>
      <c r="N506" s="624"/>
      <c r="O506" s="624"/>
      <c r="P506" s="624"/>
      <c r="Q506" s="624"/>
      <c r="R506" s="624"/>
      <c r="S506" s="624"/>
      <c r="T506" s="663"/>
    </row>
    <row r="507" spans="7:20" s="661" customFormat="1" x14ac:dyDescent="0.2">
      <c r="G507" s="621"/>
      <c r="H507" s="627"/>
      <c r="I507" s="629"/>
      <c r="J507" s="629"/>
      <c r="K507" s="622"/>
      <c r="L507" s="286"/>
      <c r="M507" s="619"/>
      <c r="N507" s="624"/>
      <c r="O507" s="624"/>
      <c r="P507" s="624"/>
      <c r="Q507" s="624"/>
      <c r="R507" s="624"/>
      <c r="S507" s="624"/>
      <c r="T507" s="663"/>
    </row>
    <row r="508" spans="7:20" s="661" customFormat="1" x14ac:dyDescent="0.2">
      <c r="G508" s="621"/>
      <c r="H508" s="622"/>
      <c r="I508" s="629"/>
      <c r="J508" s="629"/>
      <c r="K508" s="622"/>
      <c r="L508" s="286"/>
      <c r="M508" s="619"/>
      <c r="N508" s="624"/>
      <c r="O508" s="624"/>
      <c r="P508" s="624"/>
      <c r="Q508" s="624"/>
      <c r="R508" s="624"/>
      <c r="S508" s="624"/>
      <c r="T508" s="663"/>
    </row>
    <row r="509" spans="7:20" s="661" customFormat="1" x14ac:dyDescent="0.2">
      <c r="G509" s="621"/>
      <c r="H509" s="622"/>
      <c r="I509" s="629"/>
      <c r="J509" s="629"/>
      <c r="K509" s="622"/>
      <c r="L509" s="286"/>
      <c r="M509" s="619"/>
      <c r="N509" s="624"/>
      <c r="O509" s="624"/>
      <c r="P509" s="624"/>
      <c r="Q509" s="624"/>
      <c r="R509" s="624"/>
      <c r="S509" s="624"/>
      <c r="T509" s="663"/>
    </row>
    <row r="510" spans="7:20" s="661" customFormat="1" x14ac:dyDescent="0.2">
      <c r="G510" s="621"/>
      <c r="H510" s="622"/>
      <c r="I510" s="629"/>
      <c r="J510" s="629"/>
      <c r="K510" s="622"/>
      <c r="L510" s="286"/>
      <c r="M510" s="619"/>
      <c r="N510" s="624"/>
      <c r="O510" s="624"/>
      <c r="P510" s="624"/>
      <c r="Q510" s="624"/>
      <c r="R510" s="624"/>
      <c r="S510" s="624"/>
      <c r="T510" s="663"/>
    </row>
    <row r="511" spans="7:20" s="661" customFormat="1" x14ac:dyDescent="0.2">
      <c r="G511" s="621"/>
      <c r="H511" s="622"/>
      <c r="I511" s="629"/>
      <c r="J511" s="629"/>
      <c r="K511" s="622"/>
      <c r="L511" s="286"/>
      <c r="M511" s="619"/>
      <c r="N511" s="624"/>
      <c r="O511" s="624"/>
      <c r="P511" s="624"/>
      <c r="Q511" s="624"/>
      <c r="R511" s="624"/>
      <c r="S511" s="624"/>
      <c r="T511" s="663"/>
    </row>
    <row r="512" spans="7:20" s="661" customFormat="1" x14ac:dyDescent="0.2">
      <c r="G512" s="621"/>
      <c r="H512" s="622"/>
      <c r="I512" s="629"/>
      <c r="J512" s="629"/>
      <c r="K512" s="622"/>
      <c r="L512" s="286"/>
      <c r="M512" s="619"/>
      <c r="N512" s="624"/>
      <c r="O512" s="624"/>
      <c r="P512" s="624"/>
      <c r="Q512" s="624"/>
      <c r="R512" s="624"/>
      <c r="S512" s="624"/>
      <c r="T512" s="663"/>
    </row>
    <row r="513" spans="7:20" s="661" customFormat="1" x14ac:dyDescent="0.2">
      <c r="G513" s="621"/>
      <c r="H513" s="622"/>
      <c r="I513" s="629"/>
      <c r="J513" s="629"/>
      <c r="K513" s="622"/>
      <c r="L513" s="292"/>
      <c r="M513" s="619"/>
      <c r="N513" s="624"/>
      <c r="O513" s="624"/>
      <c r="P513" s="624"/>
      <c r="Q513" s="624"/>
      <c r="R513" s="624"/>
      <c r="S513" s="624"/>
      <c r="T513" s="663"/>
    </row>
    <row r="514" spans="7:20" s="661" customFormat="1" x14ac:dyDescent="0.2">
      <c r="G514" s="621"/>
      <c r="H514" s="274"/>
      <c r="I514" s="629"/>
      <c r="J514" s="629"/>
      <c r="K514" s="622"/>
      <c r="L514" s="286"/>
      <c r="M514" s="622"/>
      <c r="N514" s="624"/>
      <c r="O514" s="624"/>
      <c r="P514" s="624"/>
      <c r="Q514" s="624"/>
      <c r="R514" s="624"/>
      <c r="S514" s="624"/>
      <c r="T514" s="663"/>
    </row>
    <row r="515" spans="7:20" s="661" customFormat="1" x14ac:dyDescent="0.2">
      <c r="G515" s="621"/>
      <c r="H515" s="622"/>
      <c r="I515" s="629"/>
      <c r="J515" s="629"/>
      <c r="K515" s="622"/>
      <c r="L515" s="286"/>
      <c r="M515" s="619"/>
      <c r="N515" s="624"/>
      <c r="O515" s="624"/>
      <c r="P515" s="624"/>
      <c r="Q515" s="624"/>
      <c r="R515" s="624"/>
      <c r="S515" s="624"/>
      <c r="T515" s="663"/>
    </row>
    <row r="516" spans="7:20" s="661" customFormat="1" x14ac:dyDescent="0.2">
      <c r="G516" s="621"/>
      <c r="H516" s="622"/>
      <c r="I516" s="629"/>
      <c r="J516" s="629"/>
      <c r="K516" s="274"/>
      <c r="L516" s="286"/>
      <c r="M516" s="619"/>
      <c r="N516" s="624"/>
      <c r="O516" s="624"/>
      <c r="P516" s="624"/>
      <c r="Q516" s="624"/>
      <c r="R516" s="624"/>
      <c r="S516" s="624"/>
      <c r="T516" s="663"/>
    </row>
    <row r="517" spans="7:20" s="661" customFormat="1" x14ac:dyDescent="0.2">
      <c r="G517" s="621"/>
      <c r="H517" s="274"/>
      <c r="I517" s="261"/>
      <c r="J517" s="629"/>
      <c r="K517" s="622"/>
      <c r="L517" s="286"/>
      <c r="M517" s="619"/>
      <c r="N517" s="624"/>
      <c r="O517" s="624"/>
      <c r="P517" s="624"/>
      <c r="Q517" s="624"/>
      <c r="R517" s="624"/>
      <c r="S517" s="624"/>
      <c r="T517" s="663"/>
    </row>
    <row r="518" spans="7:20" s="661" customFormat="1" x14ac:dyDescent="0.2">
      <c r="G518" s="621"/>
      <c r="H518" s="274"/>
      <c r="I518" s="261"/>
      <c r="J518" s="617"/>
      <c r="K518" s="617"/>
      <c r="L518" s="286"/>
      <c r="M518" s="619"/>
      <c r="N518" s="624"/>
      <c r="O518" s="624"/>
      <c r="P518" s="624"/>
      <c r="Q518" s="624"/>
      <c r="R518" s="624"/>
      <c r="S518" s="624"/>
      <c r="T518" s="663"/>
    </row>
    <row r="519" spans="7:20" s="661" customFormat="1" x14ac:dyDescent="0.2">
      <c r="G519" s="621"/>
      <c r="H519" s="619"/>
      <c r="I519" s="629"/>
      <c r="J519" s="629"/>
      <c r="K519" s="619"/>
      <c r="L519" s="286"/>
      <c r="M519" s="619"/>
      <c r="N519" s="624"/>
      <c r="O519" s="624"/>
      <c r="P519" s="624"/>
      <c r="Q519" s="624"/>
      <c r="R519" s="624"/>
      <c r="S519" s="624"/>
      <c r="T519" s="663"/>
    </row>
    <row r="520" spans="7:20" s="661" customFormat="1" ht="18" x14ac:dyDescent="0.25">
      <c r="G520" s="285" t="s">
        <v>176</v>
      </c>
      <c r="H520" s="284"/>
      <c r="I520" s="283"/>
      <c r="J520" s="283"/>
      <c r="K520" s="280"/>
      <c r="L520" s="291"/>
      <c r="M520" s="280"/>
      <c r="N520" s="402"/>
      <c r="O520" s="402"/>
      <c r="P520" s="402"/>
      <c r="Q520" s="402"/>
      <c r="R520" s="402"/>
      <c r="S520" s="402"/>
      <c r="T520" s="401"/>
    </row>
    <row r="521" spans="7:20" s="661" customFormat="1" x14ac:dyDescent="0.2">
      <c r="G521" s="621"/>
      <c r="H521" s="278"/>
      <c r="I521" s="279"/>
      <c r="J521" s="279"/>
      <c r="K521" s="278"/>
      <c r="L521" s="290"/>
      <c r="M521" s="278"/>
      <c r="N521" s="624"/>
      <c r="O521" s="624"/>
      <c r="P521" s="624"/>
      <c r="Q521" s="624"/>
      <c r="R521" s="624"/>
      <c r="S521" s="624"/>
      <c r="T521" s="663"/>
    </row>
    <row r="522" spans="7:20" s="661" customFormat="1" x14ac:dyDescent="0.2">
      <c r="G522" s="621"/>
      <c r="H522" s="622"/>
      <c r="I522" s="629"/>
      <c r="J522" s="629"/>
      <c r="K522" s="619"/>
      <c r="L522" s="286"/>
      <c r="M522" s="622"/>
      <c r="N522" s="624"/>
      <c r="O522" s="624"/>
      <c r="P522" s="624"/>
      <c r="Q522" s="624"/>
      <c r="R522" s="624"/>
      <c r="S522" s="624"/>
      <c r="T522" s="663"/>
    </row>
    <row r="523" spans="7:20" s="661" customFormat="1" x14ac:dyDescent="0.2">
      <c r="G523" s="621"/>
      <c r="H523" s="622"/>
      <c r="I523" s="629"/>
      <c r="J523" s="629"/>
      <c r="K523" s="622"/>
      <c r="L523" s="286"/>
      <c r="M523" s="619"/>
      <c r="N523" s="624"/>
      <c r="O523" s="624"/>
      <c r="P523" s="624"/>
      <c r="Q523" s="624"/>
      <c r="R523" s="624"/>
      <c r="S523" s="624"/>
      <c r="T523" s="663"/>
    </row>
    <row r="524" spans="7:20" s="661" customFormat="1" x14ac:dyDescent="0.2">
      <c r="G524" s="621"/>
      <c r="H524" s="622"/>
      <c r="I524" s="629"/>
      <c r="J524" s="629"/>
      <c r="K524" s="619"/>
      <c r="L524" s="286"/>
      <c r="M524" s="619"/>
      <c r="N524" s="624"/>
      <c r="O524" s="624"/>
      <c r="P524" s="624"/>
      <c r="Q524" s="624"/>
      <c r="R524" s="624"/>
      <c r="S524" s="624"/>
      <c r="T524" s="663"/>
    </row>
    <row r="525" spans="7:20" s="661" customFormat="1" x14ac:dyDescent="0.2">
      <c r="G525" s="621"/>
      <c r="H525" s="622"/>
      <c r="I525" s="261"/>
      <c r="J525" s="629"/>
      <c r="K525" s="619"/>
      <c r="L525" s="286"/>
      <c r="M525" s="619"/>
      <c r="N525" s="624"/>
      <c r="O525" s="624"/>
      <c r="P525" s="624"/>
      <c r="Q525" s="624"/>
      <c r="R525" s="624"/>
      <c r="S525" s="624"/>
      <c r="T525" s="663"/>
    </row>
    <row r="526" spans="7:20" s="661" customFormat="1" x14ac:dyDescent="0.2">
      <c r="G526" s="621"/>
      <c r="H526" s="622"/>
      <c r="I526" s="629"/>
      <c r="J526" s="629"/>
      <c r="K526" s="619"/>
      <c r="L526" s="286"/>
      <c r="M526" s="619"/>
      <c r="N526" s="624"/>
      <c r="O526" s="624"/>
      <c r="P526" s="624"/>
      <c r="Q526" s="624"/>
      <c r="R526" s="624"/>
      <c r="S526" s="624"/>
      <c r="T526" s="663"/>
    </row>
    <row r="527" spans="7:20" s="661" customFormat="1" x14ac:dyDescent="0.2">
      <c r="G527" s="621"/>
      <c r="H527" s="622"/>
      <c r="I527" s="629"/>
      <c r="J527" s="629"/>
      <c r="K527" s="619"/>
      <c r="L527" s="286"/>
      <c r="M527" s="619"/>
      <c r="N527" s="624"/>
      <c r="O527" s="624"/>
      <c r="P527" s="624"/>
      <c r="Q527" s="624"/>
      <c r="R527" s="624"/>
      <c r="S527" s="624"/>
      <c r="T527" s="663"/>
    </row>
    <row r="528" spans="7:20" s="661" customFormat="1" x14ac:dyDescent="0.2">
      <c r="G528" s="621"/>
      <c r="H528" s="622"/>
      <c r="I528" s="629"/>
      <c r="J528" s="629"/>
      <c r="K528" s="619"/>
      <c r="L528" s="286"/>
      <c r="M528" s="619"/>
      <c r="N528" s="624"/>
      <c r="O528" s="624"/>
      <c r="P528" s="624"/>
      <c r="Q528" s="624"/>
      <c r="R528" s="624"/>
      <c r="S528" s="624"/>
      <c r="T528" s="663"/>
    </row>
    <row r="529" spans="7:20" s="661" customFormat="1" x14ac:dyDescent="0.2">
      <c r="G529" s="621"/>
      <c r="H529" s="622"/>
      <c r="I529" s="629"/>
      <c r="J529" s="629"/>
      <c r="K529" s="619"/>
      <c r="L529" s="286"/>
      <c r="M529" s="619"/>
      <c r="N529" s="624"/>
      <c r="O529" s="624"/>
      <c r="P529" s="624"/>
      <c r="Q529" s="624"/>
      <c r="R529" s="624"/>
      <c r="S529" s="624"/>
      <c r="T529" s="663"/>
    </row>
    <row r="530" spans="7:20" s="661" customFormat="1" x14ac:dyDescent="0.2">
      <c r="G530" s="621"/>
      <c r="H530" s="622"/>
      <c r="I530" s="629"/>
      <c r="J530" s="629"/>
      <c r="K530" s="619"/>
      <c r="L530" s="286"/>
      <c r="M530" s="619"/>
      <c r="N530" s="624"/>
      <c r="O530" s="624"/>
      <c r="P530" s="624"/>
      <c r="Q530" s="624"/>
      <c r="R530" s="624"/>
      <c r="S530" s="624"/>
      <c r="T530" s="663"/>
    </row>
    <row r="531" spans="7:20" s="661" customFormat="1" x14ac:dyDescent="0.2">
      <c r="G531" s="621"/>
      <c r="H531" s="622"/>
      <c r="I531" s="629"/>
      <c r="J531" s="629"/>
      <c r="K531" s="619"/>
      <c r="L531" s="286"/>
      <c r="M531" s="619"/>
      <c r="N531" s="624"/>
      <c r="O531" s="624"/>
      <c r="P531" s="624"/>
      <c r="Q531" s="624"/>
      <c r="R531" s="624"/>
      <c r="S531" s="624"/>
      <c r="T531" s="663"/>
    </row>
    <row r="532" spans="7:20" s="661" customFormat="1" x14ac:dyDescent="0.2">
      <c r="G532" s="621"/>
      <c r="H532" s="622"/>
      <c r="I532" s="629"/>
      <c r="J532" s="629"/>
      <c r="K532" s="619"/>
      <c r="L532" s="286"/>
      <c r="M532" s="619"/>
      <c r="N532" s="624"/>
      <c r="O532" s="624"/>
      <c r="P532" s="624"/>
      <c r="Q532" s="624"/>
      <c r="R532" s="624"/>
      <c r="S532" s="624"/>
      <c r="T532" s="663"/>
    </row>
    <row r="533" spans="7:20" s="661" customFormat="1" x14ac:dyDescent="0.2">
      <c r="G533" s="621"/>
      <c r="H533" s="622"/>
      <c r="I533" s="629"/>
      <c r="J533" s="629"/>
      <c r="K533" s="619"/>
      <c r="L533" s="286"/>
      <c r="M533" s="619"/>
      <c r="N533" s="624"/>
      <c r="O533" s="624"/>
      <c r="P533" s="624"/>
      <c r="Q533" s="624"/>
      <c r="R533" s="624"/>
      <c r="S533" s="624"/>
      <c r="T533" s="663"/>
    </row>
    <row r="534" spans="7:20" s="661" customFormat="1" x14ac:dyDescent="0.2">
      <c r="G534" s="621"/>
      <c r="H534" s="622"/>
      <c r="I534" s="629"/>
      <c r="J534" s="629"/>
      <c r="K534" s="619"/>
      <c r="L534" s="286"/>
      <c r="M534" s="619"/>
      <c r="N534" s="624"/>
      <c r="O534" s="624"/>
      <c r="P534" s="624"/>
      <c r="Q534" s="624"/>
      <c r="R534" s="624"/>
      <c r="S534" s="624"/>
      <c r="T534" s="663"/>
    </row>
    <row r="535" spans="7:20" s="661" customFormat="1" x14ac:dyDescent="0.2">
      <c r="G535" s="621"/>
      <c r="H535" s="622"/>
      <c r="I535" s="629"/>
      <c r="J535" s="629"/>
      <c r="K535" s="619"/>
      <c r="L535" s="286"/>
      <c r="M535" s="619"/>
      <c r="N535" s="624"/>
      <c r="O535" s="624"/>
      <c r="P535" s="624"/>
      <c r="Q535" s="624"/>
      <c r="R535" s="624"/>
      <c r="S535" s="624"/>
      <c r="T535" s="663"/>
    </row>
    <row r="536" spans="7:20" s="661" customFormat="1" x14ac:dyDescent="0.2">
      <c r="G536" s="621"/>
      <c r="H536" s="622"/>
      <c r="I536" s="629"/>
      <c r="J536" s="629"/>
      <c r="K536" s="622"/>
      <c r="L536" s="286"/>
      <c r="M536" s="619"/>
      <c r="N536" s="624"/>
      <c r="O536" s="624"/>
      <c r="P536" s="624"/>
      <c r="Q536" s="624"/>
      <c r="R536" s="624"/>
      <c r="S536" s="624"/>
      <c r="T536" s="663"/>
    </row>
    <row r="537" spans="7:20" s="661" customFormat="1" x14ac:dyDescent="0.2">
      <c r="G537" s="621"/>
      <c r="H537" s="622"/>
      <c r="I537" s="629"/>
      <c r="J537" s="629"/>
      <c r="K537" s="622"/>
      <c r="L537" s="286"/>
      <c r="M537" s="622"/>
      <c r="N537" s="624"/>
      <c r="O537" s="624"/>
      <c r="P537" s="624"/>
      <c r="Q537" s="624"/>
      <c r="R537" s="624"/>
      <c r="S537" s="624"/>
      <c r="T537" s="663"/>
    </row>
    <row r="538" spans="7:20" s="661" customFormat="1" x14ac:dyDescent="0.2">
      <c r="G538" s="621"/>
      <c r="H538" s="622"/>
      <c r="I538" s="629"/>
      <c r="J538" s="629"/>
      <c r="K538" s="622"/>
      <c r="L538" s="286"/>
      <c r="M538" s="622"/>
      <c r="N538" s="624"/>
      <c r="O538" s="624"/>
      <c r="P538" s="624"/>
      <c r="Q538" s="624"/>
      <c r="R538" s="624"/>
      <c r="S538" s="624"/>
      <c r="T538" s="663"/>
    </row>
    <row r="539" spans="7:20" s="661" customFormat="1" x14ac:dyDescent="0.2">
      <c r="G539" s="621"/>
      <c r="H539" s="622"/>
      <c r="I539" s="629"/>
      <c r="J539" s="629"/>
      <c r="K539" s="622"/>
      <c r="L539" s="286"/>
      <c r="M539" s="622"/>
      <c r="N539" s="624"/>
      <c r="O539" s="624"/>
      <c r="P539" s="624"/>
      <c r="Q539" s="624"/>
      <c r="R539" s="624"/>
      <c r="S539" s="624"/>
      <c r="T539" s="663"/>
    </row>
    <row r="540" spans="7:20" s="661" customFormat="1" x14ac:dyDescent="0.2">
      <c r="G540" s="621"/>
      <c r="H540" s="622"/>
      <c r="I540" s="629"/>
      <c r="J540" s="629"/>
      <c r="K540" s="622"/>
      <c r="L540" s="286"/>
      <c r="M540" s="619"/>
      <c r="N540" s="624"/>
      <c r="O540" s="624"/>
      <c r="P540" s="624"/>
      <c r="Q540" s="624"/>
      <c r="R540" s="624"/>
      <c r="S540" s="624"/>
      <c r="T540" s="663"/>
    </row>
    <row r="541" spans="7:20" s="661" customFormat="1" x14ac:dyDescent="0.2">
      <c r="G541" s="621"/>
      <c r="H541" s="622"/>
      <c r="I541" s="629"/>
      <c r="J541" s="629"/>
      <c r="K541" s="619"/>
      <c r="L541" s="286"/>
      <c r="M541" s="619"/>
      <c r="N541" s="624"/>
      <c r="O541" s="624"/>
      <c r="P541" s="624"/>
      <c r="Q541" s="624"/>
      <c r="R541" s="624"/>
      <c r="S541" s="624"/>
      <c r="T541" s="663"/>
    </row>
    <row r="542" spans="7:20" s="661" customFormat="1" x14ac:dyDescent="0.2">
      <c r="G542" s="621"/>
      <c r="H542" s="622"/>
      <c r="I542" s="629"/>
      <c r="J542" s="629"/>
      <c r="K542" s="619"/>
      <c r="L542" s="286"/>
      <c r="M542" s="619"/>
      <c r="N542" s="624"/>
      <c r="O542" s="624"/>
      <c r="P542" s="624"/>
      <c r="Q542" s="624"/>
      <c r="R542" s="624"/>
      <c r="S542" s="624"/>
      <c r="T542" s="663"/>
    </row>
    <row r="543" spans="7:20" s="661" customFormat="1" x14ac:dyDescent="0.2">
      <c r="G543" s="621"/>
      <c r="H543" s="622"/>
      <c r="I543" s="629"/>
      <c r="J543" s="629"/>
      <c r="K543" s="619"/>
      <c r="L543" s="286"/>
      <c r="M543" s="619"/>
      <c r="N543" s="624"/>
      <c r="O543" s="624"/>
      <c r="P543" s="624"/>
      <c r="Q543" s="624"/>
      <c r="R543" s="624"/>
      <c r="S543" s="624"/>
      <c r="T543" s="663"/>
    </row>
    <row r="544" spans="7:20" s="661" customFormat="1" x14ac:dyDescent="0.2">
      <c r="G544" s="621"/>
      <c r="H544" s="622"/>
      <c r="I544" s="629"/>
      <c r="J544" s="629"/>
      <c r="K544" s="619"/>
      <c r="L544" s="286"/>
      <c r="M544" s="619"/>
      <c r="N544" s="624"/>
      <c r="O544" s="624"/>
      <c r="P544" s="624"/>
      <c r="Q544" s="624"/>
      <c r="R544" s="624"/>
      <c r="S544" s="624"/>
      <c r="T544" s="663"/>
    </row>
    <row r="545" spans="7:20" s="661" customFormat="1" x14ac:dyDescent="0.2">
      <c r="G545" s="621"/>
      <c r="H545" s="622"/>
      <c r="I545" s="629"/>
      <c r="J545" s="629"/>
      <c r="K545" s="619"/>
      <c r="L545" s="286"/>
      <c r="M545" s="619"/>
      <c r="N545" s="624"/>
      <c r="O545" s="624"/>
      <c r="P545" s="624"/>
      <c r="Q545" s="624"/>
      <c r="R545" s="624"/>
      <c r="S545" s="624"/>
      <c r="T545" s="663"/>
    </row>
    <row r="546" spans="7:20" s="661" customFormat="1" x14ac:dyDescent="0.2">
      <c r="G546" s="621"/>
      <c r="H546" s="622"/>
      <c r="I546" s="629"/>
      <c r="J546" s="629"/>
      <c r="K546" s="619"/>
      <c r="L546" s="286"/>
      <c r="M546" s="619"/>
      <c r="N546" s="624"/>
      <c r="O546" s="624"/>
      <c r="P546" s="624"/>
      <c r="Q546" s="624"/>
      <c r="R546" s="624"/>
      <c r="S546" s="624"/>
      <c r="T546" s="663"/>
    </row>
    <row r="547" spans="7:20" s="661" customFormat="1" x14ac:dyDescent="0.2">
      <c r="G547" s="621"/>
      <c r="H547" s="622"/>
      <c r="I547" s="629"/>
      <c r="J547" s="629"/>
      <c r="K547" s="619"/>
      <c r="L547" s="286"/>
      <c r="M547" s="619"/>
      <c r="N547" s="624"/>
      <c r="O547" s="624"/>
      <c r="P547" s="624"/>
      <c r="Q547" s="624"/>
      <c r="R547" s="624"/>
      <c r="S547" s="624"/>
      <c r="T547" s="663"/>
    </row>
    <row r="548" spans="7:20" s="661" customFormat="1" x14ac:dyDescent="0.2">
      <c r="G548" s="621"/>
      <c r="H548" s="622"/>
      <c r="I548" s="629"/>
      <c r="J548" s="629"/>
      <c r="K548" s="619"/>
      <c r="L548" s="286"/>
      <c r="M548" s="619"/>
      <c r="N548" s="624"/>
      <c r="O548" s="624"/>
      <c r="P548" s="624"/>
      <c r="Q548" s="624"/>
      <c r="R548" s="624"/>
      <c r="S548" s="624"/>
      <c r="T548" s="663"/>
    </row>
    <row r="549" spans="7:20" s="661" customFormat="1" x14ac:dyDescent="0.2">
      <c r="G549" s="621"/>
      <c r="H549" s="619"/>
      <c r="I549" s="629"/>
      <c r="J549" s="629"/>
      <c r="K549" s="619"/>
      <c r="L549" s="286"/>
      <c r="M549" s="619"/>
      <c r="N549" s="624"/>
      <c r="O549" s="624"/>
      <c r="P549" s="624"/>
      <c r="Q549" s="624"/>
      <c r="R549" s="624"/>
      <c r="S549" s="624"/>
      <c r="T549" s="663"/>
    </row>
    <row r="550" spans="7:20" s="661" customFormat="1" ht="18" x14ac:dyDescent="0.25">
      <c r="G550" s="285" t="s">
        <v>189</v>
      </c>
      <c r="H550" s="284"/>
      <c r="I550" s="283"/>
      <c r="J550" s="283"/>
      <c r="K550" s="280"/>
      <c r="L550" s="291"/>
      <c r="M550" s="280"/>
      <c r="N550" s="402"/>
      <c r="O550" s="402"/>
      <c r="P550" s="402"/>
      <c r="Q550" s="402"/>
      <c r="R550" s="402"/>
      <c r="S550" s="402"/>
      <c r="T550" s="401"/>
    </row>
    <row r="551" spans="7:20" s="661" customFormat="1" x14ac:dyDescent="0.2">
      <c r="G551" s="621"/>
      <c r="H551" s="278"/>
      <c r="I551" s="279"/>
      <c r="J551" s="279"/>
      <c r="K551" s="278"/>
      <c r="L551" s="290"/>
      <c r="M551" s="278"/>
      <c r="N551" s="624"/>
      <c r="O551" s="624"/>
      <c r="P551" s="624"/>
      <c r="Q551" s="624"/>
      <c r="R551" s="624"/>
      <c r="S551" s="624"/>
      <c r="T551" s="663"/>
    </row>
    <row r="552" spans="7:20" s="661" customFormat="1" x14ac:dyDescent="0.2">
      <c r="G552" s="621"/>
      <c r="H552" s="622"/>
      <c r="I552" s="629"/>
      <c r="J552" s="629"/>
      <c r="K552" s="622"/>
      <c r="L552" s="286"/>
      <c r="M552" s="619"/>
      <c r="N552" s="624"/>
      <c r="O552" s="624"/>
      <c r="P552" s="624"/>
      <c r="Q552" s="624"/>
      <c r="R552" s="624"/>
      <c r="S552" s="624"/>
      <c r="T552" s="663"/>
    </row>
    <row r="553" spans="7:20" s="661" customFormat="1" x14ac:dyDescent="0.2">
      <c r="G553" s="621"/>
      <c r="H553" s="622"/>
      <c r="I553" s="629"/>
      <c r="J553" s="629"/>
      <c r="K553" s="622"/>
      <c r="L553" s="286"/>
      <c r="M553" s="622"/>
      <c r="N553" s="624"/>
      <c r="O553" s="624"/>
      <c r="P553" s="624"/>
      <c r="Q553" s="624"/>
      <c r="R553" s="624"/>
      <c r="S553" s="624"/>
      <c r="T553" s="663"/>
    </row>
    <row r="554" spans="7:20" s="661" customFormat="1" x14ac:dyDescent="0.2">
      <c r="G554" s="621"/>
      <c r="H554" s="622"/>
      <c r="I554" s="629"/>
      <c r="J554" s="629"/>
      <c r="K554" s="622"/>
      <c r="L554" s="286"/>
      <c r="M554" s="619"/>
      <c r="N554" s="624"/>
      <c r="O554" s="624"/>
      <c r="P554" s="624"/>
      <c r="Q554" s="624"/>
      <c r="R554" s="624"/>
      <c r="S554" s="624"/>
      <c r="T554" s="663"/>
    </row>
    <row r="555" spans="7:20" s="661" customFormat="1" x14ac:dyDescent="0.2">
      <c r="G555" s="621"/>
      <c r="H555" s="622"/>
      <c r="I555" s="629"/>
      <c r="J555" s="629"/>
      <c r="K555" s="622"/>
      <c r="L555" s="286"/>
      <c r="M555" s="619"/>
      <c r="N555" s="624"/>
      <c r="O555" s="624"/>
      <c r="P555" s="624"/>
      <c r="Q555" s="624"/>
      <c r="R555" s="624"/>
      <c r="S555" s="624"/>
      <c r="T555" s="663"/>
    </row>
    <row r="556" spans="7:20" s="661" customFormat="1" x14ac:dyDescent="0.2">
      <c r="G556" s="621"/>
      <c r="H556" s="622"/>
      <c r="I556" s="629"/>
      <c r="J556" s="629"/>
      <c r="K556" s="634"/>
      <c r="L556" s="286"/>
      <c r="M556" s="619"/>
      <c r="N556" s="624"/>
      <c r="O556" s="624"/>
      <c r="P556" s="624"/>
      <c r="Q556" s="624"/>
      <c r="R556" s="624"/>
      <c r="S556" s="624"/>
      <c r="T556" s="663"/>
    </row>
    <row r="557" spans="7:20" s="661" customFormat="1" x14ac:dyDescent="0.2">
      <c r="G557" s="621"/>
      <c r="H557" s="622"/>
      <c r="I557" s="629"/>
      <c r="J557" s="629"/>
      <c r="K557" s="289"/>
      <c r="L557" s="286"/>
      <c r="M557" s="622"/>
      <c r="N557" s="624"/>
      <c r="O557" s="624"/>
      <c r="P557" s="624"/>
      <c r="Q557" s="624"/>
      <c r="R557" s="624"/>
      <c r="S557" s="624"/>
      <c r="T557" s="663"/>
    </row>
    <row r="558" spans="7:20" s="661" customFormat="1" x14ac:dyDescent="0.2">
      <c r="G558" s="621"/>
      <c r="H558" s="622"/>
      <c r="I558" s="629"/>
      <c r="J558" s="629"/>
      <c r="K558" s="289"/>
      <c r="L558" s="286"/>
      <c r="M558" s="622"/>
      <c r="N558" s="624"/>
      <c r="O558" s="624"/>
      <c r="P558" s="624"/>
      <c r="Q558" s="624"/>
      <c r="R558" s="624"/>
      <c r="S558" s="624"/>
      <c r="T558" s="663"/>
    </row>
    <row r="559" spans="7:20" s="661" customFormat="1" x14ac:dyDescent="0.2">
      <c r="G559" s="621"/>
      <c r="H559" s="627"/>
      <c r="I559" s="629"/>
      <c r="J559" s="629"/>
      <c r="K559" s="289"/>
      <c r="L559" s="286"/>
      <c r="M559" s="622"/>
      <c r="N559" s="624"/>
      <c r="O559" s="624"/>
      <c r="P559" s="624"/>
      <c r="Q559" s="624"/>
      <c r="R559" s="624"/>
      <c r="S559" s="624"/>
      <c r="T559" s="663"/>
    </row>
    <row r="560" spans="7:20" s="661" customFormat="1" x14ac:dyDescent="0.2">
      <c r="G560" s="621"/>
      <c r="H560" s="622"/>
      <c r="I560" s="629"/>
      <c r="J560" s="629"/>
      <c r="K560" s="289"/>
      <c r="L560" s="286"/>
      <c r="M560" s="622"/>
      <c r="N560" s="624"/>
      <c r="O560" s="624"/>
      <c r="P560" s="624"/>
      <c r="Q560" s="624"/>
      <c r="R560" s="624"/>
      <c r="S560" s="624"/>
      <c r="T560" s="663"/>
    </row>
    <row r="561" spans="7:20" s="661" customFormat="1" x14ac:dyDescent="0.2">
      <c r="G561" s="621"/>
      <c r="H561" s="622"/>
      <c r="I561" s="629"/>
      <c r="J561" s="629"/>
      <c r="K561" s="622"/>
      <c r="L561" s="286"/>
      <c r="M561" s="619"/>
      <c r="N561" s="624"/>
      <c r="O561" s="624"/>
      <c r="P561" s="624"/>
      <c r="Q561" s="624"/>
      <c r="R561" s="624"/>
      <c r="S561" s="624"/>
      <c r="T561" s="663"/>
    </row>
    <row r="562" spans="7:20" s="661" customFormat="1" x14ac:dyDescent="0.2">
      <c r="G562" s="621"/>
      <c r="H562" s="274"/>
      <c r="I562" s="629"/>
      <c r="J562" s="629"/>
      <c r="K562" s="622"/>
      <c r="L562" s="286"/>
      <c r="M562" s="619"/>
      <c r="N562" s="624"/>
      <c r="O562" s="624"/>
      <c r="P562" s="624"/>
      <c r="Q562" s="624"/>
      <c r="R562" s="624"/>
      <c r="S562" s="624"/>
      <c r="T562" s="663"/>
    </row>
    <row r="563" spans="7:20" s="661" customFormat="1" x14ac:dyDescent="0.2">
      <c r="G563" s="621"/>
      <c r="H563" s="622"/>
      <c r="I563" s="629"/>
      <c r="J563" s="629"/>
      <c r="K563" s="622"/>
      <c r="L563" s="286"/>
      <c r="M563" s="619"/>
      <c r="N563" s="624"/>
      <c r="O563" s="624"/>
      <c r="P563" s="624"/>
      <c r="Q563" s="624"/>
      <c r="R563" s="624"/>
      <c r="S563" s="624"/>
      <c r="T563" s="663"/>
    </row>
    <row r="564" spans="7:20" s="661" customFormat="1" x14ac:dyDescent="0.2">
      <c r="G564" s="621"/>
      <c r="H564" s="622"/>
      <c r="I564" s="629"/>
      <c r="J564" s="629"/>
      <c r="K564" s="622"/>
      <c r="L564" s="286"/>
      <c r="M564" s="619"/>
      <c r="N564" s="624"/>
      <c r="O564" s="624"/>
      <c r="P564" s="624"/>
      <c r="Q564" s="624"/>
      <c r="R564" s="624"/>
      <c r="S564" s="624"/>
      <c r="T564" s="663"/>
    </row>
    <row r="565" spans="7:20" s="661" customFormat="1" x14ac:dyDescent="0.2">
      <c r="G565" s="621"/>
      <c r="H565" s="619"/>
      <c r="I565" s="629"/>
      <c r="J565" s="629"/>
      <c r="K565" s="619"/>
      <c r="L565" s="286"/>
      <c r="M565" s="619"/>
      <c r="N565" s="624"/>
      <c r="O565" s="624"/>
      <c r="P565" s="624"/>
      <c r="Q565" s="624"/>
      <c r="R565" s="624"/>
      <c r="S565" s="624"/>
      <c r="T565" s="663"/>
    </row>
    <row r="566" spans="7:20" s="661" customFormat="1" ht="18" x14ac:dyDescent="0.25">
      <c r="G566" s="285" t="s">
        <v>211</v>
      </c>
      <c r="H566" s="284"/>
      <c r="I566" s="283"/>
      <c r="J566" s="283"/>
      <c r="K566" s="280"/>
      <c r="L566" s="282"/>
      <c r="M566" s="281"/>
      <c r="N566" s="402"/>
      <c r="O566" s="402"/>
      <c r="P566" s="402"/>
      <c r="Q566" s="402"/>
      <c r="R566" s="402"/>
      <c r="S566" s="402"/>
      <c r="T566" s="401"/>
    </row>
    <row r="567" spans="7:20" s="661" customFormat="1" x14ac:dyDescent="0.2">
      <c r="G567" s="621"/>
      <c r="H567" s="278"/>
      <c r="I567" s="279"/>
      <c r="J567" s="279"/>
      <c r="K567" s="278"/>
      <c r="L567" s="277"/>
      <c r="M567" s="276"/>
      <c r="N567" s="624"/>
      <c r="O567" s="624"/>
      <c r="P567" s="624"/>
      <c r="Q567" s="624"/>
      <c r="R567" s="624"/>
      <c r="S567" s="624"/>
      <c r="T567" s="663"/>
    </row>
    <row r="568" spans="7:20" s="661" customFormat="1" x14ac:dyDescent="0.2">
      <c r="G568" s="621"/>
      <c r="H568" s="622"/>
      <c r="I568" s="629"/>
      <c r="J568" s="294"/>
      <c r="K568" s="622"/>
      <c r="L568" s="630"/>
      <c r="M568" s="275"/>
      <c r="N568" s="624"/>
      <c r="O568" s="624"/>
      <c r="P568" s="624"/>
      <c r="Q568" s="624"/>
      <c r="R568" s="624"/>
      <c r="S568" s="624"/>
      <c r="T568" s="663"/>
    </row>
    <row r="569" spans="7:20" s="661" customFormat="1" x14ac:dyDescent="0.2">
      <c r="G569" s="621"/>
      <c r="H569" s="274"/>
      <c r="I569" s="261"/>
      <c r="J569" s="400"/>
      <c r="K569" s="274"/>
      <c r="L569" s="617"/>
      <c r="M569" s="621"/>
      <c r="N569" s="624"/>
      <c r="O569" s="624"/>
      <c r="P569" s="624"/>
      <c r="Q569" s="624"/>
      <c r="R569" s="624"/>
      <c r="S569" s="624"/>
      <c r="T569" s="663"/>
    </row>
    <row r="570" spans="7:20" s="661" customFormat="1" x14ac:dyDescent="0.2">
      <c r="G570" s="621"/>
      <c r="H570" s="274"/>
      <c r="I570" s="261"/>
      <c r="J570" s="400"/>
      <c r="K570" s="274"/>
      <c r="L570" s="617"/>
      <c r="M570" s="621"/>
      <c r="N570" s="624"/>
      <c r="O570" s="624"/>
      <c r="P570" s="624"/>
      <c r="Q570" s="624"/>
      <c r="R570" s="624"/>
      <c r="S570" s="624"/>
      <c r="T570" s="663"/>
    </row>
    <row r="571" spans="7:20" s="661" customFormat="1" x14ac:dyDescent="0.2">
      <c r="G571" s="621"/>
      <c r="H571" s="274"/>
      <c r="I571" s="261"/>
      <c r="J571" s="400"/>
      <c r="K571" s="274"/>
      <c r="L571" s="617"/>
      <c r="M571" s="621"/>
      <c r="N571" s="624"/>
      <c r="O571" s="624"/>
      <c r="P571" s="624"/>
      <c r="Q571" s="624"/>
      <c r="R571" s="624"/>
      <c r="S571" s="624"/>
      <c r="T571" s="663"/>
    </row>
    <row r="572" spans="7:20" s="661" customFormat="1" x14ac:dyDescent="0.2">
      <c r="G572" s="621"/>
      <c r="H572" s="622"/>
      <c r="I572" s="629"/>
      <c r="J572" s="273"/>
      <c r="K572" s="274"/>
      <c r="L572" s="630"/>
      <c r="M572" s="621"/>
      <c r="N572" s="624"/>
      <c r="O572" s="624"/>
      <c r="P572" s="624"/>
      <c r="Q572" s="624"/>
      <c r="R572" s="624"/>
      <c r="S572" s="624"/>
      <c r="T572" s="663"/>
    </row>
    <row r="573" spans="7:20" s="661" customFormat="1" x14ac:dyDescent="0.2">
      <c r="G573" s="621"/>
      <c r="H573" s="622"/>
      <c r="I573" s="629"/>
      <c r="J573" s="629"/>
      <c r="K573" s="622"/>
      <c r="L573" s="630"/>
      <c r="M573" s="621"/>
      <c r="N573" s="624"/>
      <c r="O573" s="624"/>
      <c r="P573" s="624"/>
      <c r="Q573" s="624"/>
      <c r="R573" s="624"/>
      <c r="S573" s="624"/>
      <c r="T573" s="663"/>
    </row>
    <row r="574" spans="7:20" s="661" customFormat="1" x14ac:dyDescent="0.2">
      <c r="G574" s="621"/>
      <c r="H574" s="619"/>
      <c r="I574" s="629"/>
      <c r="J574" s="629"/>
      <c r="K574" s="619"/>
      <c r="L574" s="630"/>
      <c r="M574" s="621"/>
      <c r="N574" s="624"/>
      <c r="O574" s="624"/>
      <c r="P574" s="624"/>
      <c r="Q574" s="624"/>
      <c r="R574" s="624"/>
      <c r="S574" s="624"/>
      <c r="T574" s="663"/>
    </row>
    <row r="575" spans="7:20" s="661" customFormat="1" x14ac:dyDescent="0.2">
      <c r="G575" s="621"/>
      <c r="H575" s="619"/>
      <c r="I575" s="629"/>
      <c r="J575" s="629"/>
      <c r="K575" s="619"/>
      <c r="L575" s="630"/>
      <c r="M575" s="621"/>
      <c r="N575" s="624"/>
      <c r="O575" s="624"/>
      <c r="P575" s="624"/>
      <c r="Q575" s="624"/>
      <c r="R575" s="624"/>
      <c r="S575" s="624"/>
      <c r="T575" s="663"/>
    </row>
    <row r="576" spans="7:20" s="661" customFormat="1" x14ac:dyDescent="0.2">
      <c r="G576" s="621"/>
      <c r="H576" s="619"/>
      <c r="I576" s="629"/>
      <c r="J576" s="629"/>
      <c r="K576" s="619"/>
      <c r="L576" s="630"/>
      <c r="M576" s="621"/>
      <c r="N576" s="624"/>
      <c r="O576" s="624"/>
      <c r="P576" s="624"/>
      <c r="Q576" s="624"/>
      <c r="R576" s="624"/>
      <c r="S576" s="624"/>
      <c r="T576" s="663"/>
    </row>
    <row r="577" spans="3:28" s="661" customFormat="1" x14ac:dyDescent="0.2">
      <c r="G577" s="621"/>
      <c r="H577" s="619"/>
      <c r="I577" s="629"/>
      <c r="J577" s="629"/>
      <c r="K577" s="619"/>
      <c r="L577" s="630"/>
      <c r="M577" s="621"/>
      <c r="N577" s="624"/>
      <c r="O577" s="624"/>
      <c r="P577" s="624"/>
      <c r="Q577" s="624"/>
      <c r="R577" s="624"/>
      <c r="S577" s="624"/>
      <c r="T577" s="663"/>
    </row>
    <row r="578" spans="3:28" s="661" customFormat="1" x14ac:dyDescent="0.2">
      <c r="G578" s="621"/>
      <c r="H578" s="619"/>
      <c r="I578" s="629"/>
      <c r="J578" s="629"/>
      <c r="K578" s="619"/>
      <c r="L578" s="630"/>
      <c r="M578" s="621"/>
      <c r="N578" s="624"/>
      <c r="O578" s="624"/>
      <c r="P578" s="624"/>
      <c r="Q578" s="624"/>
      <c r="R578" s="624"/>
      <c r="S578" s="624"/>
      <c r="T578" s="663"/>
    </row>
    <row r="579" spans="3:28" s="661" customFormat="1" x14ac:dyDescent="0.2">
      <c r="G579" s="264"/>
      <c r="H579" s="263"/>
      <c r="I579" s="266"/>
      <c r="J579" s="266"/>
      <c r="K579" s="263"/>
      <c r="L579" s="265"/>
      <c r="M579" s="264"/>
      <c r="N579" s="398"/>
      <c r="O579" s="398"/>
      <c r="P579" s="398"/>
      <c r="Q579" s="398"/>
      <c r="R579" s="398"/>
      <c r="S579" s="398"/>
      <c r="T579" s="397"/>
    </row>
    <row r="585" spans="3:28" s="661" customFormat="1" x14ac:dyDescent="0.2">
      <c r="G585" s="617"/>
      <c r="H585" s="622"/>
      <c r="I585" s="294"/>
      <c r="J585" s="629"/>
      <c r="K585" s="617"/>
      <c r="L585" s="286"/>
      <c r="M585" s="617"/>
    </row>
    <row r="586" spans="3:28" s="661" customFormat="1" x14ac:dyDescent="0.2">
      <c r="C586" s="617"/>
      <c r="D586" s="617"/>
      <c r="E586" s="617"/>
      <c r="F586" s="617"/>
      <c r="G586" s="617"/>
      <c r="H586" s="622"/>
      <c r="I586" s="294"/>
      <c r="J586" s="629"/>
      <c r="K586" s="617"/>
      <c r="L586" s="286"/>
      <c r="M586" s="617"/>
      <c r="AA586" s="617"/>
      <c r="AB586" s="617"/>
    </row>
    <row r="587" spans="3:28" s="661" customFormat="1" x14ac:dyDescent="0.2">
      <c r="C587" s="617"/>
      <c r="D587" s="617"/>
      <c r="E587" s="617"/>
      <c r="F587" s="617"/>
      <c r="G587" s="617"/>
      <c r="H587" s="622"/>
      <c r="I587" s="294"/>
      <c r="J587" s="629"/>
      <c r="K587" s="617"/>
      <c r="L587" s="286"/>
      <c r="M587" s="617"/>
      <c r="AA587" s="617"/>
      <c r="AB587" s="617"/>
    </row>
    <row r="588" spans="3:28" s="661" customFormat="1" x14ac:dyDescent="0.2">
      <c r="C588" s="617"/>
      <c r="D588" s="617"/>
      <c r="E588" s="617"/>
      <c r="F588" s="617"/>
      <c r="G588" s="617"/>
      <c r="H588" s="622"/>
      <c r="I588" s="294"/>
      <c r="J588" s="629"/>
      <c r="K588" s="617"/>
      <c r="L588" s="286"/>
      <c r="M588" s="617"/>
      <c r="AA588" s="617"/>
      <c r="AB588" s="617"/>
    </row>
    <row r="589" spans="3:28" s="661" customFormat="1" x14ac:dyDescent="0.2">
      <c r="C589" s="617"/>
      <c r="D589" s="617"/>
      <c r="E589" s="617"/>
      <c r="F589" s="617"/>
      <c r="G589" s="617"/>
      <c r="H589" s="622"/>
      <c r="I589" s="396"/>
      <c r="J589" s="629"/>
      <c r="K589" s="617"/>
      <c r="L589" s="286"/>
      <c r="M589" s="617"/>
      <c r="AA589" s="617"/>
      <c r="AB589" s="617"/>
    </row>
    <row r="590" spans="3:28" s="661" customFormat="1" x14ac:dyDescent="0.2">
      <c r="C590" s="617"/>
      <c r="D590" s="617"/>
      <c r="E590" s="617"/>
      <c r="F590" s="617"/>
      <c r="G590" s="617"/>
      <c r="H590" s="622"/>
      <c r="I590" s="396"/>
      <c r="J590" s="629"/>
      <c r="K590" s="617"/>
      <c r="L590" s="286"/>
      <c r="M590" s="617"/>
      <c r="AA590" s="617"/>
      <c r="AB590" s="617"/>
    </row>
  </sheetData>
  <sheetProtection password="C82C" sheet="1" objects="1" scenarios="1" selectLockedCells="1"/>
  <pageMargins left="0.70866141732283472" right="0.70866141732283472" top="0.74803149606299213" bottom="0.74803149606299213" header="0.31496062992125984" footer="0.31496062992125984"/>
  <pageSetup paperSize="9" scale="67" fitToHeight="0" orientation="portrait" r:id="rId1"/>
  <headerFooter>
    <oddHeader>&amp;LPUBLIC&amp;CEfficient Costs of New Entrant Ethanol Producers&amp;R&amp;G</oddHeader>
    <oddFooter>&amp;L&amp;F:&amp;A&amp;C&amp;D&amp;R&amp;P of &amp;N</oddFooter>
  </headerFooter>
  <rowBreaks count="2" manualBreakCount="2">
    <brk id="163" min="7" max="12" man="1"/>
    <brk id="242" min="7" max="12"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'Wheat Standalone (Starch)'!$S$156:$S$157</xm:f>
          </x14:formula1>
          <xm:sqref>O173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A"/>
    <pageSetUpPr fitToPage="1"/>
  </sheetPr>
  <dimension ref="A1:Q36"/>
  <sheetViews>
    <sheetView showGridLines="0" zoomScale="90" zoomScaleNormal="90" workbookViewId="0">
      <selection activeCell="D6" sqref="D6"/>
    </sheetView>
  </sheetViews>
  <sheetFormatPr defaultRowHeight="12.75" x14ac:dyDescent="0.2"/>
  <cols>
    <col min="1" max="1" width="4" customWidth="1"/>
    <col min="2" max="2" width="24.28515625" customWidth="1"/>
    <col min="3" max="3" width="1.42578125" customWidth="1"/>
    <col min="4" max="4" width="44" customWidth="1"/>
    <col min="5" max="5" width="1.5703125" customWidth="1"/>
    <col min="6" max="6" width="32.5703125" customWidth="1"/>
    <col min="7" max="7" width="4.140625" customWidth="1"/>
    <col min="8" max="9" width="9.7109375" customWidth="1"/>
    <col min="16" max="21" width="0" hidden="1" customWidth="1"/>
  </cols>
  <sheetData>
    <row r="1" spans="1:17" ht="18.75" x14ac:dyDescent="0.3">
      <c r="A1" s="726" t="s">
        <v>304</v>
      </c>
      <c r="B1" s="153"/>
      <c r="C1" s="153"/>
      <c r="D1" s="153"/>
      <c r="E1" s="153"/>
      <c r="F1" s="156"/>
      <c r="G1" s="156"/>
      <c r="H1" s="156"/>
      <c r="I1" s="156"/>
      <c r="J1" s="156"/>
      <c r="K1" s="156"/>
      <c r="L1" s="156"/>
      <c r="M1" s="156"/>
      <c r="N1" s="156"/>
      <c r="O1" s="156"/>
    </row>
    <row r="2" spans="1:17" ht="15" x14ac:dyDescent="0.25">
      <c r="A2" s="154"/>
      <c r="B2" s="154"/>
      <c r="C2" s="154"/>
      <c r="D2" s="154"/>
      <c r="E2" s="154"/>
    </row>
    <row r="3" spans="1:17" ht="15" x14ac:dyDescent="0.25">
      <c r="B3" s="725" t="s">
        <v>305</v>
      </c>
      <c r="C3" s="154" t="s">
        <v>309</v>
      </c>
      <c r="E3" s="154"/>
    </row>
    <row r="4" spans="1:17" ht="15" x14ac:dyDescent="0.25">
      <c r="B4" s="725"/>
      <c r="C4" s="154"/>
      <c r="E4" s="154"/>
    </row>
    <row r="5" spans="1:17" ht="15" x14ac:dyDescent="0.25">
      <c r="B5" s="725" t="s">
        <v>306</v>
      </c>
      <c r="C5" s="154" t="s">
        <v>1050</v>
      </c>
      <c r="E5" s="154"/>
    </row>
    <row r="6" spans="1:17" ht="15" x14ac:dyDescent="0.25">
      <c r="B6" s="725"/>
      <c r="C6" s="154"/>
      <c r="E6" s="154"/>
    </row>
    <row r="7" spans="1:17" ht="15" x14ac:dyDescent="0.25">
      <c r="B7" s="725" t="s">
        <v>307</v>
      </c>
      <c r="C7" s="154" t="s">
        <v>1008</v>
      </c>
      <c r="E7" s="154"/>
    </row>
    <row r="8" spans="1:17" ht="15" x14ac:dyDescent="0.25">
      <c r="B8" s="725"/>
      <c r="C8" s="154"/>
      <c r="E8" s="154"/>
    </row>
    <row r="9" spans="1:17" ht="15" x14ac:dyDescent="0.25">
      <c r="B9" s="725" t="s">
        <v>308</v>
      </c>
      <c r="C9" s="155" t="s">
        <v>1048</v>
      </c>
      <c r="E9" s="154"/>
    </row>
    <row r="10" spans="1:17" ht="15" x14ac:dyDescent="0.25">
      <c r="A10" s="154"/>
      <c r="B10" s="155"/>
      <c r="C10" s="154"/>
      <c r="D10" s="154"/>
      <c r="E10" s="154"/>
    </row>
    <row r="11" spans="1:17" ht="18.75" x14ac:dyDescent="0.3">
      <c r="A11" s="726" t="s">
        <v>770</v>
      </c>
      <c r="B11" s="765"/>
      <c r="C11" s="153"/>
      <c r="D11" s="153"/>
      <c r="E11" s="153"/>
      <c r="F11" s="156"/>
      <c r="G11" s="156"/>
      <c r="H11" s="156"/>
      <c r="I11" s="156"/>
      <c r="J11" s="156"/>
      <c r="K11" s="156"/>
      <c r="L11" s="156"/>
      <c r="M11" s="156"/>
      <c r="N11" s="156"/>
      <c r="O11" s="156"/>
    </row>
    <row r="12" spans="1:17" x14ac:dyDescent="0.2">
      <c r="A12" s="615"/>
      <c r="B12" s="615"/>
      <c r="C12" s="615"/>
      <c r="E12" s="615"/>
      <c r="F12" s="615"/>
      <c r="G12" s="615"/>
      <c r="H12" s="615"/>
      <c r="I12" s="615"/>
      <c r="J12" s="615"/>
      <c r="K12" s="615"/>
      <c r="L12" s="615"/>
      <c r="M12" s="615"/>
      <c r="N12" s="615"/>
      <c r="O12" s="615"/>
    </row>
    <row r="13" spans="1:17" s="615" customFormat="1" x14ac:dyDescent="0.2">
      <c r="B13" s="912" t="s">
        <v>1011</v>
      </c>
    </row>
    <row r="14" spans="1:17" x14ac:dyDescent="0.2">
      <c r="A14" s="615"/>
      <c r="C14" s="615"/>
      <c r="E14" s="615"/>
      <c r="G14" s="615"/>
      <c r="H14" s="615"/>
      <c r="I14" s="615"/>
      <c r="J14" s="615"/>
      <c r="K14" s="615"/>
      <c r="L14" s="615"/>
      <c r="M14" s="615"/>
      <c r="N14" s="615"/>
      <c r="O14" s="615"/>
    </row>
    <row r="15" spans="1:17" ht="18" x14ac:dyDescent="0.25">
      <c r="A15" s="615"/>
      <c r="B15" s="908" t="s">
        <v>1009</v>
      </c>
      <c r="C15" s="615"/>
      <c r="D15" s="909" t="s">
        <v>1010</v>
      </c>
      <c r="E15" s="615"/>
      <c r="F15" s="910" t="s">
        <v>1024</v>
      </c>
      <c r="G15" s="615"/>
      <c r="H15" s="615"/>
      <c r="I15" s="615"/>
      <c r="J15" s="615"/>
      <c r="K15" s="615"/>
      <c r="L15" s="615"/>
      <c r="M15" s="615"/>
      <c r="N15" s="615"/>
      <c r="O15" s="615"/>
      <c r="P15" s="615"/>
      <c r="Q15" s="615"/>
    </row>
    <row r="16" spans="1:17" x14ac:dyDescent="0.2">
      <c r="A16" s="615"/>
      <c r="B16" s="907"/>
      <c r="C16" s="766"/>
      <c r="D16" s="617"/>
      <c r="E16" s="766"/>
      <c r="F16" s="911"/>
      <c r="G16" s="615"/>
      <c r="H16" s="615"/>
      <c r="I16" s="615"/>
      <c r="J16" s="615"/>
      <c r="K16" s="615"/>
      <c r="L16" s="615"/>
      <c r="M16" s="615"/>
      <c r="N16" s="615"/>
      <c r="O16" s="615"/>
      <c r="P16" s="615"/>
      <c r="Q16" s="615"/>
    </row>
    <row r="17" spans="1:17" x14ac:dyDescent="0.2">
      <c r="A17" s="615"/>
      <c r="B17" s="907"/>
      <c r="C17" s="766"/>
      <c r="D17" s="617"/>
      <c r="E17" s="766"/>
      <c r="F17" s="911"/>
      <c r="G17" s="615"/>
      <c r="H17" s="615"/>
      <c r="I17" s="615"/>
      <c r="J17" s="615"/>
      <c r="K17" s="615"/>
      <c r="L17" s="615"/>
      <c r="M17" s="615"/>
      <c r="N17" s="615"/>
      <c r="O17" s="615"/>
      <c r="P17" s="615"/>
      <c r="Q17" s="615"/>
    </row>
    <row r="18" spans="1:17" x14ac:dyDescent="0.2">
      <c r="A18" s="615"/>
      <c r="B18" s="907"/>
      <c r="C18" s="766"/>
      <c r="D18" s="617"/>
      <c r="E18" s="766"/>
      <c r="F18" s="911"/>
      <c r="G18" s="615"/>
      <c r="H18" s="615"/>
      <c r="I18" s="615"/>
      <c r="J18" s="615"/>
      <c r="K18" s="615"/>
      <c r="L18" s="615"/>
      <c r="M18" s="615"/>
      <c r="N18" s="615"/>
      <c r="O18" s="615"/>
      <c r="P18" s="615"/>
      <c r="Q18" s="615"/>
    </row>
    <row r="19" spans="1:17" x14ac:dyDescent="0.2">
      <c r="A19" s="615"/>
      <c r="B19" s="907"/>
      <c r="C19" s="766"/>
      <c r="D19" s="617"/>
      <c r="E19" s="766"/>
      <c r="F19" s="911"/>
    </row>
    <row r="20" spans="1:17" x14ac:dyDescent="0.2">
      <c r="A20" s="615"/>
      <c r="B20" s="907"/>
      <c r="C20" s="766"/>
      <c r="D20" s="617"/>
      <c r="E20" s="766"/>
      <c r="F20" s="911"/>
    </row>
    <row r="21" spans="1:17" x14ac:dyDescent="0.2">
      <c r="A21" s="615"/>
      <c r="B21" s="907"/>
      <c r="C21" s="766"/>
      <c r="D21" s="617"/>
      <c r="E21" s="766"/>
      <c r="F21" s="911"/>
    </row>
    <row r="22" spans="1:17" x14ac:dyDescent="0.2">
      <c r="A22" s="615"/>
      <c r="B22" s="907"/>
      <c r="C22" s="766"/>
      <c r="D22" s="617"/>
      <c r="E22" s="766"/>
      <c r="F22" s="911"/>
    </row>
    <row r="23" spans="1:17" x14ac:dyDescent="0.2">
      <c r="A23" s="615"/>
      <c r="B23" s="907"/>
      <c r="C23" s="766"/>
      <c r="D23" s="617"/>
      <c r="E23" s="766"/>
      <c r="F23" s="911"/>
    </row>
    <row r="24" spans="1:17" x14ac:dyDescent="0.2">
      <c r="A24" s="615"/>
      <c r="B24" s="907"/>
      <c r="C24" s="766"/>
      <c r="D24" s="617"/>
      <c r="E24" s="766"/>
      <c r="F24" s="911"/>
    </row>
    <row r="25" spans="1:17" x14ac:dyDescent="0.2">
      <c r="A25" s="615"/>
      <c r="B25" s="907"/>
      <c r="C25" s="766"/>
      <c r="D25" s="617"/>
      <c r="E25" s="766"/>
      <c r="F25" s="911"/>
    </row>
    <row r="26" spans="1:17" x14ac:dyDescent="0.2">
      <c r="A26" s="615"/>
      <c r="B26" s="907"/>
      <c r="C26" s="766"/>
      <c r="D26" s="617"/>
      <c r="E26" s="766"/>
      <c r="F26" s="911"/>
    </row>
    <row r="27" spans="1:17" x14ac:dyDescent="0.2">
      <c r="A27" s="615"/>
      <c r="B27" s="907"/>
      <c r="C27" s="766"/>
      <c r="D27" s="617"/>
      <c r="E27" s="766"/>
      <c r="F27" s="911"/>
    </row>
    <row r="28" spans="1:17" x14ac:dyDescent="0.2">
      <c r="A28" s="615"/>
      <c r="B28" s="907"/>
      <c r="C28" s="766"/>
      <c r="D28" s="617"/>
      <c r="E28" s="766"/>
      <c r="F28" s="911"/>
    </row>
    <row r="29" spans="1:17" x14ac:dyDescent="0.2">
      <c r="A29" s="615"/>
      <c r="B29" s="907"/>
      <c r="C29" s="766"/>
      <c r="D29" s="617"/>
      <c r="E29" s="766"/>
      <c r="F29" s="911"/>
    </row>
    <row r="30" spans="1:17" x14ac:dyDescent="0.2">
      <c r="A30" s="615"/>
      <c r="B30" s="907"/>
      <c r="C30" s="766"/>
      <c r="D30" s="617"/>
      <c r="E30" s="766"/>
      <c r="F30" s="911"/>
    </row>
    <row r="31" spans="1:17" x14ac:dyDescent="0.2">
      <c r="A31" s="615"/>
      <c r="B31" s="907"/>
      <c r="C31" s="766"/>
      <c r="D31" s="617"/>
      <c r="E31" s="766"/>
      <c r="F31" s="911"/>
    </row>
    <row r="32" spans="1:17" x14ac:dyDescent="0.2">
      <c r="A32" s="615"/>
      <c r="B32" s="907"/>
      <c r="C32" s="766"/>
      <c r="D32" s="617"/>
      <c r="E32" s="766"/>
      <c r="F32" s="911"/>
    </row>
    <row r="33" spans="1:8" x14ac:dyDescent="0.2">
      <c r="A33" s="615"/>
      <c r="B33" s="907"/>
      <c r="C33" s="766"/>
      <c r="D33" s="617"/>
      <c r="E33" s="766"/>
      <c r="F33" s="911"/>
    </row>
    <row r="34" spans="1:8" x14ac:dyDescent="0.2">
      <c r="A34" s="615"/>
      <c r="B34" s="907"/>
      <c r="C34" s="766"/>
      <c r="D34" s="617"/>
      <c r="E34" s="766"/>
      <c r="F34" s="911"/>
    </row>
    <row r="35" spans="1:8" x14ac:dyDescent="0.2">
      <c r="A35" s="615"/>
      <c r="B35" s="907"/>
      <c r="C35" s="766"/>
      <c r="D35" s="617"/>
      <c r="E35" s="766"/>
      <c r="F35" s="911"/>
    </row>
    <row r="36" spans="1:8" ht="3.95" customHeight="1" x14ac:dyDescent="0.2">
      <c r="A36" s="615"/>
      <c r="B36" s="907"/>
      <c r="C36" s="766"/>
      <c r="D36" s="617"/>
      <c r="E36" s="766"/>
      <c r="F36" s="911"/>
      <c r="G36" s="615"/>
      <c r="H36" s="615"/>
    </row>
  </sheetData>
  <sheetProtection password="C82C" sheet="1" objects="1" scenarios="1" selectLockedCells="1"/>
  <pageMargins left="0.7" right="0.7" top="0.75" bottom="0.75" header="0.3" footer="0.3"/>
  <pageSetup paperSize="8"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B590"/>
  <sheetViews>
    <sheetView topLeftCell="H3" zoomScaleNormal="100" workbookViewId="0">
      <selection activeCell="I5" sqref="I5"/>
    </sheetView>
  </sheetViews>
  <sheetFormatPr defaultRowHeight="12.75" x14ac:dyDescent="0.2"/>
  <cols>
    <col min="1" max="3" width="0" style="259" hidden="1" customWidth="1"/>
    <col min="4" max="4" width="6.140625" style="259" hidden="1" customWidth="1"/>
    <col min="5" max="5" width="8.140625" style="259" hidden="1" customWidth="1"/>
    <col min="6" max="6" width="4.42578125" style="259" hidden="1" customWidth="1"/>
    <col min="7" max="7" width="4.7109375" style="259" hidden="1" customWidth="1"/>
    <col min="8" max="8" width="41.42578125" style="259" customWidth="1"/>
    <col min="9" max="9" width="30.140625" style="261" customWidth="1"/>
    <col min="10" max="10" width="13.28515625" style="259" customWidth="1"/>
    <col min="11" max="11" width="17" style="259" customWidth="1"/>
    <col min="12" max="12" width="16.28515625" style="260" customWidth="1"/>
    <col min="13" max="13" width="13.28515625" style="259" customWidth="1"/>
    <col min="14" max="14" width="13.5703125" style="395" customWidth="1"/>
    <col min="15" max="15" width="14" style="395" customWidth="1"/>
    <col min="16" max="17" width="13.5703125" style="395" customWidth="1"/>
    <col min="18" max="18" width="17.42578125" style="395" customWidth="1"/>
    <col min="19" max="26" width="13.5703125" style="395" customWidth="1"/>
    <col min="27" max="16384" width="9.140625" style="259"/>
  </cols>
  <sheetData>
    <row r="1" spans="6:20" s="395" customFormat="1" ht="20.25" hidden="1" x14ac:dyDescent="0.3">
      <c r="F1" s="394"/>
      <c r="G1" s="259"/>
      <c r="H1" s="259"/>
      <c r="I1" s="261"/>
      <c r="J1" s="259"/>
      <c r="K1" s="259"/>
      <c r="L1" s="260"/>
      <c r="M1" s="259"/>
    </row>
    <row r="2" spans="6:20" s="395" customFormat="1" hidden="1" x14ac:dyDescent="0.2">
      <c r="F2" s="259"/>
      <c r="G2" s="259"/>
      <c r="H2" s="268"/>
      <c r="I2" s="261"/>
      <c r="J2" s="259"/>
      <c r="K2" s="259"/>
      <c r="L2" s="260"/>
      <c r="M2" s="259"/>
    </row>
    <row r="3" spans="6:20" s="395" customFormat="1" ht="23.25" x14ac:dyDescent="0.35">
      <c r="F3" s="393"/>
      <c r="G3" s="259"/>
      <c r="H3" s="302" t="s">
        <v>727</v>
      </c>
      <c r="I3" s="261"/>
      <c r="J3" s="259"/>
      <c r="K3" s="259"/>
      <c r="L3" s="260"/>
      <c r="M3" s="259"/>
    </row>
    <row r="4" spans="6:20" s="395" customFormat="1" ht="25.5" x14ac:dyDescent="0.2">
      <c r="F4" s="281"/>
      <c r="G4" s="318" t="s">
        <v>0</v>
      </c>
      <c r="H4" s="361" t="s">
        <v>1</v>
      </c>
      <c r="I4" s="314" t="s">
        <v>2</v>
      </c>
      <c r="J4" s="314" t="s">
        <v>551</v>
      </c>
      <c r="K4" s="314" t="s">
        <v>552</v>
      </c>
      <c r="L4" s="466" t="s">
        <v>553</v>
      </c>
      <c r="M4" s="347" t="s">
        <v>554</v>
      </c>
      <c r="N4" s="409" t="s">
        <v>555</v>
      </c>
      <c r="O4" s="402" t="s">
        <v>556</v>
      </c>
      <c r="P4" s="402" t="s">
        <v>557</v>
      </c>
      <c r="Q4" s="402"/>
      <c r="R4" s="402"/>
      <c r="S4" s="402"/>
      <c r="T4" s="401"/>
    </row>
    <row r="5" spans="6:20" s="395" customFormat="1" x14ac:dyDescent="0.2">
      <c r="F5" s="269"/>
      <c r="G5" s="269"/>
      <c r="H5" s="163" t="s">
        <v>558</v>
      </c>
      <c r="I5" s="732">
        <v>1</v>
      </c>
      <c r="J5" s="392">
        <v>0.45</v>
      </c>
      <c r="K5" s="392">
        <v>0.19</v>
      </c>
      <c r="L5" s="392">
        <v>0.24</v>
      </c>
      <c r="M5" s="327">
        <f t="shared" ref="M5:M10" si="0">$J$21*$J$59/($J$55*J5+$J$56*K5)*I5/1000</f>
        <v>889.37186621662863</v>
      </c>
      <c r="N5" s="399">
        <f>M5*J17</f>
        <v>298651.0726755439</v>
      </c>
      <c r="O5" s="467">
        <f t="shared" ref="O5:O10" si="1">100%-SUM(L5,J5:K5)</f>
        <v>0.12000000000000011</v>
      </c>
      <c r="P5" s="392">
        <v>0.47</v>
      </c>
      <c r="R5" s="355"/>
      <c r="S5" s="355"/>
      <c r="T5" s="399"/>
    </row>
    <row r="6" spans="6:20" s="395" customFormat="1" x14ac:dyDescent="0.2">
      <c r="F6" s="269"/>
      <c r="G6" s="269"/>
      <c r="H6" s="163" t="s">
        <v>559</v>
      </c>
      <c r="I6" s="732">
        <v>0</v>
      </c>
      <c r="J6" s="392">
        <v>0.45</v>
      </c>
      <c r="K6" s="392">
        <v>0.19</v>
      </c>
      <c r="L6" s="392">
        <v>0.24</v>
      </c>
      <c r="M6" s="327">
        <f t="shared" si="0"/>
        <v>0</v>
      </c>
      <c r="N6" s="399">
        <f>M6*$J$17</f>
        <v>0</v>
      </c>
      <c r="O6" s="467">
        <f t="shared" si="1"/>
        <v>0.12000000000000011</v>
      </c>
      <c r="P6" s="392">
        <v>0.47</v>
      </c>
      <c r="R6" s="355"/>
      <c r="S6" s="355"/>
      <c r="T6" s="399"/>
    </row>
    <row r="7" spans="6:20" s="395" customFormat="1" x14ac:dyDescent="0.2">
      <c r="F7" s="269"/>
      <c r="G7" s="269"/>
      <c r="H7" s="163" t="s">
        <v>560</v>
      </c>
      <c r="I7" s="732">
        <v>0</v>
      </c>
      <c r="J7" s="392">
        <v>0.42</v>
      </c>
      <c r="K7" s="392">
        <v>0.22</v>
      </c>
      <c r="L7" s="392">
        <v>0.3</v>
      </c>
      <c r="M7" s="327">
        <f t="shared" si="0"/>
        <v>0</v>
      </c>
      <c r="N7" s="399">
        <f>M7*$J$17</f>
        <v>0</v>
      </c>
      <c r="O7" s="467">
        <f t="shared" si="1"/>
        <v>6.0000000000000053E-2</v>
      </c>
      <c r="P7" s="392">
        <v>0.55000000000000004</v>
      </c>
      <c r="Q7" s="468" t="s">
        <v>561</v>
      </c>
      <c r="R7" s="355"/>
      <c r="S7" s="355"/>
      <c r="T7" s="399"/>
    </row>
    <row r="8" spans="6:20" s="395" customFormat="1" x14ac:dyDescent="0.2">
      <c r="F8" s="269"/>
      <c r="G8" s="269"/>
      <c r="H8" s="163" t="s">
        <v>562</v>
      </c>
      <c r="I8" s="732">
        <v>0</v>
      </c>
      <c r="J8" s="392">
        <v>0.42</v>
      </c>
      <c r="K8" s="392">
        <v>0.22</v>
      </c>
      <c r="L8" s="392">
        <v>0.3</v>
      </c>
      <c r="M8" s="327">
        <f t="shared" si="0"/>
        <v>0</v>
      </c>
      <c r="N8" s="399">
        <f>M8*$J$17</f>
        <v>0</v>
      </c>
      <c r="O8" s="467">
        <f t="shared" si="1"/>
        <v>6.0000000000000053E-2</v>
      </c>
      <c r="P8" s="392">
        <v>0.55000000000000004</v>
      </c>
      <c r="Q8" s="468" t="s">
        <v>563</v>
      </c>
      <c r="R8" s="355"/>
      <c r="S8" s="355"/>
      <c r="T8" s="399"/>
    </row>
    <row r="9" spans="6:20" s="395" customFormat="1" x14ac:dyDescent="0.2">
      <c r="F9" s="269"/>
      <c r="G9" s="269"/>
      <c r="H9" s="163" t="s">
        <v>564</v>
      </c>
      <c r="I9" s="732">
        <v>0</v>
      </c>
      <c r="J9" s="392">
        <v>0.41</v>
      </c>
      <c r="K9" s="392">
        <v>0.28999999999999998</v>
      </c>
      <c r="L9" s="392">
        <v>0.23</v>
      </c>
      <c r="M9" s="327">
        <f t="shared" si="0"/>
        <v>0</v>
      </c>
      <c r="N9" s="399">
        <f>M9*$J$17</f>
        <v>0</v>
      </c>
      <c r="O9" s="467">
        <f t="shared" si="1"/>
        <v>7.0000000000000062E-2</v>
      </c>
      <c r="P9" s="392">
        <v>0.08</v>
      </c>
      <c r="Q9" s="469" t="s">
        <v>565</v>
      </c>
      <c r="R9" s="355"/>
      <c r="T9" s="399"/>
    </row>
    <row r="10" spans="6:20" s="395" customFormat="1" x14ac:dyDescent="0.2">
      <c r="F10" s="269"/>
      <c r="G10" s="269"/>
      <c r="H10" s="163" t="s">
        <v>566</v>
      </c>
      <c r="I10" s="732">
        <v>0</v>
      </c>
      <c r="J10" s="392">
        <v>0.45</v>
      </c>
      <c r="K10" s="392">
        <v>0.19</v>
      </c>
      <c r="L10" s="392">
        <v>0.24</v>
      </c>
      <c r="M10" s="327">
        <f t="shared" si="0"/>
        <v>0</v>
      </c>
      <c r="N10" s="399">
        <f>M10*$J$17</f>
        <v>0</v>
      </c>
      <c r="O10" s="467">
        <f t="shared" si="1"/>
        <v>0.12000000000000011</v>
      </c>
      <c r="P10" s="392">
        <v>0.44</v>
      </c>
      <c r="R10" s="355"/>
      <c r="S10" s="355"/>
      <c r="T10" s="399"/>
    </row>
    <row r="11" spans="6:20" s="395" customFormat="1" x14ac:dyDescent="0.2">
      <c r="F11" s="269"/>
      <c r="G11" s="269"/>
      <c r="H11" s="323" t="s">
        <v>16</v>
      </c>
      <c r="I11" s="391">
        <f>SUM(I5:I10)</f>
        <v>1</v>
      </c>
      <c r="J11" s="387">
        <f>SUMPRODUCT(I5:I10,J5:J10)</f>
        <v>0.45</v>
      </c>
      <c r="K11" s="465">
        <f>SUMPRODUCT(I5:I10,K5:K10)</f>
        <v>0.19</v>
      </c>
      <c r="L11" s="270"/>
      <c r="M11" s="319">
        <f>SUM(M5:M10)</f>
        <v>889.37186621662863</v>
      </c>
      <c r="N11" s="407">
        <f>SUM(N5:N10)</f>
        <v>298651.0726755439</v>
      </c>
      <c r="O11" s="355"/>
      <c r="P11" s="355"/>
      <c r="Q11" s="355"/>
      <c r="R11" s="355"/>
      <c r="S11" s="355"/>
      <c r="T11" s="399"/>
    </row>
    <row r="12" spans="6:20" s="395" customFormat="1" x14ac:dyDescent="0.2">
      <c r="F12" s="269"/>
      <c r="G12" s="269"/>
      <c r="H12" s="323"/>
      <c r="I12" s="452"/>
      <c r="J12" s="287"/>
      <c r="K12" s="387"/>
      <c r="L12" s="298" t="s">
        <v>382</v>
      </c>
      <c r="M12" s="464">
        <f>M11/24</f>
        <v>37.057161092359529</v>
      </c>
      <c r="N12" s="411"/>
      <c r="O12" s="355">
        <f>J21/M11</f>
        <v>334.838911188645</v>
      </c>
      <c r="P12" s="355" t="s">
        <v>567</v>
      </c>
      <c r="Q12" s="355"/>
      <c r="R12" s="355"/>
      <c r="S12" s="355"/>
      <c r="T12" s="399"/>
    </row>
    <row r="13" spans="6:20" s="395" customFormat="1" x14ac:dyDescent="0.2">
      <c r="F13" s="269"/>
      <c r="G13" s="264"/>
      <c r="H13" s="263"/>
      <c r="I13" s="266"/>
      <c r="J13" s="263"/>
      <c r="K13" s="263"/>
      <c r="L13" s="265"/>
      <c r="M13" s="263"/>
      <c r="N13" s="397"/>
      <c r="O13" s="398"/>
      <c r="P13" s="398"/>
      <c r="Q13" s="398"/>
      <c r="R13" s="398"/>
      <c r="S13" s="398"/>
      <c r="T13" s="397"/>
    </row>
    <row r="14" spans="6:20" s="395" customFormat="1" x14ac:dyDescent="0.2">
      <c r="F14" s="269"/>
      <c r="G14" s="331" t="s">
        <v>18</v>
      </c>
      <c r="H14" s="379" t="s">
        <v>19</v>
      </c>
      <c r="I14" s="279" t="s">
        <v>20</v>
      </c>
      <c r="J14" s="279" t="s">
        <v>21</v>
      </c>
      <c r="K14" s="279"/>
      <c r="L14" s="277" t="s">
        <v>22</v>
      </c>
      <c r="M14" s="279" t="s">
        <v>23</v>
      </c>
      <c r="N14" s="399"/>
      <c r="O14" s="463" t="s">
        <v>7</v>
      </c>
      <c r="P14" s="402"/>
      <c r="Q14" s="402"/>
      <c r="R14" s="402"/>
      <c r="S14" s="402"/>
      <c r="T14" s="401"/>
    </row>
    <row r="15" spans="6:20" s="395" customFormat="1" x14ac:dyDescent="0.2">
      <c r="F15" s="269"/>
      <c r="G15" s="331"/>
      <c r="H15" s="272" t="s">
        <v>24</v>
      </c>
      <c r="I15" s="294" t="s">
        <v>25</v>
      </c>
      <c r="J15" s="364">
        <f>+Assumptions!C5</f>
        <v>100</v>
      </c>
      <c r="K15" s="268"/>
      <c r="L15" s="357">
        <f>Assumptions!$J$30</f>
        <v>0.9</v>
      </c>
      <c r="M15" s="365">
        <f>J15*L15*1000000</f>
        <v>90000000</v>
      </c>
      <c r="N15" s="399"/>
      <c r="O15" s="367"/>
      <c r="P15" s="355"/>
      <c r="Q15" s="355"/>
      <c r="R15" s="355"/>
      <c r="S15" s="355"/>
      <c r="T15" s="399"/>
    </row>
    <row r="16" spans="6:20" s="395" customFormat="1" x14ac:dyDescent="0.2">
      <c r="F16" s="269"/>
      <c r="G16" s="269"/>
      <c r="H16" s="272" t="s">
        <v>27</v>
      </c>
      <c r="I16" s="294" t="s">
        <v>28</v>
      </c>
      <c r="J16" s="390">
        <v>0.92</v>
      </c>
      <c r="K16" s="268"/>
      <c r="L16" s="270"/>
      <c r="M16" s="268"/>
      <c r="N16" s="399"/>
      <c r="O16" s="367" t="s">
        <v>29</v>
      </c>
      <c r="P16" s="355"/>
      <c r="Q16" s="355"/>
      <c r="R16" s="355"/>
      <c r="S16" s="355"/>
      <c r="T16" s="399"/>
    </row>
    <row r="17" spans="6:20" s="395" customFormat="1" x14ac:dyDescent="0.2">
      <c r="F17" s="269"/>
      <c r="G17" s="269"/>
      <c r="H17" s="272" t="s">
        <v>30</v>
      </c>
      <c r="I17" s="294" t="s">
        <v>31</v>
      </c>
      <c r="J17" s="358">
        <f>J16*Q17</f>
        <v>335.8</v>
      </c>
      <c r="K17" s="268"/>
      <c r="L17" s="270"/>
      <c r="M17" s="268"/>
      <c r="N17" s="399"/>
      <c r="O17" s="367" t="s">
        <v>32</v>
      </c>
      <c r="P17" s="355"/>
      <c r="Q17" s="364">
        <v>365</v>
      </c>
      <c r="R17" s="367"/>
      <c r="S17" s="355"/>
      <c r="T17" s="422"/>
    </row>
    <row r="18" spans="6:20" s="395" customFormat="1" x14ac:dyDescent="0.2">
      <c r="F18" s="269"/>
      <c r="G18" s="269"/>
      <c r="H18" s="272" t="s">
        <v>33</v>
      </c>
      <c r="I18" s="294" t="s">
        <v>34</v>
      </c>
      <c r="J18" s="389">
        <f>J17*24</f>
        <v>8059.2000000000007</v>
      </c>
      <c r="K18" s="268"/>
      <c r="L18" s="270"/>
      <c r="M18" s="268"/>
      <c r="N18" s="399"/>
      <c r="O18" s="367"/>
      <c r="P18" s="355"/>
      <c r="Q18" s="355"/>
      <c r="R18" s="355"/>
      <c r="S18" s="355"/>
      <c r="T18" s="399"/>
    </row>
    <row r="19" spans="6:20" s="395" customFormat="1" x14ac:dyDescent="0.2">
      <c r="F19" s="269"/>
      <c r="G19" s="269"/>
      <c r="H19" s="272"/>
      <c r="I19" s="294"/>
      <c r="J19" s="389"/>
      <c r="K19" s="268"/>
      <c r="L19" s="270"/>
      <c r="M19" s="268"/>
      <c r="N19" s="399"/>
      <c r="O19" s="367"/>
      <c r="P19" s="355"/>
      <c r="Q19" s="355"/>
      <c r="R19" s="355"/>
      <c r="S19" s="355"/>
      <c r="T19" s="399"/>
    </row>
    <row r="20" spans="6:20" s="395" customFormat="1" x14ac:dyDescent="0.2">
      <c r="F20" s="269"/>
      <c r="G20" s="269"/>
      <c r="H20" s="287" t="s">
        <v>35</v>
      </c>
      <c r="I20" s="271"/>
      <c r="J20" s="268"/>
      <c r="K20" s="268"/>
      <c r="L20" s="270"/>
      <c r="M20" s="268"/>
      <c r="N20" s="399"/>
      <c r="O20" s="355"/>
      <c r="P20" s="355"/>
      <c r="Q20" s="355"/>
      <c r="R20" s="355"/>
      <c r="S20" s="355"/>
      <c r="T20" s="399"/>
    </row>
    <row r="21" spans="6:20" s="395" customFormat="1" x14ac:dyDescent="0.2">
      <c r="F21" s="269"/>
      <c r="G21" s="269"/>
      <c r="H21" s="272" t="s">
        <v>36</v>
      </c>
      <c r="I21" s="470" t="s">
        <v>568</v>
      </c>
      <c r="J21" s="288">
        <f>J15/J17*1000000</f>
        <v>297796.30732578918</v>
      </c>
      <c r="K21" s="268"/>
      <c r="L21" s="270"/>
      <c r="M21" s="268"/>
      <c r="N21" s="399"/>
      <c r="O21" s="355"/>
      <c r="P21" s="355"/>
      <c r="Q21" s="355"/>
      <c r="R21" s="355"/>
      <c r="S21" s="355"/>
      <c r="T21" s="399"/>
    </row>
    <row r="22" spans="6:20" s="395" customFormat="1" x14ac:dyDescent="0.2">
      <c r="F22" s="269"/>
      <c r="G22" s="269"/>
      <c r="H22" s="272" t="s">
        <v>38</v>
      </c>
      <c r="I22" s="470" t="s">
        <v>569</v>
      </c>
      <c r="J22" s="355">
        <f>J15*1000000/J18</f>
        <v>12408.179471907881</v>
      </c>
      <c r="K22" s="268"/>
      <c r="L22" s="270"/>
      <c r="M22" s="268"/>
      <c r="N22" s="399"/>
      <c r="O22" s="355"/>
      <c r="P22" s="355"/>
      <c r="Q22" s="355"/>
      <c r="R22" s="355"/>
      <c r="S22" s="355"/>
      <c r="T22" s="399"/>
    </row>
    <row r="23" spans="6:20" s="395" customFormat="1" x14ac:dyDescent="0.2">
      <c r="F23" s="269"/>
      <c r="G23" s="269"/>
      <c r="H23" s="287"/>
      <c r="I23" s="294"/>
      <c r="J23" s="355"/>
      <c r="K23" s="268"/>
      <c r="L23" s="270"/>
      <c r="M23" s="268"/>
      <c r="N23" s="399"/>
      <c r="O23" s="355"/>
      <c r="P23" s="355"/>
      <c r="Q23" s="355"/>
      <c r="R23" s="415"/>
      <c r="S23" s="415"/>
      <c r="T23" s="65"/>
    </row>
    <row r="24" spans="6:20" s="395" customFormat="1" ht="38.25" x14ac:dyDescent="0.2">
      <c r="F24" s="269"/>
      <c r="G24" s="269"/>
      <c r="H24" s="287" t="s">
        <v>383</v>
      </c>
      <c r="I24" s="366"/>
      <c r="J24" s="457" t="s">
        <v>384</v>
      </c>
      <c r="K24" s="448" t="s">
        <v>385</v>
      </c>
      <c r="L24" s="448" t="s">
        <v>386</v>
      </c>
      <c r="M24" s="448" t="s">
        <v>387</v>
      </c>
      <c r="N24" s="399"/>
      <c r="O24" s="355"/>
      <c r="P24" s="355"/>
      <c r="Q24" s="355"/>
      <c r="R24" s="355"/>
      <c r="S24" s="355"/>
      <c r="T24" s="399"/>
    </row>
    <row r="25" spans="6:20" s="395" customFormat="1" x14ac:dyDescent="0.2">
      <c r="F25" s="269"/>
      <c r="G25" s="269"/>
      <c r="H25" s="272"/>
      <c r="I25" s="294" t="s">
        <v>28</v>
      </c>
      <c r="J25" s="392"/>
      <c r="K25" s="462"/>
      <c r="L25" s="461">
        <f>J25*$M$11*$K$11/(1-K25)</f>
        <v>0</v>
      </c>
      <c r="M25" s="355">
        <f>L25*$J$17</f>
        <v>0</v>
      </c>
      <c r="N25" s="399"/>
      <c r="O25" s="367"/>
      <c r="P25" s="355"/>
      <c r="Q25" s="355"/>
      <c r="R25" s="355"/>
      <c r="S25" s="355"/>
      <c r="T25" s="399"/>
    </row>
    <row r="26" spans="6:20" s="395" customFormat="1" x14ac:dyDescent="0.2">
      <c r="F26" s="269"/>
      <c r="G26" s="269"/>
      <c r="H26" s="272"/>
      <c r="I26" s="294" t="s">
        <v>28</v>
      </c>
      <c r="J26" s="392"/>
      <c r="K26" s="340"/>
      <c r="L26" s="461">
        <f>J26*$M$11*$K$11/(1-K26)</f>
        <v>0</v>
      </c>
      <c r="M26" s="355">
        <f>L26*$J$17</f>
        <v>0</v>
      </c>
      <c r="N26" s="399"/>
      <c r="O26" s="355"/>
      <c r="P26" s="355"/>
      <c r="Q26" s="355"/>
      <c r="R26" s="355"/>
      <c r="S26" s="355"/>
      <c r="T26" s="399"/>
    </row>
    <row r="27" spans="6:20" s="395" customFormat="1" x14ac:dyDescent="0.2">
      <c r="F27" s="269"/>
      <c r="G27" s="269"/>
      <c r="H27" s="272"/>
      <c r="I27" s="294" t="s">
        <v>28</v>
      </c>
      <c r="J27" s="392"/>
      <c r="K27" s="340"/>
      <c r="L27" s="461">
        <f>J27*$M$11*$K$11/(1-K27)</f>
        <v>0</v>
      </c>
      <c r="M27" s="355">
        <f>L27*$J$17</f>
        <v>0</v>
      </c>
      <c r="N27" s="399"/>
      <c r="O27" s="355"/>
      <c r="P27" s="355"/>
      <c r="Q27" s="355"/>
      <c r="R27" s="355"/>
      <c r="S27" s="355"/>
      <c r="T27" s="399"/>
    </row>
    <row r="28" spans="6:20" s="395" customFormat="1" x14ac:dyDescent="0.2">
      <c r="F28" s="269"/>
      <c r="G28" s="269"/>
      <c r="H28" s="272"/>
      <c r="I28" s="294" t="s">
        <v>28</v>
      </c>
      <c r="J28" s="392"/>
      <c r="K28" s="340"/>
      <c r="L28" s="461">
        <f>J28*$M$11*$K$11/(1-K28)</f>
        <v>0</v>
      </c>
      <c r="M28" s="355">
        <f>L28*$J$17</f>
        <v>0</v>
      </c>
      <c r="N28" s="399"/>
      <c r="O28" s="355"/>
      <c r="P28" s="355"/>
      <c r="Q28" s="355"/>
      <c r="R28" s="355"/>
      <c r="S28" s="355"/>
      <c r="T28" s="399"/>
    </row>
    <row r="29" spans="6:20" s="395" customFormat="1" x14ac:dyDescent="0.2">
      <c r="F29" s="269"/>
      <c r="G29" s="269"/>
      <c r="H29" s="272"/>
      <c r="I29" s="294" t="s">
        <v>28</v>
      </c>
      <c r="J29" s="392"/>
      <c r="K29" s="298" t="s">
        <v>394</v>
      </c>
      <c r="L29" s="461"/>
      <c r="M29" s="355">
        <f>L29*$J$17</f>
        <v>0</v>
      </c>
      <c r="N29" s="399"/>
      <c r="O29" s="355"/>
      <c r="P29" s="355"/>
      <c r="Q29" s="355"/>
      <c r="R29" s="355"/>
      <c r="S29" s="355"/>
      <c r="T29" s="399"/>
    </row>
    <row r="30" spans="6:20" s="395" customFormat="1" x14ac:dyDescent="0.2">
      <c r="F30" s="269"/>
      <c r="G30" s="269"/>
      <c r="H30" s="323" t="s">
        <v>395</v>
      </c>
      <c r="I30" s="294" t="s">
        <v>28</v>
      </c>
      <c r="J30" s="460">
        <f>SUM(J25:J29)</f>
        <v>0</v>
      </c>
      <c r="K30" s="459"/>
      <c r="L30" s="272" t="s">
        <v>396</v>
      </c>
      <c r="M30" s="268"/>
      <c r="N30" s="399"/>
      <c r="O30" s="355"/>
      <c r="P30" s="355"/>
      <c r="Q30" s="355"/>
      <c r="R30" s="355"/>
      <c r="S30" s="355"/>
      <c r="T30" s="399"/>
    </row>
    <row r="31" spans="6:20" s="395" customFormat="1" x14ac:dyDescent="0.2">
      <c r="F31" s="269"/>
      <c r="G31" s="269"/>
      <c r="H31" s="323"/>
      <c r="I31" s="294"/>
      <c r="J31" s="456"/>
      <c r="K31" s="456"/>
      <c r="L31" s="272"/>
      <c r="M31" s="268"/>
      <c r="N31" s="399"/>
      <c r="O31" s="355"/>
      <c r="P31" s="355"/>
      <c r="Q31" s="355"/>
      <c r="R31" s="355"/>
      <c r="S31" s="355"/>
      <c r="T31" s="399"/>
    </row>
    <row r="32" spans="6:20" s="395" customFormat="1" ht="25.5" x14ac:dyDescent="0.2">
      <c r="F32" s="269"/>
      <c r="G32" s="269"/>
      <c r="H32" s="287" t="s">
        <v>383</v>
      </c>
      <c r="I32" s="366"/>
      <c r="J32" s="457"/>
      <c r="K32" s="328" t="s">
        <v>397</v>
      </c>
      <c r="L32" s="277" t="s">
        <v>398</v>
      </c>
      <c r="M32" s="279" t="s">
        <v>23</v>
      </c>
      <c r="N32" s="399"/>
      <c r="O32" s="355"/>
      <c r="P32" s="355"/>
      <c r="Q32" s="355"/>
      <c r="R32" s="355"/>
      <c r="S32" s="355"/>
      <c r="T32" s="399"/>
    </row>
    <row r="33" spans="6:20" s="395" customFormat="1" x14ac:dyDescent="0.2">
      <c r="F33" s="269"/>
      <c r="G33" s="269"/>
      <c r="H33" s="272" t="s">
        <v>388</v>
      </c>
      <c r="I33" s="294" t="s">
        <v>28</v>
      </c>
      <c r="J33" s="457"/>
      <c r="K33" s="355"/>
      <c r="L33" s="458">
        <v>0</v>
      </c>
      <c r="M33" s="355">
        <f>K33*L33</f>
        <v>0</v>
      </c>
      <c r="N33" s="399"/>
      <c r="O33" s="367"/>
      <c r="Q33" s="355"/>
      <c r="T33" s="399"/>
    </row>
    <row r="34" spans="6:20" s="395" customFormat="1" x14ac:dyDescent="0.2">
      <c r="F34" s="269"/>
      <c r="G34" s="269"/>
      <c r="H34" s="272"/>
      <c r="I34" s="294" t="s">
        <v>28</v>
      </c>
      <c r="J34" s="457"/>
      <c r="K34" s="355">
        <f>M26</f>
        <v>0</v>
      </c>
      <c r="L34" s="458"/>
      <c r="M34" s="355">
        <f>K34*L34</f>
        <v>0</v>
      </c>
      <c r="N34" s="399"/>
      <c r="O34" s="355"/>
      <c r="P34" s="355"/>
      <c r="T34" s="399"/>
    </row>
    <row r="35" spans="6:20" s="395" customFormat="1" x14ac:dyDescent="0.2">
      <c r="F35" s="269"/>
      <c r="G35" s="269"/>
      <c r="H35" s="272"/>
      <c r="I35" s="470" t="s">
        <v>28</v>
      </c>
      <c r="J35" s="457"/>
      <c r="K35" s="355">
        <f>M27</f>
        <v>0</v>
      </c>
      <c r="L35" s="458"/>
      <c r="M35" s="355">
        <f>K35*L35</f>
        <v>0</v>
      </c>
      <c r="N35" s="399"/>
      <c r="T35" s="399"/>
    </row>
    <row r="36" spans="6:20" s="395" customFormat="1" x14ac:dyDescent="0.2">
      <c r="F36" s="269"/>
      <c r="G36" s="269"/>
      <c r="H36" s="272"/>
      <c r="I36" s="294" t="s">
        <v>28</v>
      </c>
      <c r="J36" s="457"/>
      <c r="K36" s="355">
        <f>M28</f>
        <v>0</v>
      </c>
      <c r="L36" s="458"/>
      <c r="M36" s="355">
        <f>K36*L36</f>
        <v>0</v>
      </c>
      <c r="N36" s="399"/>
      <c r="T36" s="399"/>
    </row>
    <row r="37" spans="6:20" s="395" customFormat="1" x14ac:dyDescent="0.2">
      <c r="F37" s="269"/>
      <c r="G37" s="269"/>
      <c r="H37" s="272"/>
      <c r="I37" s="294" t="s">
        <v>28</v>
      </c>
      <c r="J37" s="457"/>
      <c r="K37" s="288"/>
      <c r="L37" s="458"/>
      <c r="M37" s="355">
        <f>K37*L37</f>
        <v>0</v>
      </c>
      <c r="N37" s="399"/>
      <c r="T37" s="399"/>
    </row>
    <row r="38" spans="6:20" s="395" customFormat="1" x14ac:dyDescent="0.2">
      <c r="F38" s="269"/>
      <c r="G38" s="269"/>
      <c r="H38" s="323" t="s">
        <v>400</v>
      </c>
      <c r="I38" s="294" t="s">
        <v>28</v>
      </c>
      <c r="J38" s="457"/>
      <c r="K38" s="370">
        <f>SUM(K33:K37)</f>
        <v>0</v>
      </c>
      <c r="L38" s="272"/>
      <c r="M38" s="370">
        <f>SUM(M33:M37)</f>
        <v>0</v>
      </c>
      <c r="N38" s="399"/>
      <c r="T38" s="399"/>
    </row>
    <row r="39" spans="6:20" s="395" customFormat="1" x14ac:dyDescent="0.2">
      <c r="F39" s="269"/>
      <c r="G39" s="269"/>
      <c r="H39" s="323"/>
      <c r="I39" s="294"/>
      <c r="J39" s="456"/>
      <c r="K39" s="272"/>
      <c r="L39" s="272"/>
      <c r="M39" s="268"/>
      <c r="N39" s="399"/>
      <c r="T39" s="399"/>
    </row>
    <row r="40" spans="6:20" s="395" customFormat="1" x14ac:dyDescent="0.2">
      <c r="F40" s="269"/>
      <c r="G40" s="269"/>
      <c r="H40" s="287" t="s">
        <v>40</v>
      </c>
      <c r="I40" s="271"/>
      <c r="J40" s="268"/>
      <c r="K40" s="268"/>
      <c r="L40" s="270"/>
      <c r="M40" s="268"/>
      <c r="N40" s="399"/>
      <c r="O40" s="367"/>
      <c r="P40" s="355"/>
      <c r="T40" s="399"/>
    </row>
    <row r="41" spans="6:20" s="395" customFormat="1" x14ac:dyDescent="0.2">
      <c r="F41" s="269"/>
      <c r="G41" s="269"/>
      <c r="H41" s="163" t="s">
        <v>570</v>
      </c>
      <c r="I41" s="294" t="s">
        <v>28</v>
      </c>
      <c r="J41" s="388">
        <v>0.96</v>
      </c>
      <c r="K41" s="268" t="s">
        <v>571</v>
      </c>
      <c r="L41" s="471"/>
      <c r="M41" s="268"/>
      <c r="N41" s="399"/>
      <c r="O41" s="367"/>
      <c r="P41" s="355"/>
      <c r="T41" s="399"/>
    </row>
    <row r="42" spans="6:20" s="395" customFormat="1" x14ac:dyDescent="0.2">
      <c r="F42" s="269"/>
      <c r="G42" s="269"/>
      <c r="H42" s="163" t="s">
        <v>572</v>
      </c>
      <c r="I42" s="294" t="s">
        <v>28</v>
      </c>
      <c r="J42" s="388">
        <f>180/162</f>
        <v>1.1111111111111112</v>
      </c>
      <c r="K42" s="268" t="s">
        <v>573</v>
      </c>
      <c r="L42" s="270"/>
      <c r="M42" s="268"/>
      <c r="N42" s="399"/>
      <c r="O42" s="367"/>
      <c r="P42" s="355"/>
      <c r="T42" s="399"/>
    </row>
    <row r="43" spans="6:20" s="395" customFormat="1" x14ac:dyDescent="0.2">
      <c r="F43" s="269"/>
      <c r="G43" s="269"/>
      <c r="H43" s="163" t="s">
        <v>574</v>
      </c>
      <c r="I43" s="470" t="s">
        <v>28</v>
      </c>
      <c r="J43" s="388">
        <v>0.9</v>
      </c>
      <c r="K43" s="268" t="s">
        <v>575</v>
      </c>
      <c r="L43" s="270"/>
      <c r="M43" s="268"/>
      <c r="N43" s="399"/>
      <c r="O43" s="367"/>
      <c r="P43" s="355"/>
      <c r="T43" s="399"/>
    </row>
    <row r="44" spans="6:20" s="395" customFormat="1" x14ac:dyDescent="0.2">
      <c r="F44" s="269"/>
      <c r="G44" s="269"/>
      <c r="H44" s="163" t="s">
        <v>576</v>
      </c>
      <c r="I44" s="294" t="s">
        <v>28</v>
      </c>
      <c r="J44" s="388">
        <v>0.89</v>
      </c>
      <c r="K44" s="268" t="s">
        <v>577</v>
      </c>
      <c r="L44" s="270"/>
      <c r="M44" s="268"/>
      <c r="N44" s="399"/>
      <c r="O44" s="355"/>
      <c r="P44" s="355"/>
      <c r="T44" s="399"/>
    </row>
    <row r="45" spans="6:20" s="395" customFormat="1" x14ac:dyDescent="0.2">
      <c r="F45" s="269"/>
      <c r="G45" s="269"/>
      <c r="H45" s="163" t="s">
        <v>48</v>
      </c>
      <c r="I45" s="294" t="s">
        <v>28</v>
      </c>
      <c r="J45" s="332">
        <v>0.51100000000000001</v>
      </c>
      <c r="K45" s="268" t="s">
        <v>577</v>
      </c>
      <c r="L45" s="270"/>
      <c r="M45" s="268"/>
      <c r="N45" s="399"/>
      <c r="O45" s="355"/>
      <c r="P45" s="355"/>
      <c r="T45" s="399"/>
    </row>
    <row r="46" spans="6:20" s="395" customFormat="1" x14ac:dyDescent="0.2">
      <c r="F46" s="269"/>
      <c r="G46" s="269"/>
      <c r="H46" s="366" t="s">
        <v>578</v>
      </c>
      <c r="I46" s="366" t="s">
        <v>28</v>
      </c>
      <c r="J46" s="460">
        <f>J41*J42*J43*J44*J45</f>
        <v>0.4365984</v>
      </c>
      <c r="K46" s="268"/>
      <c r="L46" s="270"/>
      <c r="M46" s="268"/>
      <c r="N46" s="399"/>
      <c r="O46" s="355"/>
      <c r="P46" s="355"/>
      <c r="T46" s="399"/>
    </row>
    <row r="47" spans="6:20" s="395" customFormat="1" x14ac:dyDescent="0.2">
      <c r="F47" s="269"/>
      <c r="G47" s="269"/>
      <c r="H47" s="163" t="s">
        <v>579</v>
      </c>
      <c r="I47" s="294" t="s">
        <v>28</v>
      </c>
      <c r="J47" s="388">
        <v>0.9</v>
      </c>
      <c r="K47" s="268" t="s">
        <v>571</v>
      </c>
      <c r="L47" s="270"/>
      <c r="M47" s="268"/>
      <c r="N47" s="399"/>
      <c r="O47" s="355"/>
      <c r="P47" s="355"/>
      <c r="T47" s="399"/>
    </row>
    <row r="48" spans="6:20" s="395" customFormat="1" x14ac:dyDescent="0.2">
      <c r="F48" s="269"/>
      <c r="G48" s="269"/>
      <c r="H48" s="163" t="s">
        <v>580</v>
      </c>
      <c r="I48" s="294" t="s">
        <v>28</v>
      </c>
      <c r="J48" s="388">
        <f>150/132</f>
        <v>1.1363636363636365</v>
      </c>
      <c r="K48" s="268" t="s">
        <v>573</v>
      </c>
      <c r="L48" s="270"/>
      <c r="M48" s="268"/>
      <c r="N48" s="399"/>
      <c r="O48" s="355"/>
      <c r="P48" s="355"/>
      <c r="T48" s="399"/>
    </row>
    <row r="49" spans="6:20" s="395" customFormat="1" x14ac:dyDescent="0.2">
      <c r="F49" s="269"/>
      <c r="G49" s="269"/>
      <c r="H49" s="163" t="s">
        <v>581</v>
      </c>
      <c r="I49" s="294" t="s">
        <v>28</v>
      </c>
      <c r="J49" s="388">
        <v>0.85</v>
      </c>
      <c r="K49" s="268" t="s">
        <v>575</v>
      </c>
      <c r="L49" s="270"/>
      <c r="M49" s="268"/>
      <c r="N49" s="399"/>
      <c r="O49" s="355"/>
      <c r="P49" s="355"/>
      <c r="T49" s="399"/>
    </row>
    <row r="50" spans="6:20" s="395" customFormat="1" x14ac:dyDescent="0.2">
      <c r="F50" s="269"/>
      <c r="G50" s="269"/>
      <c r="H50" s="163" t="s">
        <v>582</v>
      </c>
      <c r="I50" s="294" t="s">
        <v>28</v>
      </c>
      <c r="J50" s="388">
        <v>0.85</v>
      </c>
      <c r="K50" s="268" t="s">
        <v>577</v>
      </c>
      <c r="L50" s="270"/>
      <c r="M50" s="268"/>
      <c r="N50" s="399"/>
      <c r="O50" s="355"/>
      <c r="P50" s="355"/>
      <c r="T50" s="399"/>
    </row>
    <row r="51" spans="6:20" s="395" customFormat="1" x14ac:dyDescent="0.2">
      <c r="F51" s="269"/>
      <c r="G51" s="269"/>
      <c r="H51" s="163" t="s">
        <v>583</v>
      </c>
      <c r="I51" s="294" t="s">
        <v>28</v>
      </c>
      <c r="J51" s="332">
        <v>0.51100000000000001</v>
      </c>
      <c r="K51" s="268" t="s">
        <v>577</v>
      </c>
      <c r="L51" s="270"/>
      <c r="M51" s="268"/>
      <c r="N51" s="399"/>
      <c r="O51" s="355"/>
      <c r="P51" s="355"/>
      <c r="T51" s="399"/>
    </row>
    <row r="52" spans="6:20" s="395" customFormat="1" x14ac:dyDescent="0.2">
      <c r="F52" s="269"/>
      <c r="G52" s="269"/>
      <c r="H52" s="366" t="s">
        <v>584</v>
      </c>
      <c r="I52" s="366" t="s">
        <v>28</v>
      </c>
      <c r="J52" s="460">
        <f>J47*J48*J49*J50*J51</f>
        <v>0.3775883522727273</v>
      </c>
      <c r="K52" s="268"/>
      <c r="L52" s="270"/>
      <c r="M52" s="268"/>
      <c r="N52" s="399"/>
      <c r="O52" s="355"/>
      <c r="P52" s="355"/>
      <c r="T52" s="399"/>
    </row>
    <row r="53" spans="6:20" s="395" customFormat="1" x14ac:dyDescent="0.2">
      <c r="F53" s="269"/>
      <c r="G53" s="269"/>
      <c r="H53" s="272" t="s">
        <v>43</v>
      </c>
      <c r="I53" s="294" t="s">
        <v>28</v>
      </c>
      <c r="J53" s="388">
        <v>0.98499999999999999</v>
      </c>
      <c r="K53" s="268"/>
      <c r="L53" s="270"/>
      <c r="M53" s="268"/>
      <c r="N53" s="399"/>
      <c r="O53" s="355"/>
      <c r="P53" s="355"/>
      <c r="T53" s="399"/>
    </row>
    <row r="54" spans="6:20" s="395" customFormat="1" x14ac:dyDescent="0.2">
      <c r="F54" s="269"/>
      <c r="G54" s="269"/>
      <c r="H54" s="377" t="s">
        <v>44</v>
      </c>
      <c r="J54" s="387"/>
      <c r="K54" s="268"/>
      <c r="L54" s="270"/>
      <c r="M54" s="268"/>
      <c r="N54" s="399"/>
      <c r="O54" s="355"/>
      <c r="P54" s="355"/>
      <c r="T54" s="399"/>
    </row>
    <row r="55" spans="6:20" s="395" customFormat="1" x14ac:dyDescent="0.2">
      <c r="F55" s="269"/>
      <c r="G55" s="269"/>
      <c r="H55" s="470" t="s">
        <v>551</v>
      </c>
      <c r="I55" s="366" t="s">
        <v>28</v>
      </c>
      <c r="J55" s="387">
        <f>J53*J46</f>
        <v>0.43004942400000001</v>
      </c>
      <c r="K55" s="268"/>
      <c r="L55" s="270"/>
      <c r="M55" s="268"/>
      <c r="N55" s="399"/>
      <c r="O55" s="355"/>
      <c r="P55" s="355"/>
      <c r="T55" s="399"/>
    </row>
    <row r="56" spans="6:20" s="395" customFormat="1" x14ac:dyDescent="0.2">
      <c r="F56" s="269"/>
      <c r="G56" s="269"/>
      <c r="H56" s="470" t="s">
        <v>552</v>
      </c>
      <c r="I56" s="366" t="s">
        <v>28</v>
      </c>
      <c r="J56" s="387">
        <f>J53*J52</f>
        <v>0.37192452698863637</v>
      </c>
      <c r="K56" s="268"/>
      <c r="L56" s="270"/>
      <c r="M56" s="268"/>
      <c r="N56" s="399"/>
      <c r="O56" s="355"/>
      <c r="P56" s="355"/>
      <c r="T56" s="399"/>
    </row>
    <row r="57" spans="6:20" s="395" customFormat="1" x14ac:dyDescent="0.2">
      <c r="F57" s="269"/>
      <c r="G57" s="269"/>
      <c r="H57" s="272"/>
      <c r="I57" s="294"/>
      <c r="J57" s="386"/>
      <c r="K57" s="268"/>
      <c r="L57" s="270"/>
      <c r="M57" s="268"/>
      <c r="N57" s="399"/>
      <c r="O57" s="355"/>
      <c r="P57" s="355"/>
      <c r="T57" s="399"/>
    </row>
    <row r="58" spans="6:20" s="395" customFormat="1" x14ac:dyDescent="0.2">
      <c r="F58" s="269"/>
      <c r="G58" s="269"/>
      <c r="H58" s="287" t="s">
        <v>45</v>
      </c>
      <c r="I58" s="294"/>
      <c r="J58" s="386"/>
      <c r="K58" s="268"/>
      <c r="L58" s="270"/>
      <c r="M58" s="268"/>
      <c r="N58" s="399"/>
      <c r="O58" s="355"/>
      <c r="P58" s="355"/>
      <c r="Q58" s="355"/>
      <c r="R58" s="355"/>
      <c r="S58" s="355"/>
      <c r="T58" s="399"/>
    </row>
    <row r="59" spans="6:20" s="395" customFormat="1" x14ac:dyDescent="0.2">
      <c r="F59" s="269"/>
      <c r="G59" s="269"/>
      <c r="H59" s="272" t="s">
        <v>46</v>
      </c>
      <c r="I59" s="294" t="s">
        <v>47</v>
      </c>
      <c r="J59" s="385">
        <v>0.78900000000000003</v>
      </c>
      <c r="K59" s="268"/>
      <c r="L59" s="270"/>
      <c r="M59" s="268"/>
      <c r="N59" s="399"/>
      <c r="O59" s="355"/>
      <c r="P59" s="355"/>
      <c r="Q59" s="355"/>
      <c r="R59" s="355"/>
      <c r="S59" s="355"/>
      <c r="T59" s="399"/>
    </row>
    <row r="60" spans="6:20" s="395" customFormat="1" x14ac:dyDescent="0.2">
      <c r="F60" s="269"/>
      <c r="G60" s="269"/>
      <c r="H60" s="163" t="s">
        <v>585</v>
      </c>
      <c r="I60" s="472" t="s">
        <v>586</v>
      </c>
      <c r="J60" s="60">
        <f>J15*J59</f>
        <v>78.900000000000006</v>
      </c>
      <c r="K60" s="454"/>
      <c r="L60" s="270"/>
      <c r="M60" s="268"/>
      <c r="N60" s="399"/>
      <c r="O60" s="355"/>
      <c r="P60" s="355"/>
      <c r="Q60" s="355"/>
      <c r="R60" s="355"/>
      <c r="S60" s="355"/>
      <c r="T60" s="399"/>
    </row>
    <row r="61" spans="6:20" s="395" customFormat="1" x14ac:dyDescent="0.2">
      <c r="F61" s="269"/>
      <c r="G61" s="269"/>
      <c r="K61" s="453"/>
      <c r="L61" s="270"/>
      <c r="M61" s="268"/>
      <c r="N61" s="399"/>
      <c r="O61" s="355"/>
      <c r="P61" s="355"/>
      <c r="Q61" s="355"/>
      <c r="R61" s="355"/>
      <c r="S61" s="355"/>
      <c r="T61" s="399"/>
    </row>
    <row r="62" spans="6:20" s="395" customFormat="1" x14ac:dyDescent="0.2">
      <c r="F62" s="268"/>
      <c r="G62" s="269"/>
      <c r="H62" s="272"/>
      <c r="I62" s="294"/>
      <c r="J62" s="323" t="s">
        <v>551</v>
      </c>
      <c r="K62" s="323" t="s">
        <v>587</v>
      </c>
      <c r="L62" s="270"/>
      <c r="M62" s="268"/>
      <c r="N62" s="399"/>
      <c r="O62" s="355"/>
      <c r="P62" s="355"/>
      <c r="Q62" s="355"/>
      <c r="R62" s="355"/>
      <c r="S62" s="355"/>
      <c r="T62" s="399"/>
    </row>
    <row r="63" spans="6:20" s="395" customFormat="1" x14ac:dyDescent="0.2">
      <c r="F63" s="268"/>
      <c r="G63" s="269"/>
      <c r="H63" s="287" t="s">
        <v>67</v>
      </c>
      <c r="I63" s="366" t="s">
        <v>68</v>
      </c>
      <c r="J63" s="354">
        <f>J21*J59/J55/1000</f>
        <v>546.35879823907794</v>
      </c>
      <c r="K63" s="354">
        <f>J21*J59/J56/1000</f>
        <v>631.74453264069507</v>
      </c>
      <c r="L63" s="270"/>
      <c r="M63" s="268"/>
      <c r="N63" s="399"/>
      <c r="O63" s="355"/>
      <c r="P63" s="355"/>
      <c r="Q63" s="355"/>
      <c r="R63" s="355"/>
      <c r="S63" s="355"/>
      <c r="T63" s="399"/>
    </row>
    <row r="64" spans="6:20" s="395" customFormat="1" x14ac:dyDescent="0.2">
      <c r="F64" s="268"/>
      <c r="G64" s="269"/>
      <c r="H64" s="287"/>
      <c r="I64" s="366"/>
      <c r="J64" s="354"/>
      <c r="K64" s="268"/>
      <c r="L64" s="270"/>
      <c r="M64" s="268"/>
      <c r="N64" s="399"/>
      <c r="O64" s="355"/>
      <c r="P64" s="355"/>
      <c r="Q64" s="355"/>
      <c r="R64" s="355"/>
      <c r="S64" s="355"/>
      <c r="T64" s="399"/>
    </row>
    <row r="65" spans="6:20" s="395" customFormat="1" x14ac:dyDescent="0.2">
      <c r="F65" s="268"/>
      <c r="G65" s="269"/>
      <c r="H65" s="377" t="s">
        <v>403</v>
      </c>
      <c r="I65" s="452"/>
      <c r="J65" s="387"/>
      <c r="K65" s="387"/>
      <c r="L65" s="270"/>
      <c r="M65" s="268"/>
      <c r="N65" s="399"/>
      <c r="O65" s="355"/>
      <c r="P65" s="355"/>
      <c r="Q65" s="355"/>
      <c r="R65" s="355"/>
      <c r="S65" s="355"/>
      <c r="T65" s="399"/>
    </row>
    <row r="66" spans="6:20" s="395" customFormat="1" x14ac:dyDescent="0.2">
      <c r="F66" s="268"/>
      <c r="G66" s="269"/>
      <c r="H66" s="311"/>
      <c r="I66" s="451" t="s">
        <v>404</v>
      </c>
      <c r="J66" s="450"/>
      <c r="K66" s="387"/>
      <c r="L66" s="270"/>
      <c r="M66" s="268"/>
      <c r="N66" s="399"/>
      <c r="O66" s="355"/>
      <c r="P66" s="355"/>
      <c r="Q66" s="355"/>
      <c r="R66" s="355"/>
      <c r="S66" s="355"/>
      <c r="T66" s="399"/>
    </row>
    <row r="67" spans="6:20" s="395" customFormat="1" x14ac:dyDescent="0.2">
      <c r="F67" s="268"/>
      <c r="G67" s="269"/>
      <c r="H67" s="272"/>
      <c r="I67" s="294"/>
      <c r="J67" s="294"/>
      <c r="K67" s="268"/>
      <c r="L67" s="270"/>
      <c r="M67" s="268"/>
      <c r="N67" s="399"/>
      <c r="O67" s="355"/>
      <c r="P67" s="355"/>
      <c r="Q67" s="355"/>
      <c r="R67" s="355"/>
      <c r="S67" s="355"/>
      <c r="T67" s="399"/>
    </row>
    <row r="68" spans="6:20" s="395" customFormat="1" ht="25.5" x14ac:dyDescent="0.2">
      <c r="F68" s="268"/>
      <c r="G68" s="269"/>
      <c r="H68" s="287" t="s">
        <v>588</v>
      </c>
      <c r="I68" s="294"/>
      <c r="J68" s="383" t="s">
        <v>52</v>
      </c>
      <c r="K68" s="449" t="s">
        <v>406</v>
      </c>
      <c r="L68" s="448" t="s">
        <v>407</v>
      </c>
      <c r="M68" s="448" t="s">
        <v>408</v>
      </c>
      <c r="N68" s="399"/>
      <c r="O68" s="355"/>
      <c r="P68" s="355"/>
      <c r="Q68" s="355"/>
      <c r="R68" s="355"/>
      <c r="S68" s="355"/>
      <c r="T68" s="399"/>
    </row>
    <row r="69" spans="6:20" s="395" customFormat="1" x14ac:dyDescent="0.2">
      <c r="F69" s="268"/>
      <c r="G69" s="269"/>
      <c r="H69" s="294" t="str">
        <f t="shared" ref="H69:H74" si="2">H5</f>
        <v>HW forest residues</v>
      </c>
      <c r="I69" s="294" t="s">
        <v>54</v>
      </c>
      <c r="J69" s="297">
        <f>O5</f>
        <v>0.12000000000000011</v>
      </c>
      <c r="K69" s="355">
        <f t="shared" ref="K69:K74" si="3">J69*N5</f>
        <v>35838.128721065303</v>
      </c>
      <c r="L69" s="447">
        <v>0.44</v>
      </c>
      <c r="M69" s="355">
        <f t="shared" ref="M69:M74" si="4">K69/(1-L69)</f>
        <v>63996.658430473748</v>
      </c>
      <c r="N69" s="399"/>
      <c r="O69" s="355"/>
      <c r="P69" s="355"/>
      <c r="Q69" s="355"/>
      <c r="R69" s="355"/>
      <c r="S69" s="355"/>
      <c r="T69" s="399"/>
    </row>
    <row r="70" spans="6:20" s="395" customFormat="1" x14ac:dyDescent="0.2">
      <c r="F70" s="268"/>
      <c r="G70" s="269"/>
      <c r="H70" s="294" t="str">
        <f t="shared" si="2"/>
        <v>HW pulpwood</v>
      </c>
      <c r="I70" s="294" t="s">
        <v>54</v>
      </c>
      <c r="J70" s="297">
        <f t="shared" ref="J70:J74" si="5">O6</f>
        <v>0.12000000000000011</v>
      </c>
      <c r="K70" s="355">
        <f t="shared" si="3"/>
        <v>0</v>
      </c>
      <c r="L70" s="447">
        <v>0.44</v>
      </c>
      <c r="M70" s="355">
        <f t="shared" si="4"/>
        <v>0</v>
      </c>
      <c r="N70" s="399"/>
      <c r="O70" s="355"/>
      <c r="P70" s="355"/>
      <c r="Q70" s="355"/>
      <c r="R70" s="355"/>
      <c r="S70" s="355"/>
      <c r="T70" s="399"/>
    </row>
    <row r="71" spans="6:20" s="395" customFormat="1" x14ac:dyDescent="0.2">
      <c r="F71" s="268"/>
      <c r="G71" s="269"/>
      <c r="H71" s="294" t="str">
        <f t="shared" si="2"/>
        <v>SW forest residues</v>
      </c>
      <c r="I71" s="294" t="s">
        <v>54</v>
      </c>
      <c r="J71" s="297">
        <f t="shared" si="5"/>
        <v>6.0000000000000053E-2</v>
      </c>
      <c r="K71" s="355">
        <f t="shared" si="3"/>
        <v>0</v>
      </c>
      <c r="L71" s="447">
        <v>0.44</v>
      </c>
      <c r="M71" s="355">
        <f t="shared" si="4"/>
        <v>0</v>
      </c>
      <c r="N71" s="399"/>
      <c r="O71" s="355"/>
      <c r="P71" s="355"/>
      <c r="Q71" s="355"/>
      <c r="R71" s="355"/>
      <c r="S71" s="355"/>
      <c r="T71" s="399"/>
    </row>
    <row r="72" spans="6:20" s="395" customFormat="1" x14ac:dyDescent="0.2">
      <c r="F72" s="268"/>
      <c r="G72" s="269"/>
      <c r="H72" s="294" t="str">
        <f t="shared" si="2"/>
        <v>SW pulpwood</v>
      </c>
      <c r="I72" s="294" t="s">
        <v>54</v>
      </c>
      <c r="J72" s="297">
        <f t="shared" si="5"/>
        <v>6.0000000000000053E-2</v>
      </c>
      <c r="K72" s="355">
        <f t="shared" si="3"/>
        <v>0</v>
      </c>
      <c r="L72" s="447">
        <v>0.44</v>
      </c>
      <c r="M72" s="355">
        <f t="shared" si="4"/>
        <v>0</v>
      </c>
      <c r="N72" s="399"/>
      <c r="O72" s="355"/>
      <c r="P72" s="355"/>
      <c r="Q72" s="355"/>
      <c r="R72" s="355"/>
      <c r="S72" s="355"/>
      <c r="T72" s="399"/>
    </row>
    <row r="73" spans="6:20" s="395" customFormat="1" x14ac:dyDescent="0.2">
      <c r="F73" s="268"/>
      <c r="G73" s="269"/>
      <c r="H73" s="294" t="str">
        <f t="shared" si="2"/>
        <v>Cane trash</v>
      </c>
      <c r="I73" s="294" t="s">
        <v>54</v>
      </c>
      <c r="J73" s="297">
        <f t="shared" si="5"/>
        <v>7.0000000000000062E-2</v>
      </c>
      <c r="K73" s="355">
        <f t="shared" si="3"/>
        <v>0</v>
      </c>
      <c r="L73" s="447">
        <v>0.44</v>
      </c>
      <c r="M73" s="355">
        <f t="shared" si="4"/>
        <v>0</v>
      </c>
      <c r="N73" s="399"/>
      <c r="O73" s="355"/>
      <c r="P73" s="355"/>
      <c r="Q73" s="355"/>
      <c r="R73" s="355"/>
      <c r="S73" s="355"/>
      <c r="T73" s="399"/>
    </row>
    <row r="74" spans="6:20" s="395" customFormat="1" x14ac:dyDescent="0.2">
      <c r="F74" s="268"/>
      <c r="G74" s="269"/>
      <c r="H74" s="294" t="str">
        <f t="shared" si="2"/>
        <v>Mallee Eucalypt</v>
      </c>
      <c r="I74" s="294" t="s">
        <v>54</v>
      </c>
      <c r="J74" s="297">
        <f t="shared" si="5"/>
        <v>0.12000000000000011</v>
      </c>
      <c r="K74" s="355">
        <f t="shared" si="3"/>
        <v>0</v>
      </c>
      <c r="L74" s="447">
        <v>0.44</v>
      </c>
      <c r="M74" s="355">
        <f t="shared" si="4"/>
        <v>0</v>
      </c>
      <c r="N74" s="399"/>
      <c r="O74" s="355"/>
      <c r="P74" s="355"/>
      <c r="Q74" s="355"/>
      <c r="R74" s="355"/>
      <c r="S74" s="355"/>
      <c r="T74" s="399"/>
    </row>
    <row r="75" spans="6:20" s="395" customFormat="1" x14ac:dyDescent="0.2">
      <c r="F75" s="268"/>
      <c r="G75" s="269"/>
      <c r="H75" s="323" t="s">
        <v>303</v>
      </c>
      <c r="I75" s="294" t="s">
        <v>54</v>
      </c>
      <c r="J75" s="383"/>
      <c r="K75" s="362">
        <f>SUM(K69:K74)</f>
        <v>35838.128721065303</v>
      </c>
      <c r="L75" s="270"/>
      <c r="M75" s="362">
        <f>SUM(M69:M74)</f>
        <v>63996.658430473748</v>
      </c>
      <c r="N75" s="399"/>
      <c r="O75" s="355" t="s">
        <v>589</v>
      </c>
      <c r="P75" s="473">
        <v>0.3</v>
      </c>
      <c r="Q75" s="367"/>
      <c r="R75" s="355"/>
      <c r="S75" s="355"/>
      <c r="T75" s="399"/>
    </row>
    <row r="76" spans="6:20" s="395" customFormat="1" x14ac:dyDescent="0.2">
      <c r="F76" s="268"/>
      <c r="G76" s="269"/>
      <c r="H76" s="323"/>
      <c r="I76" s="294"/>
      <c r="J76" s="383"/>
      <c r="K76" s="354"/>
      <c r="L76" s="270"/>
      <c r="M76" s="354"/>
      <c r="N76" s="399"/>
      <c r="O76" s="355" t="s">
        <v>590</v>
      </c>
      <c r="P76" s="364">
        <v>18</v>
      </c>
      <c r="Q76" s="355" t="s">
        <v>591</v>
      </c>
      <c r="R76" s="355"/>
      <c r="S76" s="355"/>
      <c r="T76" s="399"/>
    </row>
    <row r="77" spans="6:20" s="395" customFormat="1" x14ac:dyDescent="0.2">
      <c r="F77" s="268"/>
      <c r="G77" s="269"/>
      <c r="H77" s="377" t="s">
        <v>592</v>
      </c>
      <c r="I77" s="294"/>
      <c r="J77" s="383"/>
      <c r="K77" s="354"/>
      <c r="L77" s="277" t="s">
        <v>593</v>
      </c>
      <c r="M77" s="279" t="s">
        <v>23</v>
      </c>
      <c r="N77" s="399"/>
      <c r="O77" s="355" t="s">
        <v>594</v>
      </c>
      <c r="P77" s="355">
        <f>P76*M75/3.6*0.25</f>
        <v>79995.823038092189</v>
      </c>
      <c r="Q77" s="355" t="s">
        <v>595</v>
      </c>
      <c r="R77" s="336"/>
      <c r="S77" s="355"/>
      <c r="T77" s="399"/>
    </row>
    <row r="78" spans="6:20" s="395" customFormat="1" x14ac:dyDescent="0.2">
      <c r="F78" s="268"/>
      <c r="G78" s="269"/>
      <c r="H78" s="474" t="s">
        <v>596</v>
      </c>
      <c r="I78" s="470" t="s">
        <v>595</v>
      </c>
      <c r="J78" s="383"/>
      <c r="K78" s="354">
        <f>P77</f>
        <v>79995.823038092189</v>
      </c>
      <c r="L78" s="277"/>
      <c r="M78" s="279"/>
      <c r="N78" s="399"/>
      <c r="O78" s="355"/>
      <c r="P78" s="355"/>
      <c r="Q78" s="355"/>
      <c r="R78" s="336"/>
      <c r="S78" s="355"/>
      <c r="T78" s="399"/>
    </row>
    <row r="79" spans="6:20" s="395" customFormat="1" x14ac:dyDescent="0.2">
      <c r="F79" s="268"/>
      <c r="G79" s="269"/>
      <c r="H79" s="474" t="s">
        <v>597</v>
      </c>
      <c r="I79" s="470" t="s">
        <v>595</v>
      </c>
      <c r="J79" s="383"/>
      <c r="K79" s="354"/>
      <c r="L79" s="277"/>
      <c r="M79" s="279"/>
      <c r="N79" s="399"/>
      <c r="O79" s="355"/>
      <c r="P79" s="355"/>
      <c r="Q79" s="355"/>
      <c r="R79" s="336"/>
      <c r="S79" s="355"/>
      <c r="T79" s="399"/>
    </row>
    <row r="80" spans="6:20" s="395" customFormat="1" x14ac:dyDescent="0.2">
      <c r="F80" s="268"/>
      <c r="G80" s="269"/>
      <c r="H80" s="474" t="s">
        <v>598</v>
      </c>
      <c r="I80" s="470" t="s">
        <v>595</v>
      </c>
      <c r="J80" s="383"/>
      <c r="K80" s="354">
        <f>K161/1000</f>
        <v>25171.09</v>
      </c>
      <c r="L80" s="277"/>
      <c r="M80" s="279"/>
      <c r="N80" s="399"/>
      <c r="O80" s="355"/>
      <c r="P80" s="355"/>
      <c r="Q80" s="355"/>
      <c r="R80" s="336"/>
      <c r="S80" s="355"/>
      <c r="T80" s="399"/>
    </row>
    <row r="81" spans="1:20" s="395" customFormat="1" x14ac:dyDescent="0.2">
      <c r="F81" s="268"/>
      <c r="G81" s="269"/>
      <c r="H81" s="377" t="s">
        <v>599</v>
      </c>
      <c r="I81" s="366" t="s">
        <v>595</v>
      </c>
      <c r="J81" s="287"/>
      <c r="K81" s="365">
        <f>K78-K80</f>
        <v>54824.733038092192</v>
      </c>
      <c r="L81" s="363">
        <v>65</v>
      </c>
      <c r="M81" s="365">
        <f>K81*L81</f>
        <v>3563607.6474759923</v>
      </c>
      <c r="N81" s="399"/>
      <c r="O81" s="367"/>
      <c r="P81" s="355"/>
      <c r="Q81" s="355"/>
      <c r="R81" s="355"/>
      <c r="S81" s="355"/>
      <c r="T81" s="399"/>
    </row>
    <row r="82" spans="1:20" s="395" customFormat="1" x14ac:dyDescent="0.2">
      <c r="F82" s="259"/>
      <c r="G82" s="269"/>
      <c r="H82" s="268"/>
      <c r="I82" s="271"/>
      <c r="J82" s="268"/>
      <c r="K82" s="268"/>
      <c r="L82" s="270"/>
      <c r="M82" s="268"/>
      <c r="N82" s="399"/>
      <c r="O82" s="398"/>
      <c r="P82" s="398"/>
      <c r="Q82" s="398"/>
      <c r="R82" s="398"/>
      <c r="S82" s="398"/>
      <c r="T82" s="397"/>
    </row>
    <row r="83" spans="1:20" s="395" customFormat="1" x14ac:dyDescent="0.2">
      <c r="F83" s="259"/>
      <c r="G83" s="269"/>
      <c r="H83" s="268"/>
      <c r="I83" s="271"/>
      <c r="J83" s="268"/>
      <c r="K83" s="268"/>
      <c r="L83" s="270"/>
      <c r="M83" s="268"/>
      <c r="N83" s="399"/>
      <c r="O83" s="355"/>
      <c r="P83" s="355"/>
      <c r="Q83" s="355"/>
      <c r="R83" s="355"/>
      <c r="S83" s="355"/>
      <c r="T83" s="399"/>
    </row>
    <row r="84" spans="1:20" s="395" customFormat="1" ht="38.25" x14ac:dyDescent="0.2">
      <c r="F84" s="259"/>
      <c r="G84" s="318" t="s">
        <v>69</v>
      </c>
      <c r="H84" s="317" t="s">
        <v>70</v>
      </c>
      <c r="I84" s="316" t="s">
        <v>20</v>
      </c>
      <c r="J84" s="314" t="s">
        <v>71</v>
      </c>
      <c r="K84" s="314" t="s">
        <v>72</v>
      </c>
      <c r="L84" s="347" t="s">
        <v>73</v>
      </c>
      <c r="M84" s="316" t="s">
        <v>74</v>
      </c>
      <c r="N84" s="409"/>
      <c r="O84" s="314" t="s">
        <v>600</v>
      </c>
      <c r="P84" s="314" t="s">
        <v>601</v>
      </c>
      <c r="Q84" s="314" t="s">
        <v>602</v>
      </c>
      <c r="R84" s="314" t="s">
        <v>603</v>
      </c>
      <c r="S84" s="475" t="s">
        <v>604</v>
      </c>
      <c r="T84" s="476" t="s">
        <v>605</v>
      </c>
    </row>
    <row r="85" spans="1:20" s="395" customFormat="1" x14ac:dyDescent="0.2">
      <c r="F85" s="259"/>
      <c r="G85" s="269"/>
      <c r="H85" s="272" t="str">
        <f t="shared" ref="H85:H90" si="6">H5</f>
        <v>HW forest residues</v>
      </c>
      <c r="I85" s="294" t="s">
        <v>77</v>
      </c>
      <c r="J85" s="373">
        <f>N5/$J$15/(1-P5)/1000</f>
        <v>5.6349258995385636</v>
      </c>
      <c r="K85" s="355">
        <f t="shared" ref="K85:K90" si="7">N5/(1-P5)</f>
        <v>563492.58995385643</v>
      </c>
      <c r="L85" s="431">
        <f t="shared" ref="L85:L90" si="8">T85</f>
        <v>51</v>
      </c>
      <c r="M85" s="288">
        <f>K85*L85</f>
        <v>28738122.087646678</v>
      </c>
      <c r="N85" s="399"/>
      <c r="O85" s="364">
        <v>15</v>
      </c>
      <c r="P85" s="364">
        <v>10</v>
      </c>
      <c r="Q85" s="364">
        <v>15</v>
      </c>
      <c r="R85" s="364">
        <v>5</v>
      </c>
      <c r="S85" s="364">
        <v>6</v>
      </c>
      <c r="T85" s="399">
        <f>SUM(O85:S85)</f>
        <v>51</v>
      </c>
    </row>
    <row r="86" spans="1:20" s="395" customFormat="1" x14ac:dyDescent="0.2">
      <c r="F86" s="259"/>
      <c r="G86" s="269"/>
      <c r="H86" s="272" t="str">
        <f t="shared" si="6"/>
        <v>HW pulpwood</v>
      </c>
      <c r="I86" s="294" t="s">
        <v>77</v>
      </c>
      <c r="J86" s="373">
        <f>N6/$J$15/(1-P6)/1000</f>
        <v>0</v>
      </c>
      <c r="K86" s="355">
        <f t="shared" si="7"/>
        <v>0</v>
      </c>
      <c r="L86" s="431">
        <f t="shared" si="8"/>
        <v>65</v>
      </c>
      <c r="M86" s="288">
        <f>K86*L86</f>
        <v>0</v>
      </c>
      <c r="N86" s="399"/>
      <c r="O86" s="355"/>
      <c r="P86" s="355"/>
      <c r="Q86" s="355"/>
      <c r="R86" s="355"/>
      <c r="S86" s="355"/>
      <c r="T86" s="477">
        <v>65</v>
      </c>
    </row>
    <row r="87" spans="1:20" s="395" customFormat="1" x14ac:dyDescent="0.2">
      <c r="F87" s="259"/>
      <c r="G87" s="269"/>
      <c r="H87" s="272" t="str">
        <f t="shared" si="6"/>
        <v>SW forest residues</v>
      </c>
      <c r="I87" s="294" t="s">
        <v>77</v>
      </c>
      <c r="J87" s="373">
        <f>N7/$J$15/(1-P7)/1000</f>
        <v>0</v>
      </c>
      <c r="K87" s="355">
        <f t="shared" si="7"/>
        <v>0</v>
      </c>
      <c r="L87" s="431">
        <f t="shared" si="8"/>
        <v>51</v>
      </c>
      <c r="M87" s="288">
        <f>K87*L87</f>
        <v>0</v>
      </c>
      <c r="N87" s="399"/>
      <c r="O87" s="364">
        <v>15</v>
      </c>
      <c r="P87" s="364">
        <v>10</v>
      </c>
      <c r="Q87" s="364">
        <v>15</v>
      </c>
      <c r="R87" s="364">
        <v>5</v>
      </c>
      <c r="S87" s="364">
        <v>6</v>
      </c>
      <c r="T87" s="399">
        <f t="shared" ref="T87:T90" si="9">SUM(O87:S87)</f>
        <v>51</v>
      </c>
    </row>
    <row r="88" spans="1:20" s="395" customFormat="1" x14ac:dyDescent="0.2">
      <c r="F88" s="259"/>
      <c r="G88" s="269"/>
      <c r="H88" s="272" t="str">
        <f t="shared" si="6"/>
        <v>SW pulpwood</v>
      </c>
      <c r="I88" s="294" t="s">
        <v>77</v>
      </c>
      <c r="J88" s="373">
        <f>N8/$J$15/(1-P8)/1000</f>
        <v>0</v>
      </c>
      <c r="K88" s="355">
        <f t="shared" si="7"/>
        <v>0</v>
      </c>
      <c r="L88" s="431">
        <f t="shared" si="8"/>
        <v>60</v>
      </c>
      <c r="M88" s="288">
        <f>K88*L88</f>
        <v>0</v>
      </c>
      <c r="N88" s="399"/>
      <c r="O88" s="355"/>
      <c r="P88" s="355"/>
      <c r="Q88" s="355"/>
      <c r="R88" s="355"/>
      <c r="S88" s="355"/>
      <c r="T88" s="477">
        <v>60</v>
      </c>
    </row>
    <row r="89" spans="1:20" s="395" customFormat="1" x14ac:dyDescent="0.2">
      <c r="F89" s="259"/>
      <c r="G89" s="269"/>
      <c r="H89" s="272" t="str">
        <f t="shared" si="6"/>
        <v>Cane trash</v>
      </c>
      <c r="I89" s="294" t="s">
        <v>77</v>
      </c>
      <c r="J89" s="373">
        <f>N9/$J$15/(1-P9)/1000</f>
        <v>0</v>
      </c>
      <c r="K89" s="355">
        <f t="shared" si="7"/>
        <v>0</v>
      </c>
      <c r="L89" s="431">
        <f t="shared" si="8"/>
        <v>43</v>
      </c>
      <c r="M89" s="288">
        <f>K89*L89</f>
        <v>0</v>
      </c>
      <c r="N89" s="399"/>
      <c r="O89" s="364">
        <v>3</v>
      </c>
      <c r="P89" s="364">
        <v>7</v>
      </c>
      <c r="Q89" s="364">
        <v>20</v>
      </c>
      <c r="R89" s="364">
        <v>10</v>
      </c>
      <c r="S89" s="364">
        <v>3</v>
      </c>
      <c r="T89" s="399">
        <f t="shared" si="9"/>
        <v>43</v>
      </c>
    </row>
    <row r="90" spans="1:20" s="395" customFormat="1" x14ac:dyDescent="0.2">
      <c r="F90" s="259"/>
      <c r="G90" s="269"/>
      <c r="H90" s="272" t="str">
        <f t="shared" si="6"/>
        <v>Mallee Eucalypt</v>
      </c>
      <c r="I90" s="294" t="s">
        <v>77</v>
      </c>
      <c r="J90" s="373">
        <f t="shared" ref="J90" si="10">N10/$J$15/(1-P10)/1000</f>
        <v>0</v>
      </c>
      <c r="K90" s="355">
        <f t="shared" si="7"/>
        <v>0</v>
      </c>
      <c r="L90" s="431">
        <f t="shared" si="8"/>
        <v>44.5</v>
      </c>
      <c r="M90" s="279"/>
      <c r="N90" s="399"/>
      <c r="O90" s="364">
        <v>12</v>
      </c>
      <c r="P90" s="364">
        <v>5</v>
      </c>
      <c r="Q90" s="364">
        <v>10</v>
      </c>
      <c r="R90" s="364">
        <v>12.5</v>
      </c>
      <c r="S90" s="364">
        <v>5</v>
      </c>
      <c r="T90" s="399">
        <f t="shared" si="9"/>
        <v>44.5</v>
      </c>
    </row>
    <row r="91" spans="1:20" s="395" customFormat="1" x14ac:dyDescent="0.2">
      <c r="A91" s="395" t="s">
        <v>703</v>
      </c>
      <c r="B91" s="395" t="s">
        <v>285</v>
      </c>
      <c r="F91" s="259"/>
      <c r="G91" s="264"/>
      <c r="H91" s="301" t="s">
        <v>410</v>
      </c>
      <c r="I91" s="372"/>
      <c r="J91" s="446"/>
      <c r="K91" s="398"/>
      <c r="L91" s="398"/>
      <c r="M91" s="445">
        <f>SUM(M85:M90)</f>
        <v>28738122.087646678</v>
      </c>
      <c r="N91" s="397"/>
      <c r="O91" s="444"/>
      <c r="P91" s="398"/>
      <c r="Q91" s="398"/>
      <c r="R91" s="398"/>
      <c r="S91" s="398"/>
      <c r="T91" s="397"/>
    </row>
    <row r="92" spans="1:20" s="395" customFormat="1" x14ac:dyDescent="0.2">
      <c r="F92" s="259"/>
      <c r="G92" s="269"/>
      <c r="H92" s="323"/>
      <c r="I92" s="294"/>
      <c r="J92" s="373"/>
      <c r="K92" s="355"/>
      <c r="L92" s="355"/>
      <c r="M92" s="365"/>
      <c r="N92" s="399"/>
      <c r="O92" s="443"/>
      <c r="P92" s="355"/>
      <c r="Q92" s="355"/>
      <c r="R92" s="355"/>
      <c r="S92" s="355"/>
      <c r="T92" s="399"/>
    </row>
    <row r="93" spans="1:20" s="395" customFormat="1" ht="25.5" x14ac:dyDescent="0.2">
      <c r="F93" s="269"/>
      <c r="G93" s="331" t="s">
        <v>85</v>
      </c>
      <c r="H93" s="379" t="s">
        <v>86</v>
      </c>
      <c r="I93" s="279" t="s">
        <v>20</v>
      </c>
      <c r="J93" s="328" t="s">
        <v>71</v>
      </c>
      <c r="K93" s="328" t="s">
        <v>72</v>
      </c>
      <c r="L93" s="378" t="s">
        <v>73</v>
      </c>
      <c r="M93" s="279" t="s">
        <v>74</v>
      </c>
      <c r="N93" s="399"/>
      <c r="O93" s="432" t="s">
        <v>76</v>
      </c>
      <c r="P93" s="355"/>
      <c r="Q93" s="355"/>
      <c r="R93" s="355"/>
      <c r="S93" s="355"/>
      <c r="T93" s="399"/>
    </row>
    <row r="94" spans="1:20" s="395" customFormat="1" x14ac:dyDescent="0.2">
      <c r="F94" s="269"/>
      <c r="G94" s="331"/>
      <c r="H94" s="287" t="s">
        <v>411</v>
      </c>
      <c r="I94" s="279"/>
      <c r="J94" s="328"/>
      <c r="K94" s="328"/>
      <c r="L94" s="378"/>
      <c r="M94" s="279"/>
      <c r="N94" s="399"/>
      <c r="O94" s="432"/>
      <c r="P94" s="355"/>
      <c r="Q94" s="355"/>
      <c r="R94" s="355"/>
      <c r="S94" s="355"/>
      <c r="T94" s="399"/>
    </row>
    <row r="95" spans="1:20" s="395" customFormat="1" x14ac:dyDescent="0.2">
      <c r="F95" s="269"/>
      <c r="G95" s="331"/>
      <c r="H95" s="163" t="s">
        <v>606</v>
      </c>
      <c r="I95" s="470" t="s">
        <v>607</v>
      </c>
      <c r="J95" s="442">
        <v>20</v>
      </c>
      <c r="K95" s="355">
        <f>J95*N11</f>
        <v>5973021.4535108777</v>
      </c>
      <c r="L95" s="357">
        <v>0.45</v>
      </c>
      <c r="M95" s="355">
        <f>L95*K95</f>
        <v>2687859.654079895</v>
      </c>
      <c r="N95" s="399"/>
      <c r="O95" s="367"/>
      <c r="P95" s="355"/>
      <c r="Q95" s="355"/>
      <c r="R95" s="355"/>
      <c r="S95" s="355"/>
      <c r="T95" s="399"/>
    </row>
    <row r="96" spans="1:20" s="395" customFormat="1" x14ac:dyDescent="0.2">
      <c r="F96" s="269"/>
      <c r="G96" s="331"/>
      <c r="H96" s="163" t="s">
        <v>608</v>
      </c>
      <c r="I96" s="470" t="s">
        <v>607</v>
      </c>
      <c r="J96" s="60">
        <v>10</v>
      </c>
      <c r="K96" s="355">
        <f>J96*N11</f>
        <v>2986510.7267554388</v>
      </c>
      <c r="L96" s="357">
        <v>0.65</v>
      </c>
      <c r="M96" s="355">
        <f>L96*K96</f>
        <v>1941231.9723910354</v>
      </c>
      <c r="N96" s="399"/>
      <c r="O96" s="367"/>
      <c r="P96" s="355"/>
      <c r="Q96" s="355"/>
      <c r="R96" s="355"/>
      <c r="S96" s="355"/>
      <c r="T96" s="399"/>
    </row>
    <row r="97" spans="6:20" s="395" customFormat="1" x14ac:dyDescent="0.2">
      <c r="F97" s="269"/>
      <c r="G97" s="331"/>
      <c r="H97" s="379"/>
      <c r="I97" s="279"/>
      <c r="J97" s="328"/>
      <c r="K97" s="328"/>
      <c r="L97" s="378"/>
      <c r="M97" s="279"/>
      <c r="N97" s="399"/>
      <c r="O97" s="432"/>
      <c r="P97" s="355"/>
      <c r="Q97" s="355"/>
      <c r="R97" s="355"/>
      <c r="S97" s="355"/>
      <c r="T97" s="399"/>
    </row>
    <row r="98" spans="6:20" s="395" customFormat="1" x14ac:dyDescent="0.2">
      <c r="F98" s="269"/>
      <c r="G98" s="331"/>
      <c r="H98" s="287" t="s">
        <v>415</v>
      </c>
      <c r="I98" s="279"/>
      <c r="J98" s="328"/>
      <c r="K98" s="328"/>
      <c r="L98" s="378"/>
      <c r="M98" s="279"/>
      <c r="N98" s="399"/>
      <c r="O98" s="432"/>
      <c r="P98" s="355"/>
      <c r="Q98" s="355"/>
      <c r="R98" s="355"/>
      <c r="S98" s="355"/>
      <c r="T98" s="399"/>
    </row>
    <row r="99" spans="6:20" s="395" customFormat="1" x14ac:dyDescent="0.2">
      <c r="F99" s="269"/>
      <c r="G99" s="331"/>
      <c r="H99" s="163" t="s">
        <v>609</v>
      </c>
      <c r="I99" s="294" t="s">
        <v>110</v>
      </c>
      <c r="J99" s="442">
        <v>300</v>
      </c>
      <c r="K99" s="355">
        <f>J99*$J$15*1000</f>
        <v>30000000</v>
      </c>
      <c r="L99" s="357">
        <v>0.2</v>
      </c>
      <c r="M99" s="288">
        <f>K99*L99</f>
        <v>6000000</v>
      </c>
      <c r="N99" s="399"/>
      <c r="O99" s="367"/>
      <c r="P99" s="355"/>
      <c r="Q99" s="355"/>
      <c r="R99" s="355"/>
      <c r="S99" s="355"/>
      <c r="T99" s="399"/>
    </row>
    <row r="100" spans="6:20" s="395" customFormat="1" x14ac:dyDescent="0.2">
      <c r="F100" s="269"/>
      <c r="G100" s="331"/>
      <c r="H100" s="163" t="s">
        <v>610</v>
      </c>
      <c r="I100" s="294" t="s">
        <v>110</v>
      </c>
      <c r="J100" s="442">
        <v>300</v>
      </c>
      <c r="K100" s="355">
        <f>J100*$J$15*1000</f>
        <v>30000000</v>
      </c>
      <c r="L100" s="357">
        <v>0.2</v>
      </c>
      <c r="M100" s="288">
        <f>K100*L100</f>
        <v>6000000</v>
      </c>
      <c r="N100" s="399"/>
      <c r="O100" s="367"/>
      <c r="P100" s="355"/>
      <c r="Q100" s="355"/>
      <c r="R100" s="355"/>
      <c r="S100" s="355"/>
      <c r="T100" s="399"/>
    </row>
    <row r="101" spans="6:20" s="395" customFormat="1" x14ac:dyDescent="0.2">
      <c r="F101" s="269"/>
      <c r="G101" s="331"/>
      <c r="H101" s="163" t="s">
        <v>611</v>
      </c>
      <c r="I101" s="294" t="s">
        <v>110</v>
      </c>
      <c r="J101" s="442">
        <v>300</v>
      </c>
      <c r="K101" s="355">
        <f>J101*$J$15*1000</f>
        <v>30000000</v>
      </c>
      <c r="L101" s="357">
        <v>0.2</v>
      </c>
      <c r="M101" s="288">
        <f>K101*L101</f>
        <v>6000000</v>
      </c>
      <c r="N101" s="399"/>
      <c r="O101" s="367"/>
      <c r="P101" s="355"/>
      <c r="Q101" s="355"/>
      <c r="R101" s="355"/>
      <c r="S101" s="355"/>
      <c r="T101" s="399"/>
    </row>
    <row r="102" spans="6:20" s="395" customFormat="1" x14ac:dyDescent="0.2">
      <c r="F102" s="269"/>
      <c r="G102" s="331"/>
      <c r="H102" s="379"/>
      <c r="I102" s="279"/>
      <c r="J102" s="328"/>
      <c r="K102" s="328"/>
      <c r="L102" s="378"/>
      <c r="M102" s="279"/>
      <c r="N102" s="399"/>
      <c r="O102" s="432"/>
      <c r="P102" s="355"/>
      <c r="Q102" s="355"/>
      <c r="R102" s="355"/>
      <c r="S102" s="355"/>
      <c r="T102" s="399"/>
    </row>
    <row r="103" spans="6:20" s="395" customFormat="1" x14ac:dyDescent="0.2">
      <c r="F103" s="269"/>
      <c r="G103" s="331"/>
      <c r="H103" s="287" t="s">
        <v>420</v>
      </c>
      <c r="I103" s="279"/>
      <c r="J103" s="328"/>
      <c r="K103" s="328"/>
      <c r="L103" s="378"/>
      <c r="M103" s="279"/>
      <c r="N103" s="399"/>
      <c r="O103" s="432"/>
      <c r="P103" s="355"/>
      <c r="Q103" s="355"/>
      <c r="R103" s="355"/>
      <c r="S103" s="355"/>
      <c r="T103" s="399"/>
    </row>
    <row r="104" spans="6:20" s="395" customFormat="1" x14ac:dyDescent="0.2">
      <c r="F104" s="269"/>
      <c r="G104" s="269"/>
      <c r="H104" s="272" t="s">
        <v>88</v>
      </c>
      <c r="I104" s="294" t="s">
        <v>89</v>
      </c>
      <c r="J104" s="342">
        <v>0.8</v>
      </c>
      <c r="K104" s="355">
        <f>J104*$J$15*1000</f>
        <v>80000</v>
      </c>
      <c r="L104" s="632">
        <v>2</v>
      </c>
      <c r="M104" s="288">
        <f t="shared" ref="M104:M113" si="11">K104*L104</f>
        <v>160000</v>
      </c>
      <c r="N104" s="399"/>
      <c r="O104" s="355"/>
      <c r="P104" s="355"/>
      <c r="Q104" s="355"/>
      <c r="R104" s="355"/>
      <c r="S104" s="355"/>
      <c r="T104" s="399"/>
    </row>
    <row r="105" spans="6:20" s="395" customFormat="1" x14ac:dyDescent="0.2">
      <c r="F105" s="269"/>
      <c r="G105" s="269"/>
      <c r="H105" s="163" t="s">
        <v>90</v>
      </c>
      <c r="I105" s="294" t="s">
        <v>89</v>
      </c>
      <c r="J105" s="342">
        <v>3</v>
      </c>
      <c r="K105" s="355">
        <f>J105*$J$15*1000</f>
        <v>300000</v>
      </c>
      <c r="L105" s="632">
        <v>0.45</v>
      </c>
      <c r="M105" s="288">
        <f t="shared" si="11"/>
        <v>135000</v>
      </c>
      <c r="N105" s="399"/>
      <c r="O105" s="355"/>
      <c r="P105" s="355"/>
      <c r="Q105" s="355"/>
      <c r="R105" s="355"/>
      <c r="S105" s="355"/>
      <c r="T105" s="399"/>
    </row>
    <row r="106" spans="6:20" s="395" customFormat="1" x14ac:dyDescent="0.2">
      <c r="F106" s="269"/>
      <c r="G106" s="269"/>
      <c r="H106" s="272" t="s">
        <v>91</v>
      </c>
      <c r="I106" s="294" t="s">
        <v>89</v>
      </c>
      <c r="J106" s="342">
        <v>3</v>
      </c>
      <c r="K106" s="355">
        <f>J106*$J$15*1000</f>
        <v>300000</v>
      </c>
      <c r="L106" s="632">
        <v>0.25</v>
      </c>
      <c r="M106" s="288">
        <f t="shared" si="11"/>
        <v>75000</v>
      </c>
      <c r="N106" s="399"/>
      <c r="O106" s="355"/>
      <c r="P106" s="355"/>
      <c r="Q106" s="355"/>
      <c r="R106" s="355"/>
      <c r="S106" s="355"/>
      <c r="T106" s="399"/>
    </row>
    <row r="107" spans="6:20" s="395" customFormat="1" x14ac:dyDescent="0.2">
      <c r="F107" s="269"/>
      <c r="G107" s="269"/>
      <c r="H107" s="268" t="s">
        <v>88</v>
      </c>
      <c r="I107" s="294" t="s">
        <v>89</v>
      </c>
      <c r="J107" s="342">
        <v>0.5</v>
      </c>
      <c r="K107" s="355">
        <f>J107*$J$15*1000</f>
        <v>50000</v>
      </c>
      <c r="L107" s="632">
        <v>2</v>
      </c>
      <c r="M107" s="288">
        <f t="shared" si="11"/>
        <v>100000</v>
      </c>
      <c r="N107" s="399"/>
      <c r="O107" s="367" t="s">
        <v>92</v>
      </c>
      <c r="P107" s="355"/>
      <c r="Q107" s="355"/>
      <c r="R107" s="355"/>
      <c r="S107" s="355"/>
      <c r="T107" s="399"/>
    </row>
    <row r="108" spans="6:20" s="395" customFormat="1" x14ac:dyDescent="0.2">
      <c r="F108" s="269"/>
      <c r="G108" s="269"/>
      <c r="H108" s="272" t="s">
        <v>93</v>
      </c>
      <c r="I108" s="294" t="s">
        <v>89</v>
      </c>
      <c r="J108" s="342">
        <v>0.5</v>
      </c>
      <c r="K108" s="355">
        <f>J108*$J$15*1000</f>
        <v>50000</v>
      </c>
      <c r="L108" s="632">
        <v>1</v>
      </c>
      <c r="M108" s="288">
        <f t="shared" si="11"/>
        <v>50000</v>
      </c>
      <c r="N108" s="399"/>
      <c r="O108" s="367" t="s">
        <v>94</v>
      </c>
      <c r="P108" s="355"/>
      <c r="Q108" s="355"/>
      <c r="R108" s="355"/>
      <c r="S108" s="355"/>
      <c r="T108" s="399"/>
    </row>
    <row r="109" spans="6:20" s="395" customFormat="1" x14ac:dyDescent="0.2">
      <c r="F109" s="269"/>
      <c r="G109" s="269"/>
      <c r="H109" s="272" t="s">
        <v>95</v>
      </c>
      <c r="I109" s="294" t="s">
        <v>96</v>
      </c>
      <c r="J109" s="342">
        <v>300</v>
      </c>
      <c r="K109" s="355">
        <f>J109*$J$17</f>
        <v>100740</v>
      </c>
      <c r="L109" s="632">
        <v>0.65</v>
      </c>
      <c r="M109" s="288">
        <f t="shared" si="11"/>
        <v>65481</v>
      </c>
      <c r="N109" s="399"/>
      <c r="O109" s="367" t="s">
        <v>97</v>
      </c>
      <c r="P109" s="355"/>
      <c r="Q109" s="355"/>
      <c r="R109" s="355"/>
      <c r="S109" s="355"/>
      <c r="T109" s="399"/>
    </row>
    <row r="110" spans="6:20" s="395" customFormat="1" x14ac:dyDescent="0.2">
      <c r="F110" s="269"/>
      <c r="G110" s="269"/>
      <c r="H110" s="272" t="s">
        <v>98</v>
      </c>
      <c r="I110" s="294" t="s">
        <v>96</v>
      </c>
      <c r="J110" s="342">
        <v>50</v>
      </c>
      <c r="K110" s="355">
        <f>J110*$J$17</f>
        <v>16790</v>
      </c>
      <c r="L110" s="632">
        <v>0.65</v>
      </c>
      <c r="M110" s="288">
        <f t="shared" si="11"/>
        <v>10913.5</v>
      </c>
      <c r="N110" s="399"/>
      <c r="O110" s="367" t="s">
        <v>99</v>
      </c>
      <c r="P110" s="355"/>
      <c r="Q110" s="355"/>
      <c r="R110" s="355"/>
      <c r="S110" s="355"/>
      <c r="T110" s="399"/>
    </row>
    <row r="111" spans="6:20" s="395" customFormat="1" x14ac:dyDescent="0.2">
      <c r="F111" s="269"/>
      <c r="G111" s="269"/>
      <c r="H111" s="163" t="s">
        <v>612</v>
      </c>
      <c r="I111" s="294" t="s">
        <v>101</v>
      </c>
      <c r="J111" s="342">
        <v>50</v>
      </c>
      <c r="K111" s="355">
        <f>Q111*J111</f>
        <v>1500</v>
      </c>
      <c r="L111" s="632">
        <v>100</v>
      </c>
      <c r="M111" s="288">
        <f t="shared" si="11"/>
        <v>150000</v>
      </c>
      <c r="N111" s="399"/>
      <c r="O111" s="367" t="s">
        <v>102</v>
      </c>
      <c r="P111" s="355"/>
      <c r="Q111" s="364">
        <v>30</v>
      </c>
      <c r="R111" s="367" t="s">
        <v>103</v>
      </c>
      <c r="S111" s="355"/>
      <c r="T111" s="399"/>
    </row>
    <row r="112" spans="6:20" s="395" customFormat="1" x14ac:dyDescent="0.2">
      <c r="F112" s="269"/>
      <c r="G112" s="269"/>
      <c r="H112" s="163" t="s">
        <v>613</v>
      </c>
      <c r="I112" s="294" t="s">
        <v>110</v>
      </c>
      <c r="J112" s="442">
        <v>300</v>
      </c>
      <c r="K112" s="355">
        <f>J112*$J$15*1000</f>
        <v>30000000</v>
      </c>
      <c r="L112" s="632">
        <v>0.2</v>
      </c>
      <c r="M112" s="288">
        <f t="shared" si="11"/>
        <v>6000000</v>
      </c>
      <c r="N112" s="399"/>
      <c r="O112" s="367"/>
      <c r="P112" s="355"/>
      <c r="Q112" s="364"/>
      <c r="R112" s="367"/>
      <c r="S112" s="355"/>
      <c r="T112" s="399"/>
    </row>
    <row r="113" spans="1:26" s="395" customFormat="1" x14ac:dyDescent="0.2">
      <c r="F113" s="269"/>
      <c r="G113" s="269"/>
      <c r="H113" s="272" t="s">
        <v>104</v>
      </c>
      <c r="I113" s="294" t="s">
        <v>89</v>
      </c>
      <c r="J113" s="633">
        <v>5</v>
      </c>
      <c r="K113" s="355">
        <f>J113*$J$15*1000</f>
        <v>500000</v>
      </c>
      <c r="L113" s="632">
        <v>1</v>
      </c>
      <c r="M113" s="288">
        <f t="shared" si="11"/>
        <v>500000</v>
      </c>
      <c r="N113" s="399"/>
      <c r="O113" s="355"/>
      <c r="P113" s="355"/>
      <c r="Q113" s="355"/>
      <c r="R113" s="355"/>
      <c r="S113" s="355"/>
      <c r="T113" s="399"/>
    </row>
    <row r="114" spans="1:26" s="395" customFormat="1" x14ac:dyDescent="0.2">
      <c r="F114" s="269"/>
      <c r="G114" s="269"/>
      <c r="H114" s="272"/>
      <c r="I114" s="294"/>
      <c r="J114" s="272"/>
      <c r="K114" s="272"/>
      <c r="L114" s="272"/>
      <c r="M114" s="288"/>
      <c r="N114" s="399"/>
      <c r="O114" s="355"/>
      <c r="P114" s="355"/>
      <c r="Q114" s="355"/>
      <c r="R114" s="355"/>
      <c r="S114" s="355"/>
      <c r="T114" s="399"/>
    </row>
    <row r="115" spans="1:26" x14ac:dyDescent="0.2">
      <c r="F115" s="269"/>
      <c r="G115" s="269"/>
      <c r="H115" s="287" t="s">
        <v>105</v>
      </c>
      <c r="I115" s="294"/>
      <c r="J115" s="272"/>
      <c r="K115" s="272"/>
      <c r="L115" s="272"/>
      <c r="M115" s="272"/>
      <c r="N115" s="399"/>
      <c r="O115" s="367" t="s">
        <v>106</v>
      </c>
      <c r="P115" s="355"/>
      <c r="Q115" s="355"/>
      <c r="R115" s="355"/>
      <c r="S115" s="355"/>
      <c r="T115" s="399"/>
    </row>
    <row r="116" spans="1:26" x14ac:dyDescent="0.2">
      <c r="F116" s="269"/>
      <c r="G116" s="269"/>
      <c r="H116" s="272" t="s">
        <v>107</v>
      </c>
      <c r="I116" s="294" t="s">
        <v>89</v>
      </c>
      <c r="J116" s="384">
        <v>0.6</v>
      </c>
      <c r="K116" s="355">
        <f t="shared" ref="K116:K121" si="12">J116*$J$15*1000</f>
        <v>60000</v>
      </c>
      <c r="L116" s="382">
        <v>1</v>
      </c>
      <c r="M116" s="288">
        <f t="shared" ref="M116:M121" si="13">K116*L116</f>
        <v>60000</v>
      </c>
      <c r="N116" s="399"/>
      <c r="O116" s="367" t="s">
        <v>106</v>
      </c>
      <c r="P116" s="355"/>
      <c r="Q116" s="355"/>
      <c r="R116" s="355"/>
      <c r="S116" s="355"/>
      <c r="T116" s="399"/>
    </row>
    <row r="117" spans="1:26" x14ac:dyDescent="0.2">
      <c r="F117" s="269"/>
      <c r="G117" s="269"/>
      <c r="H117" s="272" t="s">
        <v>95</v>
      </c>
      <c r="I117" s="294" t="s">
        <v>89</v>
      </c>
      <c r="J117" s="342"/>
      <c r="K117" s="355">
        <f t="shared" si="12"/>
        <v>0</v>
      </c>
      <c r="L117" s="382">
        <v>0.65</v>
      </c>
      <c r="M117" s="288">
        <f t="shared" si="13"/>
        <v>0</v>
      </c>
      <c r="N117" s="399"/>
      <c r="O117" s="367" t="s">
        <v>106</v>
      </c>
      <c r="P117" s="355"/>
      <c r="Q117" s="355"/>
      <c r="R117" s="355"/>
      <c r="S117" s="355"/>
      <c r="T117" s="399"/>
    </row>
    <row r="118" spans="1:26" x14ac:dyDescent="0.2">
      <c r="F118" s="269"/>
      <c r="G118" s="269"/>
      <c r="H118" s="272" t="s">
        <v>108</v>
      </c>
      <c r="I118" s="294" t="s">
        <v>89</v>
      </c>
      <c r="J118" s="384">
        <v>0.34</v>
      </c>
      <c r="K118" s="355">
        <f t="shared" si="12"/>
        <v>34000</v>
      </c>
      <c r="L118" s="382">
        <v>0.45</v>
      </c>
      <c r="M118" s="288">
        <f t="shared" si="13"/>
        <v>15300</v>
      </c>
      <c r="N118" s="399"/>
      <c r="O118" s="367" t="s">
        <v>106</v>
      </c>
      <c r="P118" s="355"/>
      <c r="Q118" s="355"/>
      <c r="R118" s="355"/>
      <c r="S118" s="355"/>
      <c r="T118" s="399"/>
    </row>
    <row r="119" spans="1:26" x14ac:dyDescent="0.2">
      <c r="F119" s="269"/>
      <c r="G119" s="269"/>
      <c r="H119" s="272" t="s">
        <v>109</v>
      </c>
      <c r="I119" s="294" t="s">
        <v>110</v>
      </c>
      <c r="J119" s="384"/>
      <c r="K119" s="355">
        <f t="shared" si="12"/>
        <v>0</v>
      </c>
      <c r="L119" s="382">
        <v>1</v>
      </c>
      <c r="M119" s="288">
        <f t="shared" si="13"/>
        <v>0</v>
      </c>
      <c r="N119" s="399"/>
      <c r="O119" s="367" t="s">
        <v>106</v>
      </c>
      <c r="P119" s="355"/>
      <c r="Q119" s="355"/>
      <c r="R119" s="355"/>
      <c r="S119" s="355"/>
      <c r="T119" s="399"/>
    </row>
    <row r="120" spans="1:26" x14ac:dyDescent="0.2">
      <c r="F120" s="269"/>
      <c r="G120" s="269"/>
      <c r="H120" s="272" t="s">
        <v>111</v>
      </c>
      <c r="I120" s="294" t="s">
        <v>110</v>
      </c>
      <c r="J120" s="382"/>
      <c r="K120" s="355">
        <f t="shared" si="12"/>
        <v>0</v>
      </c>
      <c r="L120" s="382">
        <v>2.5</v>
      </c>
      <c r="M120" s="288">
        <f t="shared" si="13"/>
        <v>0</v>
      </c>
      <c r="N120" s="399"/>
      <c r="O120" s="367" t="s">
        <v>106</v>
      </c>
      <c r="P120" s="355"/>
      <c r="Q120" s="355"/>
      <c r="R120" s="355"/>
      <c r="S120" s="355"/>
      <c r="T120" s="399"/>
    </row>
    <row r="121" spans="1:26" x14ac:dyDescent="0.2">
      <c r="F121" s="269"/>
      <c r="G121" s="269"/>
      <c r="H121" s="272" t="s">
        <v>112</v>
      </c>
      <c r="I121" s="294" t="s">
        <v>89</v>
      </c>
      <c r="J121" s="382"/>
      <c r="K121" s="355">
        <f t="shared" si="12"/>
        <v>0</v>
      </c>
      <c r="L121" s="382">
        <v>2</v>
      </c>
      <c r="M121" s="288">
        <f t="shared" si="13"/>
        <v>0</v>
      </c>
      <c r="N121" s="399"/>
      <c r="O121" s="355"/>
      <c r="P121" s="355"/>
      <c r="Q121" s="355"/>
      <c r="R121" s="355"/>
      <c r="S121" s="355"/>
      <c r="T121" s="399"/>
    </row>
    <row r="122" spans="1:26" x14ac:dyDescent="0.2">
      <c r="F122" s="269"/>
      <c r="G122" s="269"/>
      <c r="H122" s="272"/>
      <c r="I122" s="294"/>
      <c r="J122" s="382"/>
      <c r="K122" s="355"/>
      <c r="L122" s="272"/>
      <c r="M122" s="272"/>
      <c r="N122" s="399"/>
      <c r="O122" s="355"/>
      <c r="P122" s="355"/>
      <c r="Q122" s="355"/>
      <c r="R122" s="355"/>
      <c r="S122" s="354"/>
      <c r="T122" s="399"/>
    </row>
    <row r="123" spans="1:26" x14ac:dyDescent="0.2">
      <c r="F123" s="269"/>
      <c r="G123" s="269"/>
      <c r="H123" s="287" t="s">
        <v>614</v>
      </c>
      <c r="I123" s="271"/>
      <c r="J123" s="268"/>
      <c r="K123" s="268"/>
      <c r="L123" s="270"/>
      <c r="M123" s="272"/>
      <c r="N123" s="399"/>
      <c r="O123" s="354"/>
      <c r="P123" s="354"/>
      <c r="Q123" s="354"/>
      <c r="R123" s="354"/>
      <c r="S123" s="354"/>
      <c r="T123" s="399"/>
    </row>
    <row r="124" spans="1:26" x14ac:dyDescent="0.2">
      <c r="F124" s="269"/>
      <c r="G124" s="269"/>
      <c r="H124" s="272" t="s">
        <v>115</v>
      </c>
      <c r="I124" s="294" t="s">
        <v>422</v>
      </c>
      <c r="J124" s="382"/>
      <c r="K124" s="355">
        <f>J124*$K$74</f>
        <v>0</v>
      </c>
      <c r="L124" s="632">
        <v>0.23499999999999999</v>
      </c>
      <c r="M124" s="288">
        <f>K124*L124</f>
        <v>0</v>
      </c>
      <c r="N124" s="422"/>
      <c r="O124" s="355"/>
      <c r="P124" s="355"/>
      <c r="Q124" s="355"/>
      <c r="R124" s="355"/>
      <c r="S124" s="354"/>
      <c r="T124" s="399"/>
    </row>
    <row r="125" spans="1:26" s="380" customFormat="1" x14ac:dyDescent="0.2">
      <c r="F125" s="322"/>
      <c r="G125" s="322"/>
      <c r="H125" s="272" t="s">
        <v>123</v>
      </c>
      <c r="I125" s="294" t="s">
        <v>422</v>
      </c>
      <c r="J125" s="382"/>
      <c r="K125" s="355">
        <f>J125*$K$74</f>
        <v>0</v>
      </c>
      <c r="L125" s="641">
        <v>0.45</v>
      </c>
      <c r="M125" s="288">
        <f>K125*L125</f>
        <v>0</v>
      </c>
      <c r="N125" s="422"/>
      <c r="O125" s="355"/>
      <c r="P125" s="355"/>
      <c r="Q125" s="355"/>
      <c r="R125" s="355"/>
      <c r="S125" s="354"/>
      <c r="T125" s="399"/>
      <c r="U125" s="438"/>
      <c r="V125" s="438"/>
      <c r="W125" s="438"/>
      <c r="X125" s="438"/>
      <c r="Y125" s="438"/>
      <c r="Z125" s="438"/>
    </row>
    <row r="126" spans="1:26" s="380" customFormat="1" x14ac:dyDescent="0.2">
      <c r="F126" s="322"/>
      <c r="G126" s="322"/>
      <c r="H126" s="272" t="s">
        <v>117</v>
      </c>
      <c r="I126" s="294" t="s">
        <v>422</v>
      </c>
      <c r="J126" s="382"/>
      <c r="K126" s="355">
        <f>J126*$K$74</f>
        <v>0</v>
      </c>
      <c r="L126" s="641">
        <v>0.45</v>
      </c>
      <c r="M126" s="288">
        <f>K126*L126</f>
        <v>0</v>
      </c>
      <c r="N126" s="422"/>
      <c r="O126" s="355"/>
      <c r="P126" s="355"/>
      <c r="Q126" s="355"/>
      <c r="R126" s="355"/>
      <c r="S126" s="354"/>
      <c r="T126" s="399"/>
      <c r="U126" s="438"/>
      <c r="V126" s="438"/>
      <c r="W126" s="438"/>
      <c r="X126" s="438"/>
      <c r="Y126" s="438"/>
      <c r="Z126" s="438"/>
    </row>
    <row r="127" spans="1:26" s="380" customFormat="1" x14ac:dyDescent="0.2">
      <c r="A127" s="380" t="s">
        <v>704</v>
      </c>
      <c r="B127" s="380" t="s">
        <v>86</v>
      </c>
      <c r="F127" s="322"/>
      <c r="G127" s="322"/>
      <c r="H127" s="323" t="s">
        <v>126</v>
      </c>
      <c r="M127" s="370">
        <f>SUM(M95:M126)</f>
        <v>29950786.126470931</v>
      </c>
      <c r="N127" s="422"/>
      <c r="O127" s="355"/>
      <c r="P127" s="355"/>
      <c r="Q127" s="355"/>
      <c r="R127" s="355"/>
      <c r="S127" s="354"/>
      <c r="T127" s="399"/>
      <c r="U127" s="438"/>
      <c r="V127" s="438"/>
      <c r="W127" s="438"/>
      <c r="X127" s="438"/>
      <c r="Y127" s="438"/>
      <c r="Z127" s="438"/>
    </row>
    <row r="128" spans="1:26" s="380" customFormat="1" x14ac:dyDescent="0.2">
      <c r="F128" s="322"/>
      <c r="G128" s="381"/>
      <c r="H128" s="368"/>
      <c r="I128" s="369"/>
      <c r="J128" s="368"/>
      <c r="K128" s="368"/>
      <c r="L128" s="301"/>
      <c r="M128" s="368"/>
      <c r="N128" s="439"/>
      <c r="O128" s="440"/>
      <c r="P128" s="441"/>
      <c r="Q128" s="440"/>
      <c r="R128" s="440"/>
      <c r="S128" s="440"/>
      <c r="T128" s="439"/>
      <c r="U128" s="438"/>
      <c r="V128" s="438"/>
      <c r="W128" s="438"/>
      <c r="X128" s="438"/>
      <c r="Y128" s="438"/>
      <c r="Z128" s="438"/>
    </row>
    <row r="129" spans="1:20" ht="25.5" x14ac:dyDescent="0.2">
      <c r="F129" s="269"/>
      <c r="G129" s="331" t="s">
        <v>128</v>
      </c>
      <c r="H129" s="379" t="s">
        <v>129</v>
      </c>
      <c r="I129" s="279" t="s">
        <v>20</v>
      </c>
      <c r="J129" s="328" t="s">
        <v>71</v>
      </c>
      <c r="K129" s="328" t="s">
        <v>72</v>
      </c>
      <c r="L129" s="378" t="s">
        <v>73</v>
      </c>
      <c r="M129" s="328" t="s">
        <v>130</v>
      </c>
      <c r="N129" s="399"/>
      <c r="O129" s="432" t="s">
        <v>76</v>
      </c>
      <c r="P129" s="355"/>
      <c r="Q129" s="355"/>
      <c r="R129" s="355"/>
      <c r="S129" s="355"/>
      <c r="T129" s="399"/>
    </row>
    <row r="130" spans="1:20" x14ac:dyDescent="0.2">
      <c r="F130" s="269"/>
      <c r="G130" s="331"/>
      <c r="H130" s="287" t="s">
        <v>131</v>
      </c>
      <c r="I130" s="279"/>
      <c r="J130" s="328"/>
      <c r="K130" s="328"/>
      <c r="L130" s="378"/>
      <c r="M130" s="279"/>
      <c r="N130" s="399"/>
      <c r="O130" s="432"/>
      <c r="P130" s="355"/>
      <c r="Q130" s="355"/>
      <c r="R130" s="355"/>
      <c r="S130" s="355"/>
      <c r="T130" s="399"/>
    </row>
    <row r="131" spans="1:20" s="395" customFormat="1" x14ac:dyDescent="0.2">
      <c r="E131" s="216">
        <v>0</v>
      </c>
      <c r="F131" s="269"/>
      <c r="G131" s="269"/>
      <c r="H131" s="163" t="s">
        <v>615</v>
      </c>
      <c r="I131" s="294" t="s">
        <v>133</v>
      </c>
      <c r="J131" s="342">
        <v>1.9</v>
      </c>
      <c r="K131" s="355">
        <f>J131*$J$15*1000</f>
        <v>190000</v>
      </c>
      <c r="L131" s="357">
        <v>5</v>
      </c>
      <c r="M131" s="288">
        <f>K131*L131</f>
        <v>950000</v>
      </c>
      <c r="N131" s="399"/>
      <c r="O131" s="367" t="s">
        <v>136</v>
      </c>
      <c r="P131" s="355"/>
      <c r="Q131" s="355"/>
      <c r="R131" s="355"/>
      <c r="S131" s="355"/>
      <c r="T131" s="399"/>
    </row>
    <row r="132" spans="1:20" s="395" customFormat="1" x14ac:dyDescent="0.2">
      <c r="E132" s="216"/>
      <c r="F132" s="269"/>
      <c r="G132" s="269"/>
      <c r="H132" s="163" t="s">
        <v>616</v>
      </c>
      <c r="I132" s="294" t="s">
        <v>133</v>
      </c>
      <c r="J132" s="342">
        <v>1.9</v>
      </c>
      <c r="K132" s="355">
        <f>J132*$J$15*1000</f>
        <v>190000</v>
      </c>
      <c r="L132" s="270">
        <f>L131</f>
        <v>5</v>
      </c>
      <c r="M132" s="288">
        <f>K132*L132</f>
        <v>950000</v>
      </c>
      <c r="N132" s="399"/>
      <c r="O132" s="367"/>
      <c r="P132" s="355"/>
      <c r="Q132" s="355"/>
      <c r="R132" s="355"/>
      <c r="S132" s="355"/>
      <c r="T132" s="399"/>
    </row>
    <row r="133" spans="1:20" s="395" customFormat="1" x14ac:dyDescent="0.2">
      <c r="E133" s="216">
        <v>1</v>
      </c>
      <c r="F133" s="269"/>
      <c r="G133" s="269"/>
      <c r="H133" s="272" t="s">
        <v>162</v>
      </c>
      <c r="I133" s="294" t="s">
        <v>133</v>
      </c>
      <c r="J133" s="342">
        <v>1.9</v>
      </c>
      <c r="K133" s="355">
        <f>J133*$J$15*1000</f>
        <v>190000</v>
      </c>
      <c r="L133" s="270">
        <f>L131</f>
        <v>5</v>
      </c>
      <c r="M133" s="288">
        <f>K133*L133</f>
        <v>950000</v>
      </c>
      <c r="N133" s="399"/>
      <c r="O133" s="367" t="s">
        <v>136</v>
      </c>
      <c r="P133" s="355"/>
      <c r="Q133" s="355"/>
      <c r="R133" s="355"/>
      <c r="S133" s="355"/>
      <c r="T133" s="399"/>
    </row>
    <row r="134" spans="1:20" s="395" customFormat="1" x14ac:dyDescent="0.2">
      <c r="E134" s="216">
        <v>1</v>
      </c>
      <c r="F134" s="269"/>
      <c r="G134" s="269"/>
      <c r="H134" s="272" t="s">
        <v>163</v>
      </c>
      <c r="I134" s="294" t="s">
        <v>133</v>
      </c>
      <c r="J134" s="342">
        <v>0.63</v>
      </c>
      <c r="K134" s="355">
        <f>J134*$J$15*1000</f>
        <v>63000</v>
      </c>
      <c r="L134" s="270">
        <f>L133</f>
        <v>5</v>
      </c>
      <c r="M134" s="288">
        <f>K134*L134</f>
        <v>315000</v>
      </c>
      <c r="N134" s="399"/>
      <c r="O134" s="367" t="s">
        <v>136</v>
      </c>
      <c r="P134" s="355"/>
      <c r="Q134" s="355"/>
      <c r="R134" s="355"/>
      <c r="S134" s="355"/>
      <c r="T134" s="399"/>
    </row>
    <row r="135" spans="1:20" s="395" customFormat="1" x14ac:dyDescent="0.2">
      <c r="E135" s="216"/>
      <c r="F135" s="269"/>
      <c r="G135" s="269"/>
      <c r="H135" s="272"/>
      <c r="I135" s="294"/>
      <c r="J135" s="342"/>
      <c r="K135" s="336"/>
      <c r="L135" s="270"/>
      <c r="M135" s="288"/>
      <c r="N135" s="399"/>
      <c r="O135" s="367"/>
      <c r="P135" s="355"/>
      <c r="Q135" s="355"/>
      <c r="R135" s="355"/>
      <c r="S135" s="355"/>
      <c r="T135" s="399"/>
    </row>
    <row r="136" spans="1:20" s="395" customFormat="1" x14ac:dyDescent="0.2">
      <c r="A136" s="395" t="s">
        <v>705</v>
      </c>
      <c r="B136" s="395" t="s">
        <v>131</v>
      </c>
      <c r="F136" s="269"/>
      <c r="G136" s="269"/>
      <c r="H136" s="323" t="s">
        <v>137</v>
      </c>
      <c r="I136" s="294"/>
      <c r="J136" s="272"/>
      <c r="K136" s="355"/>
      <c r="L136" s="270"/>
      <c r="M136" s="370">
        <f>SUM(M131:M135)</f>
        <v>3165000</v>
      </c>
      <c r="N136" s="399"/>
      <c r="O136" s="367"/>
      <c r="P136" s="355"/>
      <c r="Q136" s="355"/>
      <c r="R136" s="355"/>
      <c r="S136" s="355"/>
      <c r="T136" s="399"/>
    </row>
    <row r="137" spans="1:20" s="395" customFormat="1" x14ac:dyDescent="0.2">
      <c r="F137" s="269"/>
      <c r="G137" s="269"/>
      <c r="H137" s="287" t="s">
        <v>140</v>
      </c>
      <c r="I137" s="294"/>
      <c r="J137" s="272"/>
      <c r="K137" s="355"/>
      <c r="L137" s="270"/>
      <c r="M137" s="288"/>
      <c r="N137" s="399"/>
      <c r="O137" s="367"/>
      <c r="P137" s="355"/>
      <c r="Q137" s="355"/>
      <c r="R137" s="355"/>
      <c r="S137" s="355"/>
      <c r="T137" s="399"/>
    </row>
    <row r="138" spans="1:20" s="395" customFormat="1" x14ac:dyDescent="0.2">
      <c r="E138" s="216">
        <v>1</v>
      </c>
      <c r="F138" s="269"/>
      <c r="G138" s="269"/>
      <c r="H138" s="272" t="s">
        <v>141</v>
      </c>
      <c r="I138" s="294" t="s">
        <v>133</v>
      </c>
      <c r="J138" s="342">
        <v>1.9</v>
      </c>
      <c r="K138" s="355">
        <f>J138*$J$15*1000</f>
        <v>190000</v>
      </c>
      <c r="L138" s="270"/>
      <c r="M138" s="288">
        <f>K138*L138</f>
        <v>0</v>
      </c>
      <c r="N138" s="399"/>
      <c r="O138" s="367" t="s">
        <v>427</v>
      </c>
      <c r="P138" s="355"/>
      <c r="Q138" s="355"/>
      <c r="R138" s="355"/>
      <c r="S138" s="355"/>
      <c r="T138" s="399"/>
    </row>
    <row r="139" spans="1:20" s="395" customFormat="1" x14ac:dyDescent="0.2">
      <c r="E139" s="216">
        <v>1</v>
      </c>
      <c r="F139" s="269"/>
      <c r="G139" s="269"/>
      <c r="H139" s="272" t="s">
        <v>143</v>
      </c>
      <c r="I139" s="294" t="s">
        <v>133</v>
      </c>
      <c r="J139" s="342">
        <v>0.63</v>
      </c>
      <c r="K139" s="355">
        <f>J139*$J$15*1000</f>
        <v>63000</v>
      </c>
      <c r="L139" s="270"/>
      <c r="M139" s="288">
        <f>K139*L139</f>
        <v>0</v>
      </c>
      <c r="N139" s="399"/>
      <c r="O139" s="367" t="s">
        <v>427</v>
      </c>
      <c r="P139" s="355"/>
      <c r="Q139" s="355"/>
      <c r="R139" s="355"/>
      <c r="S139" s="355"/>
      <c r="T139" s="399"/>
    </row>
    <row r="140" spans="1:20" s="395" customFormat="1" x14ac:dyDescent="0.2">
      <c r="E140" s="216">
        <v>1</v>
      </c>
      <c r="F140" s="269"/>
      <c r="G140" s="269"/>
      <c r="H140" s="272" t="s">
        <v>144</v>
      </c>
      <c r="I140" s="294" t="s">
        <v>133</v>
      </c>
      <c r="J140" s="342">
        <v>4.0999999999999996</v>
      </c>
      <c r="K140" s="355">
        <f>J140*$J$15*1000</f>
        <v>409999.99999999994</v>
      </c>
      <c r="L140" s="357">
        <v>3</v>
      </c>
      <c r="M140" s="288">
        <f>K140*L140</f>
        <v>1229999.9999999998</v>
      </c>
      <c r="N140" s="399"/>
      <c r="O140" s="367" t="s">
        <v>145</v>
      </c>
      <c r="P140" s="355"/>
      <c r="Q140" s="355"/>
      <c r="R140" s="355"/>
      <c r="S140" s="355"/>
      <c r="T140" s="399"/>
    </row>
    <row r="141" spans="1:20" s="395" customFormat="1" x14ac:dyDescent="0.2">
      <c r="F141" s="269"/>
      <c r="G141" s="269"/>
      <c r="H141" s="268"/>
      <c r="I141" s="271"/>
      <c r="J141" s="268"/>
      <c r="K141" s="268"/>
      <c r="L141" s="270"/>
      <c r="M141" s="268"/>
      <c r="N141" s="399"/>
      <c r="O141" s="355"/>
      <c r="P141" s="355"/>
      <c r="Q141" s="355"/>
      <c r="R141" s="355"/>
      <c r="S141" s="355"/>
      <c r="T141" s="399"/>
    </row>
    <row r="142" spans="1:20" s="395" customFormat="1" x14ac:dyDescent="0.2">
      <c r="F142" s="269"/>
      <c r="G142" s="269"/>
      <c r="H142" s="287" t="s">
        <v>139</v>
      </c>
      <c r="I142" s="271"/>
      <c r="J142" s="268"/>
      <c r="K142" s="268"/>
      <c r="L142" s="270"/>
      <c r="M142" s="268"/>
      <c r="N142" s="399"/>
      <c r="O142" s="355"/>
      <c r="P142" s="355"/>
      <c r="Q142" s="325"/>
      <c r="R142" s="325"/>
      <c r="S142" s="355"/>
      <c r="T142" s="399"/>
    </row>
    <row r="143" spans="1:20" s="395" customFormat="1" x14ac:dyDescent="0.2">
      <c r="E143" s="217">
        <v>0</v>
      </c>
      <c r="F143" s="269"/>
      <c r="G143" s="269"/>
      <c r="H143" s="163" t="s">
        <v>617</v>
      </c>
      <c r="I143" s="294" t="s">
        <v>150</v>
      </c>
      <c r="J143" s="342">
        <v>4</v>
      </c>
      <c r="K143" s="355">
        <f>J143*$J$15*1000</f>
        <v>400000</v>
      </c>
      <c r="L143" s="357">
        <v>1</v>
      </c>
      <c r="M143" s="634">
        <f>L$143*K143</f>
        <v>400000</v>
      </c>
      <c r="N143" s="399"/>
      <c r="O143" s="367"/>
      <c r="P143" s="355"/>
      <c r="Q143" s="355"/>
      <c r="R143" s="355"/>
      <c r="S143" s="355"/>
      <c r="T143" s="399"/>
    </row>
    <row r="144" spans="1:20" s="395" customFormat="1" x14ac:dyDescent="0.2">
      <c r="E144" s="217">
        <v>0</v>
      </c>
      <c r="F144" s="269"/>
      <c r="G144" s="269"/>
      <c r="H144" s="163" t="s">
        <v>618</v>
      </c>
      <c r="I144" s="294" t="s">
        <v>150</v>
      </c>
      <c r="J144" s="342">
        <v>50</v>
      </c>
      <c r="K144" s="355">
        <f>J144*$J$15*1000</f>
        <v>5000000</v>
      </c>
      <c r="L144" s="270"/>
      <c r="M144" s="634">
        <f>L144*K144</f>
        <v>0</v>
      </c>
      <c r="N144" s="399"/>
      <c r="O144" s="355" t="s">
        <v>511</v>
      </c>
      <c r="P144" s="355"/>
      <c r="Q144" s="355"/>
      <c r="R144" s="355"/>
      <c r="S144" s="355"/>
      <c r="T144" s="399"/>
    </row>
    <row r="145" spans="1:20" s="395" customFormat="1" x14ac:dyDescent="0.2">
      <c r="E145" s="217">
        <v>1</v>
      </c>
      <c r="F145" s="269"/>
      <c r="G145" s="269"/>
      <c r="H145" s="272" t="s">
        <v>153</v>
      </c>
      <c r="I145" s="294" t="s">
        <v>150</v>
      </c>
      <c r="J145" s="342">
        <v>90</v>
      </c>
      <c r="K145" s="355">
        <f>J145*$J$15*1000</f>
        <v>9000000</v>
      </c>
      <c r="L145" s="270"/>
      <c r="M145" s="634">
        <f>L145*K145</f>
        <v>0</v>
      </c>
      <c r="N145" s="399"/>
      <c r="O145" s="376"/>
      <c r="P145" s="355"/>
      <c r="Q145" s="355"/>
      <c r="R145" s="355"/>
      <c r="S145" s="355"/>
      <c r="T145" s="399"/>
    </row>
    <row r="146" spans="1:20" s="395" customFormat="1" x14ac:dyDescent="0.2">
      <c r="E146" s="217">
        <v>1</v>
      </c>
      <c r="F146" s="269"/>
      <c r="G146" s="269"/>
      <c r="H146" s="272" t="s">
        <v>154</v>
      </c>
      <c r="I146" s="294" t="s">
        <v>150</v>
      </c>
      <c r="J146" s="342">
        <v>50</v>
      </c>
      <c r="K146" s="355">
        <f>J146*$J$15*1000</f>
        <v>5000000</v>
      </c>
      <c r="L146" s="270"/>
      <c r="M146" s="634">
        <f>L146*K146</f>
        <v>0</v>
      </c>
      <c r="N146" s="399"/>
      <c r="O146" s="367"/>
      <c r="P146" s="355"/>
      <c r="Q146" s="355"/>
      <c r="R146" s="355"/>
      <c r="S146" s="355"/>
      <c r="T146" s="399"/>
    </row>
    <row r="147" spans="1:20" s="395" customFormat="1" x14ac:dyDescent="0.2">
      <c r="E147" s="217">
        <v>1</v>
      </c>
      <c r="F147" s="269"/>
      <c r="G147" s="269"/>
      <c r="H147" s="272" t="s">
        <v>155</v>
      </c>
      <c r="I147" s="294" t="s">
        <v>150</v>
      </c>
      <c r="J147" s="342">
        <v>10</v>
      </c>
      <c r="K147" s="355">
        <f>J147*$J$15*1000</f>
        <v>1000000</v>
      </c>
      <c r="L147" s="270"/>
      <c r="M147" s="634">
        <f>L147*K147</f>
        <v>0</v>
      </c>
      <c r="N147" s="399"/>
      <c r="O147" s="367"/>
      <c r="P147" s="355"/>
      <c r="Q147" s="355"/>
      <c r="R147" s="355"/>
      <c r="S147" s="355"/>
      <c r="T147" s="399"/>
    </row>
    <row r="148" spans="1:20" s="395" customFormat="1" x14ac:dyDescent="0.2">
      <c r="F148" s="269"/>
      <c r="G148" s="269"/>
      <c r="H148" s="366" t="s">
        <v>156</v>
      </c>
      <c r="I148" s="366" t="s">
        <v>65</v>
      </c>
      <c r="J148" s="287"/>
      <c r="K148" s="376">
        <f>SUM(K144:K147)</f>
        <v>20000000</v>
      </c>
      <c r="L148" s="323"/>
      <c r="M148" s="642">
        <f>SUM(M143:M147)</f>
        <v>400000</v>
      </c>
      <c r="N148" s="399"/>
      <c r="O148" s="367"/>
      <c r="P148" s="355"/>
      <c r="Q148" s="355"/>
      <c r="R148" s="355"/>
      <c r="S148" s="355"/>
      <c r="T148" s="399"/>
    </row>
    <row r="149" spans="1:20" s="395" customFormat="1" x14ac:dyDescent="0.2">
      <c r="F149" s="269"/>
      <c r="G149" s="269"/>
      <c r="H149" s="656" t="s">
        <v>855</v>
      </c>
      <c r="I149" s="294" t="s">
        <v>157</v>
      </c>
      <c r="J149" s="332">
        <v>0.1</v>
      </c>
      <c r="K149" s="355">
        <f>J149*K148</f>
        <v>2000000</v>
      </c>
      <c r="L149" s="270">
        <f>L143</f>
        <v>1</v>
      </c>
      <c r="M149" s="634">
        <f>L149*K149</f>
        <v>2000000</v>
      </c>
      <c r="N149" s="399"/>
      <c r="O149" s="367"/>
      <c r="P149" s="355"/>
      <c r="Q149" s="355"/>
      <c r="R149" s="355"/>
      <c r="S149" s="355"/>
      <c r="T149" s="399"/>
    </row>
    <row r="150" spans="1:20" s="395" customFormat="1" x14ac:dyDescent="0.2">
      <c r="A150" s="395" t="s">
        <v>706</v>
      </c>
      <c r="B150" s="395" t="s">
        <v>139</v>
      </c>
      <c r="F150" s="269"/>
      <c r="G150" s="269"/>
      <c r="H150" s="323" t="s">
        <v>158</v>
      </c>
      <c r="I150" s="271"/>
      <c r="J150" s="268"/>
      <c r="K150" s="268"/>
      <c r="L150" s="270"/>
      <c r="M150" s="628">
        <f>SUM(M148:M149,M140)</f>
        <v>3630000</v>
      </c>
      <c r="N150" s="399"/>
      <c r="O150" s="355"/>
      <c r="P150" s="355"/>
      <c r="Q150" s="355"/>
      <c r="R150" s="355"/>
      <c r="S150" s="355"/>
      <c r="T150" s="399"/>
    </row>
    <row r="151" spans="1:20" s="395" customFormat="1" x14ac:dyDescent="0.2">
      <c r="F151" s="269"/>
      <c r="G151" s="269"/>
      <c r="H151" s="287" t="s">
        <v>159</v>
      </c>
      <c r="I151" s="271"/>
      <c r="J151" s="268"/>
      <c r="K151" s="272"/>
      <c r="L151" s="270"/>
      <c r="M151" s="619"/>
      <c r="N151" s="399"/>
      <c r="O151" s="355"/>
      <c r="P151" s="355"/>
      <c r="Q151" s="355"/>
      <c r="R151" s="355"/>
      <c r="S151" s="355"/>
      <c r="T151" s="399"/>
    </row>
    <row r="152" spans="1:20" s="395" customFormat="1" x14ac:dyDescent="0.2">
      <c r="E152" s="216">
        <v>0</v>
      </c>
      <c r="F152" s="269"/>
      <c r="G152" s="269"/>
      <c r="H152" s="163" t="s">
        <v>619</v>
      </c>
      <c r="I152" s="294" t="s">
        <v>161</v>
      </c>
      <c r="J152" s="436">
        <v>35</v>
      </c>
      <c r="K152" s="355">
        <f t="shared" ref="K152:K159" si="14">J152*$J$15*1000</f>
        <v>3500000</v>
      </c>
      <c r="L152" s="375"/>
      <c r="M152" s="634">
        <f t="shared" ref="M152:M160" si="15">K152*$L$161</f>
        <v>140000</v>
      </c>
      <c r="N152" s="399"/>
      <c r="O152" s="355"/>
      <c r="P152" s="367"/>
      <c r="Q152" s="355"/>
      <c r="R152" s="355"/>
      <c r="S152" s="355"/>
      <c r="T152" s="399"/>
    </row>
    <row r="153" spans="1:20" s="395" customFormat="1" x14ac:dyDescent="0.2">
      <c r="E153" s="216">
        <v>1</v>
      </c>
      <c r="F153" s="269"/>
      <c r="G153" s="269"/>
      <c r="H153" s="163" t="s">
        <v>616</v>
      </c>
      <c r="I153" s="294" t="s">
        <v>161</v>
      </c>
      <c r="J153" s="436">
        <v>35</v>
      </c>
      <c r="K153" s="355">
        <f t="shared" si="14"/>
        <v>3500000</v>
      </c>
      <c r="L153" s="375"/>
      <c r="M153" s="288">
        <f t="shared" si="15"/>
        <v>140000</v>
      </c>
      <c r="N153" s="399"/>
      <c r="O153" s="355"/>
      <c r="P153" s="355"/>
      <c r="Q153" s="355"/>
      <c r="R153" s="355"/>
      <c r="S153" s="355"/>
      <c r="T153" s="399"/>
    </row>
    <row r="154" spans="1:20" s="395" customFormat="1" x14ac:dyDescent="0.2">
      <c r="E154" s="216">
        <v>1</v>
      </c>
      <c r="F154" s="269"/>
      <c r="G154" s="269"/>
      <c r="H154" s="163" t="s">
        <v>620</v>
      </c>
      <c r="I154" s="294" t="s">
        <v>161</v>
      </c>
      <c r="J154" s="436">
        <v>100</v>
      </c>
      <c r="K154" s="355">
        <f t="shared" si="14"/>
        <v>10000000</v>
      </c>
      <c r="L154" s="375"/>
      <c r="M154" s="288">
        <f t="shared" si="15"/>
        <v>400000</v>
      </c>
      <c r="N154" s="399"/>
      <c r="O154" s="355"/>
      <c r="P154" s="355"/>
      <c r="Q154" s="355"/>
      <c r="R154" s="355"/>
      <c r="S154" s="355"/>
      <c r="T154" s="399"/>
    </row>
    <row r="155" spans="1:20" s="395" customFormat="1" x14ac:dyDescent="0.2">
      <c r="E155" s="216">
        <v>1</v>
      </c>
      <c r="F155" s="269"/>
      <c r="G155" s="269"/>
      <c r="H155" s="272" t="s">
        <v>162</v>
      </c>
      <c r="I155" s="294" t="s">
        <v>161</v>
      </c>
      <c r="J155" s="437">
        <v>24</v>
      </c>
      <c r="K155" s="355">
        <f t="shared" si="14"/>
        <v>2400000</v>
      </c>
      <c r="L155" s="375"/>
      <c r="M155" s="288">
        <f t="shared" si="15"/>
        <v>96000</v>
      </c>
      <c r="N155" s="399"/>
      <c r="O155" s="355"/>
      <c r="P155" s="355"/>
      <c r="Q155" s="355"/>
      <c r="R155" s="355"/>
      <c r="S155" s="355"/>
      <c r="T155" s="399"/>
    </row>
    <row r="156" spans="1:20" s="395" customFormat="1" x14ac:dyDescent="0.2">
      <c r="E156" s="216">
        <v>1</v>
      </c>
      <c r="F156" s="269"/>
      <c r="G156" s="269"/>
      <c r="H156" s="272" t="s">
        <v>163</v>
      </c>
      <c r="I156" s="294" t="s">
        <v>161</v>
      </c>
      <c r="J156" s="437">
        <v>9</v>
      </c>
      <c r="K156" s="355">
        <f t="shared" si="14"/>
        <v>900000</v>
      </c>
      <c r="L156" s="375"/>
      <c r="M156" s="288">
        <f t="shared" si="15"/>
        <v>36000</v>
      </c>
      <c r="N156" s="399"/>
      <c r="O156" s="355"/>
      <c r="P156" s="355"/>
      <c r="Q156" s="355"/>
      <c r="R156" s="355"/>
      <c r="S156" s="355"/>
      <c r="T156" s="399"/>
    </row>
    <row r="157" spans="1:20" s="395" customFormat="1" x14ac:dyDescent="0.2">
      <c r="E157" s="216">
        <v>1</v>
      </c>
      <c r="F157" s="269"/>
      <c r="G157" s="269"/>
      <c r="H157" s="163" t="s">
        <v>621</v>
      </c>
      <c r="I157" s="294" t="s">
        <v>161</v>
      </c>
      <c r="J157" s="436">
        <v>15</v>
      </c>
      <c r="K157" s="355">
        <f t="shared" si="14"/>
        <v>1500000</v>
      </c>
      <c r="L157" s="375"/>
      <c r="M157" s="288">
        <f t="shared" si="15"/>
        <v>60000</v>
      </c>
      <c r="N157" s="399"/>
      <c r="O157" s="355"/>
      <c r="P157" s="355"/>
      <c r="Q157" s="355"/>
      <c r="R157" s="355"/>
      <c r="S157" s="355"/>
      <c r="T157" s="399"/>
    </row>
    <row r="158" spans="1:20" s="395" customFormat="1" x14ac:dyDescent="0.2">
      <c r="E158" s="216">
        <v>1</v>
      </c>
      <c r="F158" s="269"/>
      <c r="G158" s="269"/>
      <c r="H158" s="272" t="s">
        <v>167</v>
      </c>
      <c r="I158" s="294" t="s">
        <v>168</v>
      </c>
      <c r="J158" s="436">
        <v>150</v>
      </c>
      <c r="K158" s="355">
        <f>J158*$J$17</f>
        <v>50370</v>
      </c>
      <c r="L158" s="375"/>
      <c r="M158" s="288">
        <f t="shared" si="15"/>
        <v>2014.8</v>
      </c>
      <c r="N158" s="399"/>
      <c r="O158" s="355"/>
      <c r="P158" s="355"/>
      <c r="Q158" s="355"/>
      <c r="R158" s="355"/>
      <c r="S158" s="355"/>
      <c r="T158" s="399"/>
    </row>
    <row r="159" spans="1:20" s="395" customFormat="1" x14ac:dyDescent="0.2">
      <c r="E159" s="216"/>
      <c r="F159" s="269"/>
      <c r="G159" s="269"/>
      <c r="H159" s="163" t="s">
        <v>622</v>
      </c>
      <c r="I159" s="294" t="s">
        <v>161</v>
      </c>
      <c r="J159" s="436">
        <v>5</v>
      </c>
      <c r="K159" s="355">
        <f t="shared" si="14"/>
        <v>500000</v>
      </c>
      <c r="L159" s="375"/>
      <c r="M159" s="288">
        <f t="shared" si="15"/>
        <v>20000</v>
      </c>
      <c r="N159" s="399"/>
      <c r="O159" s="355"/>
      <c r="P159" s="355"/>
      <c r="Q159" s="355"/>
      <c r="R159" s="355"/>
      <c r="S159" s="355"/>
      <c r="T159" s="399"/>
    </row>
    <row r="160" spans="1:20" s="395" customFormat="1" x14ac:dyDescent="0.2">
      <c r="E160" s="216">
        <v>1</v>
      </c>
      <c r="F160" s="269"/>
      <c r="G160" s="269"/>
      <c r="H160" s="272" t="s">
        <v>169</v>
      </c>
      <c r="I160" s="294" t="s">
        <v>170</v>
      </c>
      <c r="J160" s="436">
        <v>350</v>
      </c>
      <c r="K160" s="355">
        <f>J160*J17*24</f>
        <v>2820720</v>
      </c>
      <c r="L160" s="375"/>
      <c r="M160" s="288">
        <f t="shared" si="15"/>
        <v>112828.8</v>
      </c>
      <c r="N160" s="399"/>
      <c r="O160" s="367" t="s">
        <v>171</v>
      </c>
      <c r="P160" s="355"/>
      <c r="Q160" s="355"/>
      <c r="R160" s="355"/>
      <c r="S160" s="355"/>
      <c r="T160" s="399"/>
    </row>
    <row r="161" spans="1:20" s="395" customFormat="1" x14ac:dyDescent="0.2">
      <c r="A161" s="395" t="s">
        <v>707</v>
      </c>
      <c r="B161" s="395" t="s">
        <v>720</v>
      </c>
      <c r="F161" s="269"/>
      <c r="G161" s="269"/>
      <c r="H161" s="323" t="s">
        <v>172</v>
      </c>
      <c r="I161" s="294" t="s">
        <v>173</v>
      </c>
      <c r="J161" s="268"/>
      <c r="K161" s="370">
        <f>SUM(K152:K160)</f>
        <v>25171090</v>
      </c>
      <c r="L161" s="374">
        <v>0.04</v>
      </c>
      <c r="M161" s="362">
        <f>L161*K161</f>
        <v>1006843.6</v>
      </c>
      <c r="N161" s="399"/>
      <c r="O161" s="355"/>
      <c r="P161" s="355"/>
      <c r="Q161" s="355"/>
      <c r="R161" s="355"/>
      <c r="S161" s="355"/>
      <c r="T161" s="399"/>
    </row>
    <row r="162" spans="1:20" s="395" customFormat="1" x14ac:dyDescent="0.2">
      <c r="F162" s="269"/>
      <c r="G162" s="269"/>
      <c r="H162" s="323" t="s">
        <v>174</v>
      </c>
      <c r="I162" s="294" t="s">
        <v>175</v>
      </c>
      <c r="J162" s="268"/>
      <c r="K162" s="355">
        <f>K161/J18</f>
        <v>3123.2740222354573</v>
      </c>
      <c r="L162" s="270"/>
      <c r="M162" s="268"/>
      <c r="N162" s="399"/>
      <c r="O162" s="355"/>
      <c r="P162" s="355"/>
      <c r="Q162" s="355"/>
      <c r="R162" s="355"/>
      <c r="S162" s="355"/>
      <c r="T162" s="399"/>
    </row>
    <row r="163" spans="1:20" s="395" customFormat="1" x14ac:dyDescent="0.2">
      <c r="F163" s="269"/>
      <c r="G163" s="269"/>
      <c r="H163" s="323"/>
      <c r="I163" s="366" t="s">
        <v>435</v>
      </c>
      <c r="J163" s="268"/>
      <c r="K163" s="288">
        <f>K161/J15/1000</f>
        <v>251.71089999999998</v>
      </c>
      <c r="L163" s="270"/>
      <c r="M163" s="268"/>
      <c r="N163" s="399"/>
      <c r="O163" s="355"/>
      <c r="P163" s="355"/>
      <c r="Q163" s="355"/>
      <c r="R163" s="355"/>
      <c r="S163" s="355"/>
      <c r="T163" s="399"/>
    </row>
    <row r="164" spans="1:20" s="395" customFormat="1" ht="25.5" x14ac:dyDescent="0.2">
      <c r="F164" s="269"/>
      <c r="G164" s="318" t="s">
        <v>176</v>
      </c>
      <c r="H164" s="317" t="s">
        <v>623</v>
      </c>
      <c r="I164" s="316" t="s">
        <v>20</v>
      </c>
      <c r="J164" s="314" t="s">
        <v>71</v>
      </c>
      <c r="K164" s="314" t="s">
        <v>72</v>
      </c>
      <c r="L164" s="347" t="s">
        <v>73</v>
      </c>
      <c r="M164" s="314" t="s">
        <v>437</v>
      </c>
      <c r="N164" s="401"/>
      <c r="O164" s="423" t="s">
        <v>76</v>
      </c>
      <c r="P164" s="402"/>
      <c r="Q164" s="402"/>
      <c r="R164" s="402"/>
      <c r="S164" s="402"/>
      <c r="T164" s="401"/>
    </row>
    <row r="165" spans="1:20" s="395" customFormat="1" x14ac:dyDescent="0.2">
      <c r="F165" s="269"/>
      <c r="G165" s="269"/>
      <c r="H165" s="272" t="str">
        <f>H33</f>
        <v>Screen rejects</v>
      </c>
      <c r="I165" s="294" t="s">
        <v>50</v>
      </c>
      <c r="J165" s="396">
        <f>P165</f>
        <v>0</v>
      </c>
      <c r="K165" s="355">
        <f>M25</f>
        <v>0</v>
      </c>
      <c r="L165" s="434"/>
      <c r="M165" s="355">
        <f>L165*K165</f>
        <v>0</v>
      </c>
      <c r="N165" s="399"/>
      <c r="O165" s="367"/>
      <c r="P165" s="367"/>
      <c r="Q165" s="367"/>
      <c r="R165" s="367"/>
      <c r="S165" s="355"/>
      <c r="T165" s="399"/>
    </row>
    <row r="166" spans="1:20" s="395" customFormat="1" x14ac:dyDescent="0.2">
      <c r="F166" s="269"/>
      <c r="G166" s="269"/>
      <c r="H166" s="272">
        <f>H34</f>
        <v>0</v>
      </c>
      <c r="I166" s="294" t="s">
        <v>50</v>
      </c>
      <c r="J166" s="294"/>
      <c r="K166" s="355">
        <f>M26</f>
        <v>0</v>
      </c>
      <c r="L166" s="435"/>
      <c r="M166" s="355">
        <f>L166*K166</f>
        <v>0</v>
      </c>
      <c r="N166" s="399"/>
      <c r="O166" s="367"/>
      <c r="P166" s="367"/>
      <c r="Q166" s="367"/>
      <c r="R166" s="367"/>
      <c r="S166" s="355"/>
      <c r="T166" s="399"/>
    </row>
    <row r="167" spans="1:20" s="395" customFormat="1" x14ac:dyDescent="0.2">
      <c r="F167" s="269"/>
      <c r="G167" s="269"/>
      <c r="H167" s="272">
        <f>H35</f>
        <v>0</v>
      </c>
      <c r="I167" s="294" t="s">
        <v>50</v>
      </c>
      <c r="J167" s="294"/>
      <c r="K167" s="355">
        <f>M27</f>
        <v>0</v>
      </c>
      <c r="L167" s="435"/>
      <c r="M167" s="355">
        <f>L167*K167</f>
        <v>0</v>
      </c>
      <c r="N167" s="399"/>
      <c r="O167" s="367"/>
      <c r="P167" s="367"/>
      <c r="Q167" s="367"/>
      <c r="R167" s="367"/>
      <c r="S167" s="355"/>
      <c r="T167" s="399"/>
    </row>
    <row r="168" spans="1:20" s="395" customFormat="1" x14ac:dyDescent="0.2">
      <c r="F168" s="269"/>
      <c r="G168" s="269"/>
      <c r="H168" s="272">
        <f>H36</f>
        <v>0</v>
      </c>
      <c r="I168" s="294" t="s">
        <v>50</v>
      </c>
      <c r="J168" s="294"/>
      <c r="K168" s="355">
        <f>M28</f>
        <v>0</v>
      </c>
      <c r="L168" s="434"/>
      <c r="M168" s="355">
        <f>L168*K168</f>
        <v>0</v>
      </c>
      <c r="N168" s="399"/>
      <c r="O168" s="367"/>
      <c r="P168" s="367"/>
      <c r="Q168" s="367"/>
      <c r="R168" s="367"/>
      <c r="S168" s="355"/>
      <c r="T168" s="399"/>
    </row>
    <row r="169" spans="1:20" s="395" customFormat="1" x14ac:dyDescent="0.2">
      <c r="F169" s="269"/>
      <c r="G169" s="269"/>
      <c r="H169" s="163"/>
      <c r="I169" s="470" t="s">
        <v>173</v>
      </c>
      <c r="J169" s="294"/>
      <c r="K169" s="355"/>
      <c r="L169" s="311">
        <f>L168</f>
        <v>0</v>
      </c>
      <c r="M169" s="355">
        <f>L169*K169</f>
        <v>0</v>
      </c>
      <c r="N169" s="399"/>
      <c r="R169" s="367"/>
      <c r="S169" s="355"/>
      <c r="T169" s="399"/>
    </row>
    <row r="170" spans="1:20" s="395" customFormat="1" x14ac:dyDescent="0.2">
      <c r="F170" s="269"/>
      <c r="G170" s="269"/>
      <c r="H170" s="323" t="s">
        <v>440</v>
      </c>
      <c r="I170" s="294"/>
      <c r="J170" s="268"/>
      <c r="K170" s="268"/>
      <c r="L170" s="270"/>
      <c r="M170" s="362">
        <f>SUM(M165:M168)</f>
        <v>0</v>
      </c>
      <c r="N170" s="399"/>
      <c r="R170" s="355"/>
      <c r="S170" s="355"/>
      <c r="T170" s="399"/>
    </row>
    <row r="171" spans="1:20" s="395" customFormat="1" x14ac:dyDescent="0.2">
      <c r="F171" s="269"/>
      <c r="G171" s="264"/>
      <c r="H171" s="301"/>
      <c r="I171" s="372"/>
      <c r="J171" s="263"/>
      <c r="K171" s="263"/>
      <c r="L171" s="265"/>
      <c r="M171" s="433"/>
      <c r="N171" s="397"/>
      <c r="O171" s="398"/>
      <c r="P171" s="398"/>
      <c r="Q171" s="398"/>
      <c r="R171" s="398"/>
      <c r="S171" s="398"/>
      <c r="T171" s="397"/>
    </row>
    <row r="172" spans="1:20" s="395" customFormat="1" ht="38.25" x14ac:dyDescent="0.2">
      <c r="F172" s="269"/>
      <c r="G172" s="331" t="s">
        <v>189</v>
      </c>
      <c r="H172" s="379" t="s">
        <v>441</v>
      </c>
      <c r="I172" s="279" t="s">
        <v>20</v>
      </c>
      <c r="J172" s="328" t="s">
        <v>213</v>
      </c>
      <c r="K172" s="328" t="s">
        <v>72</v>
      </c>
      <c r="L172" s="378" t="s">
        <v>73</v>
      </c>
      <c r="M172" s="328" t="s">
        <v>130</v>
      </c>
      <c r="N172" s="399"/>
      <c r="O172" s="1366" t="s">
        <v>1017</v>
      </c>
      <c r="P172" s="1366" t="s">
        <v>248</v>
      </c>
      <c r="Q172" s="355"/>
      <c r="R172" s="355"/>
      <c r="S172" s="355"/>
      <c r="T172" s="399"/>
    </row>
    <row r="173" spans="1:20" s="395" customFormat="1" x14ac:dyDescent="0.2">
      <c r="F173" s="269"/>
      <c r="G173" s="269"/>
      <c r="H173" s="311" t="s">
        <v>214</v>
      </c>
      <c r="I173" s="294" t="s">
        <v>215</v>
      </c>
      <c r="J173" s="355">
        <f>Assumptions!$F$25*P173</f>
        <v>412</v>
      </c>
      <c r="K173" s="367">
        <f>J15*1000*J59</f>
        <v>78900</v>
      </c>
      <c r="L173" s="270">
        <f>2.2/32</f>
        <v>6.8750000000000006E-2</v>
      </c>
      <c r="M173" s="355">
        <f>L173*K173*J173</f>
        <v>2234842.5</v>
      </c>
      <c r="N173" s="399"/>
      <c r="O173" s="1211" t="s">
        <v>324</v>
      </c>
      <c r="P173" s="1211">
        <f>IF(O173="yes",1,2)</f>
        <v>1</v>
      </c>
      <c r="Q173" s="355"/>
      <c r="R173" s="355"/>
      <c r="S173" s="355"/>
      <c r="T173" s="399"/>
    </row>
    <row r="174" spans="1:20" s="395" customFormat="1" x14ac:dyDescent="0.2">
      <c r="F174" s="269"/>
      <c r="G174" s="269"/>
      <c r="H174" s="366"/>
      <c r="I174" s="271"/>
      <c r="J174" s="268"/>
      <c r="K174" s="287"/>
      <c r="L174" s="270"/>
      <c r="M174" s="268"/>
      <c r="N174" s="399"/>
      <c r="O174" s="367"/>
      <c r="P174" s="355"/>
      <c r="Q174" s="355"/>
      <c r="R174" s="355"/>
      <c r="S174" s="355"/>
      <c r="T174" s="399"/>
    </row>
    <row r="175" spans="1:20" s="395" customFormat="1" x14ac:dyDescent="0.2">
      <c r="A175" s="395" t="s">
        <v>710</v>
      </c>
      <c r="B175" s="395" t="s">
        <v>184</v>
      </c>
      <c r="F175" s="269"/>
      <c r="G175" s="269"/>
      <c r="H175" s="323" t="s">
        <v>216</v>
      </c>
      <c r="I175" s="271"/>
      <c r="J175" s="268"/>
      <c r="K175" s="287"/>
      <c r="L175" s="270"/>
      <c r="M175" s="362">
        <f>M173</f>
        <v>2234842.5</v>
      </c>
      <c r="N175" s="399"/>
      <c r="O175" s="355"/>
      <c r="P175" s="355"/>
      <c r="Q175" s="355"/>
      <c r="R175" s="355"/>
      <c r="S175" s="355"/>
      <c r="T175" s="399"/>
    </row>
    <row r="176" spans="1:20" s="395" customFormat="1" x14ac:dyDescent="0.2">
      <c r="F176" s="269"/>
      <c r="G176" s="269"/>
      <c r="H176" s="323"/>
      <c r="I176" s="271"/>
      <c r="J176" s="268"/>
      <c r="K176" s="287"/>
      <c r="L176" s="270"/>
      <c r="M176" s="365"/>
      <c r="N176" s="399"/>
      <c r="O176" s="355"/>
      <c r="P176" s="355"/>
      <c r="Q176" s="355"/>
      <c r="R176" s="355"/>
      <c r="S176" s="355"/>
      <c r="T176" s="399"/>
    </row>
    <row r="177" spans="1:20" s="395" customFormat="1" ht="25.5" x14ac:dyDescent="0.2">
      <c r="F177" s="269"/>
      <c r="G177" s="318" t="s">
        <v>211</v>
      </c>
      <c r="H177" s="317" t="s">
        <v>218</v>
      </c>
      <c r="I177" s="316" t="s">
        <v>20</v>
      </c>
      <c r="J177" s="314" t="s">
        <v>213</v>
      </c>
      <c r="K177" s="314" t="s">
        <v>72</v>
      </c>
      <c r="L177" s="347" t="s">
        <v>73</v>
      </c>
      <c r="M177" s="314" t="s">
        <v>130</v>
      </c>
      <c r="N177" s="401"/>
      <c r="O177" s="423" t="s">
        <v>76</v>
      </c>
      <c r="P177" s="402"/>
      <c r="Q177" s="402"/>
      <c r="R177" s="402"/>
      <c r="S177" s="402"/>
      <c r="T177" s="401"/>
    </row>
    <row r="178" spans="1:20" s="395" customFormat="1" x14ac:dyDescent="0.2">
      <c r="F178" s="269"/>
      <c r="G178" s="331"/>
      <c r="H178" s="163" t="s">
        <v>202</v>
      </c>
      <c r="I178" s="294" t="s">
        <v>220</v>
      </c>
      <c r="J178" s="332">
        <v>0.05</v>
      </c>
      <c r="K178" s="367">
        <f>SUM(J274:K275)*1000000</f>
        <v>40000000</v>
      </c>
      <c r="L178" s="431"/>
      <c r="M178" s="288">
        <f t="shared" ref="M178:M182" si="16">J178*K178</f>
        <v>2000000</v>
      </c>
      <c r="N178" s="399"/>
      <c r="O178" s="432"/>
      <c r="P178" s="355"/>
      <c r="Q178" s="355"/>
      <c r="R178" s="355"/>
      <c r="S178" s="355"/>
      <c r="T178" s="399"/>
    </row>
    <row r="179" spans="1:20" s="395" customFormat="1" x14ac:dyDescent="0.2">
      <c r="F179" s="269"/>
      <c r="G179" s="331"/>
      <c r="H179" s="272" t="s">
        <v>443</v>
      </c>
      <c r="I179" s="294" t="s">
        <v>220</v>
      </c>
      <c r="J179" s="332">
        <v>0.05</v>
      </c>
      <c r="K179" s="367">
        <f>SUM(J276:K279)*1000000</f>
        <v>93000000</v>
      </c>
      <c r="L179" s="431"/>
      <c r="M179" s="288">
        <f t="shared" si="16"/>
        <v>4650000</v>
      </c>
      <c r="N179" s="399"/>
      <c r="O179" s="432"/>
      <c r="P179" s="355"/>
      <c r="Q179" s="355"/>
      <c r="R179" s="355"/>
      <c r="S179" s="355"/>
      <c r="T179" s="399"/>
    </row>
    <row r="180" spans="1:20" s="395" customFormat="1" x14ac:dyDescent="0.2">
      <c r="F180" s="269"/>
      <c r="G180" s="331"/>
      <c r="H180" s="272" t="s">
        <v>221</v>
      </c>
      <c r="I180" s="294" t="s">
        <v>220</v>
      </c>
      <c r="J180" s="332">
        <v>0.03</v>
      </c>
      <c r="K180" s="395">
        <f>SUM(J280:K280)*1000000</f>
        <v>13000000</v>
      </c>
      <c r="L180" s="431"/>
      <c r="M180" s="288">
        <f t="shared" si="16"/>
        <v>390000</v>
      </c>
      <c r="N180" s="399"/>
      <c r="O180" s="355"/>
      <c r="P180" s="355"/>
      <c r="Q180" s="355"/>
      <c r="R180" s="355"/>
      <c r="S180" s="355"/>
      <c r="T180" s="399"/>
    </row>
    <row r="181" spans="1:20" s="395" customFormat="1" x14ac:dyDescent="0.2">
      <c r="F181" s="269"/>
      <c r="G181" s="331"/>
      <c r="H181" s="272" t="s">
        <v>222</v>
      </c>
      <c r="I181" s="294" t="s">
        <v>220</v>
      </c>
      <c r="J181" s="332">
        <v>0.03</v>
      </c>
      <c r="K181" s="395">
        <f>SUM(J281:K281)*1000000</f>
        <v>40000000</v>
      </c>
      <c r="L181" s="431"/>
      <c r="M181" s="288">
        <f t="shared" si="16"/>
        <v>1200000</v>
      </c>
      <c r="N181" s="399"/>
      <c r="O181" s="355"/>
      <c r="P181" s="355"/>
      <c r="Q181" s="355"/>
      <c r="R181" s="355"/>
      <c r="S181" s="355"/>
      <c r="T181" s="399"/>
    </row>
    <row r="182" spans="1:20" s="395" customFormat="1" x14ac:dyDescent="0.2">
      <c r="F182" s="269"/>
      <c r="G182" s="331"/>
      <c r="H182" s="272" t="s">
        <v>129</v>
      </c>
      <c r="I182" s="294" t="s">
        <v>220</v>
      </c>
      <c r="J182" s="332">
        <v>0.03</v>
      </c>
      <c r="K182" s="367">
        <f>SUM(J282:K282,J287:K287)*1000000</f>
        <v>31086250</v>
      </c>
      <c r="L182" s="431"/>
      <c r="M182" s="288">
        <f t="shared" si="16"/>
        <v>932587.5</v>
      </c>
      <c r="N182" s="399"/>
      <c r="O182" s="355"/>
      <c r="P182" s="355"/>
      <c r="Q182" s="355"/>
      <c r="R182" s="355"/>
      <c r="S182" s="355"/>
      <c r="T182" s="399"/>
    </row>
    <row r="183" spans="1:20" s="395" customFormat="1" x14ac:dyDescent="0.2">
      <c r="A183" s="395" t="s">
        <v>711</v>
      </c>
      <c r="B183" s="395" t="s">
        <v>218</v>
      </c>
      <c r="F183" s="269"/>
      <c r="G183" s="331"/>
      <c r="H183" s="323" t="s">
        <v>445</v>
      </c>
      <c r="I183" s="294"/>
      <c r="J183" s="272"/>
      <c r="K183" s="272"/>
      <c r="L183" s="270"/>
      <c r="M183" s="362">
        <f>SUM(M178:M182)</f>
        <v>9172587.5</v>
      </c>
      <c r="N183" s="399"/>
      <c r="O183" s="355"/>
      <c r="P183" s="355"/>
      <c r="Q183" s="355"/>
      <c r="R183" s="355"/>
      <c r="S183" s="355"/>
      <c r="T183" s="399"/>
    </row>
    <row r="184" spans="1:20" s="395" customFormat="1" x14ac:dyDescent="0.2">
      <c r="F184" s="269"/>
      <c r="G184" s="430"/>
      <c r="H184" s="353"/>
      <c r="I184" s="372"/>
      <c r="J184" s="353"/>
      <c r="K184" s="353"/>
      <c r="L184" s="265"/>
      <c r="M184" s="263"/>
      <c r="N184" s="397"/>
      <c r="O184" s="398"/>
      <c r="P184" s="398"/>
      <c r="Q184" s="398"/>
      <c r="R184" s="398"/>
      <c r="S184" s="398"/>
      <c r="T184" s="397"/>
    </row>
    <row r="185" spans="1:20" s="395" customFormat="1" ht="25.5" x14ac:dyDescent="0.2">
      <c r="F185" s="269"/>
      <c r="G185" s="318" t="s">
        <v>217</v>
      </c>
      <c r="H185" s="317" t="s">
        <v>190</v>
      </c>
      <c r="I185" s="316" t="s">
        <v>20</v>
      </c>
      <c r="J185" s="314" t="s">
        <v>71</v>
      </c>
      <c r="K185" s="314" t="s">
        <v>72</v>
      </c>
      <c r="L185" s="347" t="s">
        <v>73</v>
      </c>
      <c r="M185" s="314" t="s">
        <v>130</v>
      </c>
      <c r="N185" s="401"/>
      <c r="O185" s="423" t="s">
        <v>76</v>
      </c>
      <c r="P185" s="402"/>
      <c r="Q185" s="402"/>
      <c r="R185" s="402"/>
      <c r="S185" s="402"/>
      <c r="T185" s="401"/>
    </row>
    <row r="186" spans="1:20" s="395" customFormat="1" x14ac:dyDescent="0.2">
      <c r="F186" s="269"/>
      <c r="G186" s="269"/>
      <c r="H186" s="272" t="s">
        <v>191</v>
      </c>
      <c r="I186" s="294" t="s">
        <v>192</v>
      </c>
      <c r="J186" s="310">
        <v>1</v>
      </c>
      <c r="K186" s="427">
        <f t="shared" ref="K186:K194" si="17">J186</f>
        <v>1</v>
      </c>
      <c r="L186" s="363">
        <v>185000</v>
      </c>
      <c r="M186" s="288">
        <f t="shared" ref="M186:M196" si="18">K186*L186</f>
        <v>185000</v>
      </c>
      <c r="N186" s="399"/>
      <c r="O186" s="355"/>
      <c r="P186" s="355"/>
      <c r="Q186" s="355"/>
      <c r="R186" s="355"/>
      <c r="S186" s="355"/>
      <c r="T186" s="399"/>
    </row>
    <row r="187" spans="1:20" s="395" customFormat="1" x14ac:dyDescent="0.2">
      <c r="F187" s="269"/>
      <c r="G187" s="269"/>
      <c r="H187" s="272" t="s">
        <v>193</v>
      </c>
      <c r="I187" s="294" t="s">
        <v>192</v>
      </c>
      <c r="J187" s="310">
        <v>1</v>
      </c>
      <c r="K187" s="427">
        <f t="shared" si="17"/>
        <v>1</v>
      </c>
      <c r="L187" s="363">
        <v>145000</v>
      </c>
      <c r="M187" s="288">
        <f t="shared" si="18"/>
        <v>145000</v>
      </c>
      <c r="N187" s="399"/>
      <c r="O187" s="355"/>
      <c r="P187" s="355"/>
      <c r="Q187" s="355"/>
      <c r="R187" s="355"/>
      <c r="S187" s="355"/>
      <c r="T187" s="399"/>
    </row>
    <row r="188" spans="1:20" s="395" customFormat="1" x14ac:dyDescent="0.2">
      <c r="F188" s="269"/>
      <c r="G188" s="269"/>
      <c r="H188" s="272" t="s">
        <v>194</v>
      </c>
      <c r="I188" s="294" t="s">
        <v>192</v>
      </c>
      <c r="J188" s="310">
        <v>1</v>
      </c>
      <c r="K188" s="427">
        <f t="shared" si="17"/>
        <v>1</v>
      </c>
      <c r="L188" s="363">
        <v>155000</v>
      </c>
      <c r="M188" s="288">
        <f t="shared" si="18"/>
        <v>155000</v>
      </c>
      <c r="N188" s="399"/>
      <c r="O188" s="223" t="s">
        <v>624</v>
      </c>
      <c r="P188" s="355"/>
      <c r="Q188" s="355"/>
      <c r="R188" s="355"/>
      <c r="S188" s="355"/>
      <c r="T188" s="399"/>
    </row>
    <row r="189" spans="1:20" s="395" customFormat="1" x14ac:dyDescent="0.2">
      <c r="F189" s="269"/>
      <c r="G189" s="269"/>
      <c r="H189" s="272" t="s">
        <v>195</v>
      </c>
      <c r="I189" s="294" t="s">
        <v>192</v>
      </c>
      <c r="J189" s="310">
        <v>3</v>
      </c>
      <c r="K189" s="427">
        <f t="shared" si="17"/>
        <v>3</v>
      </c>
      <c r="L189" s="363">
        <v>75000</v>
      </c>
      <c r="M189" s="288">
        <f t="shared" si="18"/>
        <v>225000</v>
      </c>
      <c r="N189" s="399"/>
      <c r="O189" s="355" t="s">
        <v>625</v>
      </c>
      <c r="P189" s="355"/>
      <c r="Q189" s="355"/>
      <c r="R189" s="355"/>
      <c r="S189" s="355"/>
      <c r="T189" s="399"/>
    </row>
    <row r="190" spans="1:20" s="395" customFormat="1" x14ac:dyDescent="0.2">
      <c r="F190" s="269"/>
      <c r="G190" s="269"/>
      <c r="H190" s="272" t="s">
        <v>197</v>
      </c>
      <c r="I190" s="294" t="s">
        <v>192</v>
      </c>
      <c r="J190" s="310">
        <v>1</v>
      </c>
      <c r="K190" s="427">
        <f t="shared" si="17"/>
        <v>1</v>
      </c>
      <c r="L190" s="363">
        <v>145000</v>
      </c>
      <c r="M190" s="288">
        <f t="shared" si="18"/>
        <v>145000</v>
      </c>
      <c r="N190" s="399"/>
      <c r="O190" s="355"/>
      <c r="P190" s="355"/>
      <c r="Q190" s="355"/>
      <c r="R190" s="355"/>
      <c r="S190" s="355"/>
      <c r="T190" s="399"/>
    </row>
    <row r="191" spans="1:20" s="395" customFormat="1" x14ac:dyDescent="0.2">
      <c r="F191" s="269"/>
      <c r="G191" s="269"/>
      <c r="H191" s="272" t="s">
        <v>198</v>
      </c>
      <c r="I191" s="294" t="s">
        <v>192</v>
      </c>
      <c r="J191" s="310">
        <v>3</v>
      </c>
      <c r="K191" s="427">
        <f t="shared" si="17"/>
        <v>3</v>
      </c>
      <c r="L191" s="363">
        <v>145000</v>
      </c>
      <c r="M191" s="288">
        <f t="shared" si="18"/>
        <v>435000</v>
      </c>
      <c r="N191" s="399"/>
      <c r="O191" s="355"/>
      <c r="P191" s="355"/>
      <c r="Q191" s="355"/>
      <c r="R191" s="355"/>
      <c r="S191" s="355"/>
      <c r="T191" s="399"/>
    </row>
    <row r="192" spans="1:20" s="395" customFormat="1" x14ac:dyDescent="0.2">
      <c r="F192" s="269"/>
      <c r="G192" s="269"/>
      <c r="H192" s="272" t="s">
        <v>199</v>
      </c>
      <c r="I192" s="294" t="s">
        <v>192</v>
      </c>
      <c r="J192" s="310">
        <v>8</v>
      </c>
      <c r="K192" s="427">
        <f t="shared" si="17"/>
        <v>8</v>
      </c>
      <c r="L192" s="363">
        <v>75000</v>
      </c>
      <c r="M192" s="288">
        <f t="shared" si="18"/>
        <v>600000</v>
      </c>
      <c r="N192" s="399"/>
      <c r="O192" s="223"/>
      <c r="P192" s="355"/>
      <c r="Q192" s="355"/>
      <c r="R192" s="355"/>
      <c r="S192" s="355"/>
      <c r="T192" s="399"/>
    </row>
    <row r="193" spans="1:20" s="395" customFormat="1" x14ac:dyDescent="0.2">
      <c r="F193" s="269"/>
      <c r="G193" s="269"/>
      <c r="H193" s="272" t="s">
        <v>200</v>
      </c>
      <c r="I193" s="294" t="s">
        <v>192</v>
      </c>
      <c r="J193" s="310">
        <v>2</v>
      </c>
      <c r="K193" s="427">
        <f t="shared" si="17"/>
        <v>2</v>
      </c>
      <c r="L193" s="363">
        <v>55000</v>
      </c>
      <c r="M193" s="288">
        <f t="shared" si="18"/>
        <v>110000</v>
      </c>
      <c r="N193" s="399"/>
      <c r="O193" s="355"/>
      <c r="P193" s="355"/>
      <c r="Q193" s="355"/>
      <c r="R193" s="355"/>
      <c r="S193" s="355"/>
      <c r="T193" s="399"/>
    </row>
    <row r="194" spans="1:20" s="395" customFormat="1" x14ac:dyDescent="0.2">
      <c r="F194" s="269"/>
      <c r="G194" s="269"/>
      <c r="H194" s="272" t="s">
        <v>201</v>
      </c>
      <c r="I194" s="294" t="s">
        <v>192</v>
      </c>
      <c r="J194" s="310">
        <v>1</v>
      </c>
      <c r="K194" s="427">
        <f t="shared" si="17"/>
        <v>1</v>
      </c>
      <c r="L194" s="363">
        <v>65000</v>
      </c>
      <c r="M194" s="288">
        <f t="shared" si="18"/>
        <v>65000</v>
      </c>
      <c r="N194" s="399"/>
      <c r="O194" s="367"/>
      <c r="P194" s="355"/>
      <c r="Q194" s="355"/>
      <c r="R194" s="355"/>
      <c r="S194" s="355"/>
      <c r="T194" s="399"/>
    </row>
    <row r="195" spans="1:20" s="395" customFormat="1" x14ac:dyDescent="0.2">
      <c r="F195" s="269"/>
      <c r="G195" s="269"/>
      <c r="H195" s="272" t="s">
        <v>202</v>
      </c>
      <c r="I195" s="294" t="s">
        <v>192</v>
      </c>
      <c r="J195" s="310">
        <v>2</v>
      </c>
      <c r="K195" s="429">
        <f>J195*P195</f>
        <v>6</v>
      </c>
      <c r="L195" s="363">
        <v>50000</v>
      </c>
      <c r="M195" s="288">
        <f t="shared" si="18"/>
        <v>300000</v>
      </c>
      <c r="N195" s="399"/>
      <c r="O195" s="428" t="s">
        <v>206</v>
      </c>
      <c r="P195" s="364">
        <v>3</v>
      </c>
      <c r="Q195" s="355"/>
      <c r="R195" s="355"/>
      <c r="S195" s="355"/>
      <c r="T195" s="399"/>
    </row>
    <row r="196" spans="1:20" s="395" customFormat="1" x14ac:dyDescent="0.2">
      <c r="F196" s="269"/>
      <c r="G196" s="269"/>
      <c r="H196" s="272" t="s">
        <v>204</v>
      </c>
      <c r="I196" s="294" t="s">
        <v>205</v>
      </c>
      <c r="J196" s="310">
        <v>3</v>
      </c>
      <c r="K196" s="427">
        <f>J196*P196</f>
        <v>12</v>
      </c>
      <c r="L196" s="363">
        <v>65000</v>
      </c>
      <c r="M196" s="288">
        <f t="shared" si="18"/>
        <v>780000</v>
      </c>
      <c r="N196" s="399"/>
      <c r="O196" s="367" t="s">
        <v>206</v>
      </c>
      <c r="P196" s="364">
        <v>4</v>
      </c>
      <c r="Q196" s="367"/>
      <c r="R196" s="223" t="s">
        <v>494</v>
      </c>
      <c r="S196" s="355"/>
      <c r="T196" s="399"/>
    </row>
    <row r="197" spans="1:20" s="395" customFormat="1" x14ac:dyDescent="0.2">
      <c r="F197" s="269"/>
      <c r="G197" s="269"/>
      <c r="H197" s="366" t="s">
        <v>207</v>
      </c>
      <c r="I197" s="271"/>
      <c r="J197" s="268"/>
      <c r="K197" s="426">
        <f>SUM(K186:K196)</f>
        <v>39</v>
      </c>
      <c r="L197" s="270"/>
      <c r="M197" s="371">
        <f>SUM(M186:M196)</f>
        <v>3145000</v>
      </c>
      <c r="N197" s="399"/>
      <c r="O197" s="355"/>
      <c r="P197" s="355"/>
      <c r="Q197" s="355"/>
      <c r="R197" s="355"/>
      <c r="S197" s="355"/>
      <c r="T197" s="399"/>
    </row>
    <row r="198" spans="1:20" s="395" customFormat="1" x14ac:dyDescent="0.2">
      <c r="F198" s="269"/>
      <c r="G198" s="269"/>
      <c r="H198" s="366" t="s">
        <v>208</v>
      </c>
      <c r="I198" s="294" t="s">
        <v>209</v>
      </c>
      <c r="J198" s="297">
        <v>0.2</v>
      </c>
      <c r="K198" s="365">
        <f>M197</f>
        <v>3145000</v>
      </c>
      <c r="L198" s="270"/>
      <c r="M198" s="288">
        <f>K198*J198</f>
        <v>629000</v>
      </c>
      <c r="N198" s="399"/>
      <c r="O198" s="355"/>
      <c r="P198" s="355"/>
      <c r="Q198" s="355"/>
      <c r="R198" s="355"/>
      <c r="S198" s="355"/>
      <c r="T198" s="399"/>
    </row>
    <row r="199" spans="1:20" s="395" customFormat="1" x14ac:dyDescent="0.2">
      <c r="A199" s="395" t="s">
        <v>709</v>
      </c>
      <c r="B199" s="395" t="s">
        <v>190</v>
      </c>
      <c r="F199" s="269"/>
      <c r="G199" s="269"/>
      <c r="H199" s="323" t="s">
        <v>210</v>
      </c>
      <c r="I199" s="271"/>
      <c r="J199" s="268"/>
      <c r="K199" s="287"/>
      <c r="L199" s="270"/>
      <c r="M199" s="370">
        <f>SUM(M197:M198)</f>
        <v>3774000</v>
      </c>
      <c r="N199" s="399"/>
      <c r="O199" s="355"/>
      <c r="P199" s="355"/>
      <c r="Q199" s="355"/>
      <c r="R199" s="355"/>
      <c r="S199" s="355"/>
      <c r="T199" s="399"/>
    </row>
    <row r="200" spans="1:20" s="395" customFormat="1" x14ac:dyDescent="0.2">
      <c r="F200" s="269"/>
      <c r="G200" s="264"/>
      <c r="H200" s="369"/>
      <c r="I200" s="266"/>
      <c r="J200" s="263"/>
      <c r="K200" s="368"/>
      <c r="L200" s="265"/>
      <c r="M200" s="263"/>
      <c r="N200" s="397"/>
      <c r="O200" s="398"/>
      <c r="P200" s="398"/>
      <c r="Q200" s="398"/>
      <c r="R200" s="398"/>
      <c r="S200" s="398"/>
      <c r="T200" s="397"/>
    </row>
    <row r="201" spans="1:20" s="395" customFormat="1" ht="25.5" x14ac:dyDescent="0.2">
      <c r="F201" s="269"/>
      <c r="G201" s="318" t="s">
        <v>447</v>
      </c>
      <c r="H201" s="317" t="s">
        <v>448</v>
      </c>
      <c r="I201" s="316" t="s">
        <v>20</v>
      </c>
      <c r="J201" s="314" t="s">
        <v>213</v>
      </c>
      <c r="K201" s="314" t="s">
        <v>72</v>
      </c>
      <c r="L201" s="347" t="s">
        <v>73</v>
      </c>
      <c r="M201" s="314" t="s">
        <v>130</v>
      </c>
      <c r="N201" s="401"/>
      <c r="O201" s="423" t="s">
        <v>76</v>
      </c>
      <c r="P201" s="355"/>
      <c r="Q201" s="355"/>
      <c r="R201" s="355"/>
      <c r="S201" s="355"/>
      <c r="T201" s="399"/>
    </row>
    <row r="202" spans="1:20" s="395" customFormat="1" x14ac:dyDescent="0.2">
      <c r="F202" s="269"/>
      <c r="G202" s="269"/>
      <c r="H202" s="272" t="s">
        <v>224</v>
      </c>
      <c r="I202" s="294" t="s">
        <v>225</v>
      </c>
      <c r="J202" s="342">
        <v>20</v>
      </c>
      <c r="K202" s="268">
        <f>J202</f>
        <v>20</v>
      </c>
      <c r="L202" s="363">
        <v>2000</v>
      </c>
      <c r="M202" s="355">
        <f>L202*K202</f>
        <v>40000</v>
      </c>
      <c r="N202" s="399"/>
      <c r="O202" s="355"/>
      <c r="P202" s="355"/>
      <c r="Q202" s="355"/>
      <c r="R202" s="355"/>
      <c r="S202" s="355"/>
      <c r="T202" s="399"/>
    </row>
    <row r="203" spans="1:20" s="395" customFormat="1" x14ac:dyDescent="0.2">
      <c r="F203" s="269"/>
      <c r="G203" s="269"/>
      <c r="H203" s="272" t="s">
        <v>226</v>
      </c>
      <c r="I203" s="294" t="s">
        <v>227</v>
      </c>
      <c r="J203" s="342"/>
      <c r="K203" s="268"/>
      <c r="L203" s="327"/>
      <c r="M203" s="355">
        <f>L203*K203</f>
        <v>0</v>
      </c>
      <c r="N203" s="399"/>
      <c r="O203" s="367" t="s">
        <v>228</v>
      </c>
      <c r="P203" s="355"/>
      <c r="Q203" s="355"/>
      <c r="R203" s="355"/>
      <c r="S203" s="355"/>
      <c r="T203" s="399"/>
    </row>
    <row r="204" spans="1:20" s="395" customFormat="1" x14ac:dyDescent="0.2">
      <c r="F204" s="269"/>
      <c r="G204" s="269"/>
      <c r="H204" s="272" t="s">
        <v>229</v>
      </c>
      <c r="I204" s="294" t="s">
        <v>227</v>
      </c>
      <c r="J204" s="364">
        <v>1</v>
      </c>
      <c r="K204" s="355">
        <f>J204</f>
        <v>1</v>
      </c>
      <c r="L204" s="363">
        <v>150000</v>
      </c>
      <c r="M204" s="355">
        <f>L204*K204</f>
        <v>150000</v>
      </c>
      <c r="N204" s="399"/>
      <c r="O204" s="355"/>
      <c r="P204" s="355"/>
      <c r="Q204" s="355"/>
      <c r="R204" s="355"/>
      <c r="S204" s="355"/>
      <c r="T204" s="399"/>
    </row>
    <row r="205" spans="1:20" s="395" customFormat="1" x14ac:dyDescent="0.2">
      <c r="F205" s="269"/>
      <c r="G205" s="269"/>
      <c r="H205" s="272" t="s">
        <v>449</v>
      </c>
      <c r="I205" s="294" t="s">
        <v>227</v>
      </c>
      <c r="J205" s="364">
        <v>1</v>
      </c>
      <c r="K205" s="355">
        <f>J205</f>
        <v>1</v>
      </c>
      <c r="L205" s="363">
        <v>1000000</v>
      </c>
      <c r="M205" s="355">
        <f>L205*K205</f>
        <v>1000000</v>
      </c>
      <c r="N205" s="399"/>
      <c r="O205" s="355"/>
      <c r="P205" s="355"/>
      <c r="Q205" s="355"/>
      <c r="R205" s="355"/>
      <c r="S205" s="355"/>
      <c r="T205" s="399"/>
    </row>
    <row r="206" spans="1:20" s="395" customFormat="1" x14ac:dyDescent="0.2">
      <c r="F206" s="269"/>
      <c r="G206" s="269"/>
      <c r="H206" s="272" t="s">
        <v>231</v>
      </c>
      <c r="I206" s="294" t="s">
        <v>220</v>
      </c>
      <c r="J206" s="334">
        <v>3.0000000000000001E-3</v>
      </c>
      <c r="K206" s="425">
        <f>SUM(J289:K289)*1000000</f>
        <v>286948750</v>
      </c>
      <c r="L206" s="327">
        <f>K206*J206</f>
        <v>860846.25</v>
      </c>
      <c r="M206" s="355">
        <f>L206</f>
        <v>860846.25</v>
      </c>
      <c r="N206" s="399"/>
      <c r="O206" s="355"/>
      <c r="P206" s="355"/>
      <c r="Q206" s="355"/>
      <c r="R206" s="355"/>
      <c r="S206" s="355"/>
      <c r="T206" s="399"/>
    </row>
    <row r="207" spans="1:20" s="395" customFormat="1" x14ac:dyDescent="0.2">
      <c r="F207" s="269"/>
      <c r="G207" s="269"/>
      <c r="H207" s="272" t="s">
        <v>232</v>
      </c>
      <c r="I207" s="294" t="s">
        <v>233</v>
      </c>
      <c r="J207" s="359">
        <v>75</v>
      </c>
      <c r="K207" s="288">
        <f>J207</f>
        <v>75</v>
      </c>
      <c r="L207" s="363">
        <v>1000</v>
      </c>
      <c r="M207" s="355">
        <f>L207*K207</f>
        <v>75000</v>
      </c>
      <c r="N207" s="399"/>
      <c r="O207" s="355"/>
      <c r="P207" s="355"/>
      <c r="Q207" s="355"/>
      <c r="R207" s="355"/>
      <c r="S207" s="355"/>
      <c r="T207" s="399"/>
    </row>
    <row r="208" spans="1:20" s="395" customFormat="1" x14ac:dyDescent="0.2">
      <c r="F208" s="269"/>
      <c r="G208" s="269"/>
      <c r="H208" s="272" t="s">
        <v>234</v>
      </c>
      <c r="I208" s="294" t="s">
        <v>235</v>
      </c>
      <c r="J208" s="342">
        <v>200</v>
      </c>
      <c r="K208" s="358">
        <f>J17</f>
        <v>335.8</v>
      </c>
      <c r="L208" s="327">
        <f>K208*J208</f>
        <v>67160</v>
      </c>
      <c r="M208" s="355">
        <f>L208</f>
        <v>67160</v>
      </c>
      <c r="N208" s="399"/>
      <c r="O208" s="355"/>
      <c r="P208" s="355"/>
      <c r="Q208" s="355"/>
      <c r="R208" s="355"/>
      <c r="S208" s="355"/>
      <c r="T208" s="399"/>
    </row>
    <row r="209" spans="1:28" x14ac:dyDescent="0.2">
      <c r="A209" s="395" t="s">
        <v>712</v>
      </c>
      <c r="B209" s="395" t="s">
        <v>448</v>
      </c>
      <c r="F209" s="269"/>
      <c r="G209" s="269"/>
      <c r="H209" s="323" t="s">
        <v>364</v>
      </c>
      <c r="I209" s="271"/>
      <c r="J209" s="268"/>
      <c r="K209" s="268"/>
      <c r="L209" s="270"/>
      <c r="M209" s="370">
        <f>SUM(M202:M208)</f>
        <v>2193006.25</v>
      </c>
      <c r="N209" s="399"/>
      <c r="O209" s="355"/>
      <c r="P209" s="355"/>
      <c r="Q209" s="355"/>
      <c r="R209" s="355"/>
      <c r="S209" s="355"/>
      <c r="T209" s="399"/>
    </row>
    <row r="210" spans="1:28" x14ac:dyDescent="0.2">
      <c r="F210" s="269"/>
      <c r="G210" s="269"/>
      <c r="H210" s="323"/>
      <c r="I210" s="271"/>
      <c r="J210" s="268"/>
      <c r="K210" s="268"/>
      <c r="L210" s="270"/>
      <c r="M210" s="268"/>
      <c r="N210" s="399"/>
      <c r="O210" s="355"/>
      <c r="P210" s="355"/>
      <c r="Q210" s="355"/>
      <c r="R210" s="355"/>
      <c r="S210" s="355"/>
      <c r="T210" s="399"/>
    </row>
    <row r="211" spans="1:28" ht="25.5" x14ac:dyDescent="0.2">
      <c r="F211" s="269"/>
      <c r="G211" s="318" t="s">
        <v>450</v>
      </c>
      <c r="H211" s="424" t="s">
        <v>451</v>
      </c>
      <c r="I211" s="316" t="s">
        <v>20</v>
      </c>
      <c r="J211" s="314" t="s">
        <v>213</v>
      </c>
      <c r="K211" s="314" t="s">
        <v>72</v>
      </c>
      <c r="L211" s="347" t="s">
        <v>73</v>
      </c>
      <c r="M211" s="314" t="s">
        <v>130</v>
      </c>
      <c r="N211" s="401"/>
      <c r="O211" s="423" t="s">
        <v>76</v>
      </c>
      <c r="P211" s="402"/>
      <c r="Q211" s="402"/>
      <c r="R211" s="402"/>
      <c r="S211" s="402"/>
      <c r="T211" s="401"/>
    </row>
    <row r="212" spans="1:28" x14ac:dyDescent="0.2">
      <c r="F212" s="269"/>
      <c r="G212" s="331"/>
      <c r="H212" s="287" t="s">
        <v>654</v>
      </c>
      <c r="I212" s="279"/>
      <c r="J212" s="328"/>
      <c r="K212" s="328"/>
      <c r="L212" s="378"/>
      <c r="M212" s="328"/>
      <c r="N212" s="399"/>
      <c r="O212" s="355" t="s">
        <v>661</v>
      </c>
      <c r="P212" s="355" t="s">
        <v>660</v>
      </c>
      <c r="Q212" s="355" t="s">
        <v>659</v>
      </c>
      <c r="R212" s="355"/>
      <c r="S212" s="355"/>
      <c r="T212" s="399"/>
    </row>
    <row r="213" spans="1:28" x14ac:dyDescent="0.2">
      <c r="F213" s="269"/>
      <c r="G213" s="331"/>
      <c r="H213" s="163" t="str">
        <f>H5</f>
        <v>HW forest residues</v>
      </c>
      <c r="I213" s="294" t="s">
        <v>238</v>
      </c>
      <c r="J213" s="568">
        <f t="shared" ref="J213:J218" si="19">N5*O213*$T$215/$T$213/($J$15*10^3)</f>
        <v>3.2709403197797666</v>
      </c>
      <c r="K213" s="567">
        <f>$J$15*1000</f>
        <v>100000</v>
      </c>
      <c r="L213" s="570">
        <v>10</v>
      </c>
      <c r="M213" s="569">
        <f>L213*K213*J213</f>
        <v>3270940.3197797667</v>
      </c>
      <c r="N213" s="399"/>
      <c r="O213" s="451">
        <f>Q213-P213</f>
        <v>0.33333333333333337</v>
      </c>
      <c r="P213" s="455">
        <v>0.16666666666666666</v>
      </c>
      <c r="Q213" s="455">
        <v>0.5</v>
      </c>
      <c r="R213" s="355" t="s">
        <v>655</v>
      </c>
      <c r="S213" s="355" t="s">
        <v>656</v>
      </c>
      <c r="T213" s="364">
        <v>14</v>
      </c>
      <c r="V213" s="399"/>
      <c r="AA213" s="395"/>
      <c r="AB213" s="395"/>
    </row>
    <row r="214" spans="1:28" x14ac:dyDescent="0.2">
      <c r="F214" s="269"/>
      <c r="G214" s="331"/>
      <c r="H214" s="163" t="str">
        <f t="shared" ref="H214:H218" si="20">H6</f>
        <v>HW pulpwood</v>
      </c>
      <c r="I214" s="294" t="s">
        <v>238</v>
      </c>
      <c r="J214" s="568">
        <f t="shared" si="19"/>
        <v>0</v>
      </c>
      <c r="K214" s="567">
        <f t="shared" ref="K214:K218" si="21">$J$15*1000</f>
        <v>100000</v>
      </c>
      <c r="L214" s="570">
        <v>10</v>
      </c>
      <c r="M214" s="569">
        <f t="shared" ref="M214:M218" si="22">L214*K214*J214</f>
        <v>0</v>
      </c>
      <c r="N214" s="399"/>
      <c r="O214" s="451">
        <f t="shared" ref="O214:O218" si="23">Q214-P214</f>
        <v>0.33333333333333337</v>
      </c>
      <c r="P214" s="455">
        <v>0.16666666666666666</v>
      </c>
      <c r="Q214" s="455">
        <v>0.5</v>
      </c>
      <c r="R214" s="355" t="s">
        <v>655</v>
      </c>
      <c r="S214" s="355" t="s">
        <v>657</v>
      </c>
      <c r="T214" s="364">
        <v>16</v>
      </c>
      <c r="V214" s="399"/>
      <c r="AA214" s="395"/>
      <c r="AB214" s="395"/>
    </row>
    <row r="215" spans="1:28" x14ac:dyDescent="0.2">
      <c r="F215" s="269"/>
      <c r="G215" s="331"/>
      <c r="H215" s="163" t="str">
        <f t="shared" si="20"/>
        <v>SW forest residues</v>
      </c>
      <c r="I215" s="294" t="s">
        <v>238</v>
      </c>
      <c r="J215" s="568">
        <f t="shared" si="19"/>
        <v>0</v>
      </c>
      <c r="K215" s="567">
        <f t="shared" si="21"/>
        <v>100000</v>
      </c>
      <c r="L215" s="570">
        <v>10</v>
      </c>
      <c r="M215" s="569">
        <f t="shared" si="22"/>
        <v>0</v>
      </c>
      <c r="N215" s="399"/>
      <c r="O215" s="451">
        <f t="shared" si="23"/>
        <v>0.33333333333333337</v>
      </c>
      <c r="P215" s="455">
        <v>0.16666666666666666</v>
      </c>
      <c r="Q215" s="455">
        <v>0.5</v>
      </c>
      <c r="R215" s="355" t="s">
        <v>655</v>
      </c>
      <c r="S215" s="355" t="s">
        <v>658</v>
      </c>
      <c r="T215" s="364">
        <f>T213+2*T214</f>
        <v>46</v>
      </c>
      <c r="V215" s="399"/>
      <c r="AA215" s="395"/>
      <c r="AB215" s="395"/>
    </row>
    <row r="216" spans="1:28" x14ac:dyDescent="0.2">
      <c r="F216" s="269"/>
      <c r="G216" s="331"/>
      <c r="H216" s="163" t="str">
        <f t="shared" si="20"/>
        <v>SW pulpwood</v>
      </c>
      <c r="I216" s="294" t="s">
        <v>238</v>
      </c>
      <c r="J216" s="568">
        <f t="shared" si="19"/>
        <v>0</v>
      </c>
      <c r="K216" s="567">
        <f t="shared" si="21"/>
        <v>100000</v>
      </c>
      <c r="L216" s="570">
        <v>10</v>
      </c>
      <c r="M216" s="569">
        <f t="shared" si="22"/>
        <v>0</v>
      </c>
      <c r="N216" s="399"/>
      <c r="O216" s="451">
        <f t="shared" si="23"/>
        <v>0.33333333333333337</v>
      </c>
      <c r="P216" s="455">
        <v>0.16666666666666666</v>
      </c>
      <c r="Q216" s="455">
        <v>0.5</v>
      </c>
      <c r="R216" s="355" t="s">
        <v>655</v>
      </c>
      <c r="S216" s="355"/>
      <c r="T216" s="355"/>
      <c r="U216" s="355"/>
      <c r="V216" s="399"/>
      <c r="AA216" s="395"/>
      <c r="AB216" s="395"/>
    </row>
    <row r="217" spans="1:28" x14ac:dyDescent="0.2">
      <c r="F217" s="269"/>
      <c r="G217" s="331"/>
      <c r="H217" s="163" t="str">
        <f t="shared" si="20"/>
        <v>Cane trash</v>
      </c>
      <c r="I217" s="294" t="s">
        <v>238</v>
      </c>
      <c r="J217" s="568">
        <f t="shared" si="19"/>
        <v>0</v>
      </c>
      <c r="K217" s="567">
        <f t="shared" si="21"/>
        <v>100000</v>
      </c>
      <c r="L217" s="570">
        <v>10</v>
      </c>
      <c r="M217" s="569">
        <f t="shared" si="22"/>
        <v>0</v>
      </c>
      <c r="N217" s="399"/>
      <c r="O217" s="451">
        <f t="shared" si="23"/>
        <v>0.31333333333333335</v>
      </c>
      <c r="P217" s="455">
        <v>0.15666666666666665</v>
      </c>
      <c r="Q217" s="455">
        <v>0.47</v>
      </c>
      <c r="R217" s="355" t="s">
        <v>655</v>
      </c>
      <c r="S217" s="355"/>
      <c r="T217" s="355"/>
      <c r="U217" s="355"/>
      <c r="V217" s="399"/>
      <c r="AA217" s="395"/>
      <c r="AB217" s="395"/>
    </row>
    <row r="218" spans="1:28" x14ac:dyDescent="0.2">
      <c r="F218" s="269"/>
      <c r="G218" s="331"/>
      <c r="H218" s="163" t="str">
        <f t="shared" si="20"/>
        <v>Mallee Eucalypt</v>
      </c>
      <c r="I218" s="294" t="s">
        <v>238</v>
      </c>
      <c r="J218" s="568">
        <f t="shared" si="19"/>
        <v>0</v>
      </c>
      <c r="K218" s="567">
        <f t="shared" si="21"/>
        <v>100000</v>
      </c>
      <c r="L218" s="570">
        <v>10</v>
      </c>
      <c r="M218" s="569">
        <f t="shared" si="22"/>
        <v>0</v>
      </c>
      <c r="N218" s="399"/>
      <c r="O218" s="451">
        <f t="shared" si="23"/>
        <v>0.33333333333333337</v>
      </c>
      <c r="P218" s="455">
        <v>0.16666666666666666</v>
      </c>
      <c r="Q218" s="455">
        <v>0.5</v>
      </c>
      <c r="R218" s="355" t="s">
        <v>655</v>
      </c>
      <c r="S218" s="355"/>
      <c r="T218" s="355"/>
      <c r="U218" s="355"/>
      <c r="V218" s="399"/>
      <c r="AA218" s="395"/>
      <c r="AB218" s="395"/>
    </row>
    <row r="219" spans="1:28" x14ac:dyDescent="0.2">
      <c r="F219" s="269"/>
      <c r="G219" s="331"/>
      <c r="H219" s="163"/>
      <c r="I219" s="279"/>
      <c r="J219" s="328"/>
      <c r="K219" s="328"/>
      <c r="L219" s="378"/>
      <c r="M219" s="370">
        <f>SUM(M213:M218)</f>
        <v>3270940.3197797667</v>
      </c>
      <c r="N219" s="399"/>
      <c r="O219" s="432"/>
      <c r="P219" s="355"/>
      <c r="Q219" s="355"/>
      <c r="R219" s="355"/>
      <c r="S219" s="355"/>
      <c r="T219" s="399"/>
    </row>
    <row r="220" spans="1:28" x14ac:dyDescent="0.2">
      <c r="F220" s="269"/>
      <c r="G220" s="269"/>
      <c r="H220" s="272"/>
      <c r="I220" s="294"/>
      <c r="J220" s="342"/>
      <c r="K220" s="268"/>
      <c r="L220" s="360"/>
      <c r="M220" s="268"/>
      <c r="N220" s="399"/>
      <c r="O220" s="355"/>
      <c r="P220" s="355"/>
      <c r="Q220" s="355"/>
      <c r="R220" s="355"/>
      <c r="S220" s="355"/>
      <c r="T220" s="399"/>
    </row>
    <row r="221" spans="1:28" ht="14.25" x14ac:dyDescent="0.2">
      <c r="F221" s="269"/>
      <c r="G221" s="269"/>
      <c r="H221" s="272" t="s">
        <v>221</v>
      </c>
      <c r="I221" s="294" t="s">
        <v>239</v>
      </c>
      <c r="J221" s="359"/>
      <c r="K221" s="268"/>
      <c r="L221" s="357"/>
      <c r="M221" s="268"/>
      <c r="N221" s="399"/>
      <c r="O221" s="367" t="s">
        <v>240</v>
      </c>
      <c r="P221" s="355"/>
      <c r="Q221" s="364">
        <v>0.6</v>
      </c>
      <c r="R221" s="367" t="s">
        <v>241</v>
      </c>
      <c r="S221" s="364">
        <v>37</v>
      </c>
      <c r="T221" s="422" t="s">
        <v>242</v>
      </c>
    </row>
    <row r="222" spans="1:28" x14ac:dyDescent="0.2">
      <c r="F222" s="269"/>
      <c r="G222" s="269"/>
      <c r="H222" s="268"/>
      <c r="I222" s="294" t="s">
        <v>243</v>
      </c>
      <c r="J222" s="359"/>
      <c r="K222" s="358">
        <f>J17</f>
        <v>335.8</v>
      </c>
      <c r="L222" s="357">
        <f>7/1000</f>
        <v>7.0000000000000001E-3</v>
      </c>
      <c r="M222" s="421"/>
      <c r="N222" s="399"/>
      <c r="O222" s="355"/>
      <c r="P222" s="355"/>
      <c r="Q222" s="355"/>
      <c r="R222" s="355"/>
      <c r="S222" s="355"/>
      <c r="T222" s="399"/>
    </row>
    <row r="223" spans="1:28" x14ac:dyDescent="0.2">
      <c r="F223" s="269"/>
      <c r="G223" s="269"/>
      <c r="H223" s="272" t="s">
        <v>244</v>
      </c>
      <c r="I223" s="294" t="s">
        <v>245</v>
      </c>
      <c r="J223" s="288" t="str">
        <f>K164</f>
        <v xml:space="preserve"> Quantity</v>
      </c>
      <c r="K223" s="355">
        <f>K78</f>
        <v>79995.823038092189</v>
      </c>
      <c r="L223" s="342">
        <v>80</v>
      </c>
      <c r="M223" s="367">
        <f>L223*K223</f>
        <v>6399665.8430473749</v>
      </c>
      <c r="N223" s="268"/>
      <c r="O223" s="275" t="s">
        <v>246</v>
      </c>
      <c r="P223" s="355"/>
      <c r="Q223" s="355"/>
      <c r="R223" s="355"/>
      <c r="S223" s="355"/>
      <c r="T223" s="399"/>
    </row>
    <row r="224" spans="1:28" x14ac:dyDescent="0.2">
      <c r="F224" s="269"/>
      <c r="G224" s="269"/>
      <c r="H224" s="272" t="s">
        <v>247</v>
      </c>
      <c r="I224" s="294"/>
      <c r="J224" s="268"/>
      <c r="K224" s="268"/>
      <c r="L224" s="268"/>
      <c r="M224" s="268"/>
      <c r="N224" s="268"/>
      <c r="O224" s="272"/>
      <c r="P224" s="355"/>
      <c r="Q224" s="355"/>
      <c r="R224" s="355"/>
      <c r="S224" s="355"/>
      <c r="T224" s="399"/>
    </row>
    <row r="225" spans="6:27" x14ac:dyDescent="0.2">
      <c r="F225" s="269"/>
      <c r="G225" s="269"/>
      <c r="H225" s="323" t="s">
        <v>365</v>
      </c>
      <c r="I225" s="294"/>
      <c r="J225" s="268"/>
      <c r="K225" s="268"/>
      <c r="L225" s="268"/>
      <c r="M225" s="354">
        <f>SUM(M220:M223)</f>
        <v>6399665.8430473749</v>
      </c>
      <c r="N225" s="268"/>
      <c r="O225" s="272"/>
      <c r="P225" s="355"/>
      <c r="Q225" s="355"/>
      <c r="R225" s="355"/>
      <c r="S225" s="355"/>
      <c r="T225" s="399"/>
    </row>
    <row r="226" spans="6:27" x14ac:dyDescent="0.2">
      <c r="F226" s="269"/>
      <c r="G226" s="269"/>
      <c r="H226" s="272"/>
      <c r="I226" s="294"/>
      <c r="J226" s="268"/>
      <c r="K226" s="268"/>
      <c r="L226" s="268"/>
      <c r="M226" s="268"/>
      <c r="N226" s="399"/>
      <c r="O226" s="367"/>
      <c r="P226" s="355"/>
      <c r="Q226" s="355"/>
      <c r="R226" s="355"/>
      <c r="S226" s="355"/>
      <c r="T226" s="399"/>
    </row>
    <row r="227" spans="6:27" x14ac:dyDescent="0.2">
      <c r="F227" s="269"/>
      <c r="G227" s="264"/>
      <c r="H227" s="263"/>
      <c r="I227" s="266"/>
      <c r="J227" s="352">
        <v>0</v>
      </c>
      <c r="K227" s="351">
        <v>1</v>
      </c>
      <c r="L227" s="351">
        <v>2</v>
      </c>
      <c r="M227" s="351">
        <v>3</v>
      </c>
      <c r="N227" s="351">
        <v>4</v>
      </c>
      <c r="O227" s="351">
        <v>5</v>
      </c>
      <c r="P227" s="351">
        <v>6</v>
      </c>
      <c r="Q227" s="351">
        <v>7</v>
      </c>
      <c r="R227" s="351">
        <v>8</v>
      </c>
      <c r="S227" s="351">
        <v>9</v>
      </c>
      <c r="T227" s="351">
        <v>10</v>
      </c>
      <c r="U227" s="351">
        <v>11</v>
      </c>
      <c r="V227" s="351">
        <v>12</v>
      </c>
      <c r="W227" s="351">
        <v>13</v>
      </c>
      <c r="X227" s="351">
        <v>14</v>
      </c>
      <c r="Y227" s="351">
        <v>15</v>
      </c>
      <c r="Z227" s="350">
        <v>16</v>
      </c>
    </row>
    <row r="228" spans="6:27" x14ac:dyDescent="0.2">
      <c r="F228" s="269"/>
      <c r="G228" s="318">
        <v>12</v>
      </c>
      <c r="H228" s="349" t="s">
        <v>248</v>
      </c>
      <c r="I228" s="348"/>
      <c r="J228" s="314" t="s">
        <v>249</v>
      </c>
      <c r="K228" s="347" t="s">
        <v>250</v>
      </c>
      <c r="L228" s="347" t="s">
        <v>251</v>
      </c>
      <c r="M228" s="347" t="s">
        <v>252</v>
      </c>
      <c r="N228" s="420" t="s">
        <v>253</v>
      </c>
      <c r="O228" s="420" t="s">
        <v>254</v>
      </c>
      <c r="P228" s="420" t="s">
        <v>255</v>
      </c>
      <c r="Q228" s="420" t="s">
        <v>256</v>
      </c>
      <c r="R228" s="420" t="s">
        <v>257</v>
      </c>
      <c r="S228" s="420" t="s">
        <v>258</v>
      </c>
      <c r="T228" s="420" t="s">
        <v>259</v>
      </c>
      <c r="U228" s="420" t="s">
        <v>260</v>
      </c>
      <c r="V228" s="420" t="s">
        <v>261</v>
      </c>
      <c r="W228" s="420" t="s">
        <v>262</v>
      </c>
      <c r="X228" s="420" t="s">
        <v>263</v>
      </c>
      <c r="Y228" s="420" t="s">
        <v>264</v>
      </c>
      <c r="Z228" s="419" t="s">
        <v>265</v>
      </c>
    </row>
    <row r="229" spans="6:27" x14ac:dyDescent="0.2">
      <c r="F229" s="269"/>
      <c r="G229" s="269"/>
      <c r="H229" s="272" t="s">
        <v>266</v>
      </c>
      <c r="I229" s="294"/>
      <c r="J229" s="346">
        <v>0</v>
      </c>
      <c r="K229" s="345">
        <f t="shared" ref="K229:Z230" si="24">J229</f>
        <v>0</v>
      </c>
      <c r="L229" s="345">
        <f t="shared" si="24"/>
        <v>0</v>
      </c>
      <c r="M229" s="345">
        <f t="shared" si="24"/>
        <v>0</v>
      </c>
      <c r="N229" s="415">
        <f t="shared" si="24"/>
        <v>0</v>
      </c>
      <c r="O229" s="386">
        <f t="shared" si="24"/>
        <v>0</v>
      </c>
      <c r="P229" s="415">
        <f>O229</f>
        <v>0</v>
      </c>
      <c r="Q229" s="415">
        <f>P229</f>
        <v>0</v>
      </c>
      <c r="R229" s="415">
        <f t="shared" si="24"/>
        <v>0</v>
      </c>
      <c r="S229" s="415">
        <f t="shared" si="24"/>
        <v>0</v>
      </c>
      <c r="T229" s="415">
        <f t="shared" si="24"/>
        <v>0</v>
      </c>
      <c r="U229" s="415">
        <f t="shared" si="24"/>
        <v>0</v>
      </c>
      <c r="V229" s="415">
        <f t="shared" si="24"/>
        <v>0</v>
      </c>
      <c r="W229" s="415">
        <f t="shared" si="24"/>
        <v>0</v>
      </c>
      <c r="X229" s="415">
        <f t="shared" si="24"/>
        <v>0</v>
      </c>
      <c r="Y229" s="415">
        <f t="shared" si="24"/>
        <v>0</v>
      </c>
      <c r="Z229" s="414">
        <f t="shared" si="24"/>
        <v>0</v>
      </c>
      <c r="AA229" s="344"/>
    </row>
    <row r="230" spans="6:27" x14ac:dyDescent="0.2">
      <c r="F230" s="269"/>
      <c r="G230" s="269"/>
      <c r="H230" s="272" t="s">
        <v>267</v>
      </c>
      <c r="I230" s="294"/>
      <c r="J230" s="346">
        <v>0</v>
      </c>
      <c r="K230" s="345">
        <f t="shared" si="24"/>
        <v>0</v>
      </c>
      <c r="L230" s="345">
        <f t="shared" si="24"/>
        <v>0</v>
      </c>
      <c r="M230" s="345">
        <f t="shared" si="24"/>
        <v>0</v>
      </c>
      <c r="N230" s="415">
        <f t="shared" si="24"/>
        <v>0</v>
      </c>
      <c r="O230" s="386">
        <f t="shared" si="24"/>
        <v>0</v>
      </c>
      <c r="P230" s="415">
        <f>O230</f>
        <v>0</v>
      </c>
      <c r="Q230" s="415">
        <f>P230</f>
        <v>0</v>
      </c>
      <c r="R230" s="415">
        <f t="shared" si="24"/>
        <v>0</v>
      </c>
      <c r="S230" s="415">
        <f t="shared" si="24"/>
        <v>0</v>
      </c>
      <c r="T230" s="415">
        <f t="shared" si="24"/>
        <v>0</v>
      </c>
      <c r="U230" s="415">
        <f t="shared" si="24"/>
        <v>0</v>
      </c>
      <c r="V230" s="415">
        <f t="shared" si="24"/>
        <v>0</v>
      </c>
      <c r="W230" s="415">
        <f t="shared" si="24"/>
        <v>0</v>
      </c>
      <c r="X230" s="415">
        <f t="shared" si="24"/>
        <v>0</v>
      </c>
      <c r="Y230" s="415">
        <f t="shared" si="24"/>
        <v>0</v>
      </c>
      <c r="Z230" s="414">
        <f t="shared" si="24"/>
        <v>0</v>
      </c>
      <c r="AA230" s="344"/>
    </row>
    <row r="231" spans="6:27" x14ac:dyDescent="0.2">
      <c r="F231" s="269"/>
      <c r="G231" s="269"/>
      <c r="H231" s="272" t="s">
        <v>268</v>
      </c>
      <c r="I231" s="294"/>
      <c r="J231" s="343">
        <v>1</v>
      </c>
      <c r="K231" s="345"/>
      <c r="L231" s="345"/>
      <c r="M231" s="345"/>
      <c r="N231" s="415"/>
      <c r="O231" s="386"/>
      <c r="P231" s="415"/>
      <c r="Q231" s="415"/>
      <c r="R231" s="415"/>
      <c r="S231" s="415"/>
      <c r="T231" s="415"/>
      <c r="U231" s="415"/>
      <c r="V231" s="415"/>
      <c r="W231" s="415"/>
      <c r="X231" s="415"/>
      <c r="Y231" s="415"/>
      <c r="Z231" s="414"/>
      <c r="AA231" s="344"/>
    </row>
    <row r="232" spans="6:27" x14ac:dyDescent="0.2">
      <c r="F232" s="269"/>
      <c r="G232" s="269"/>
      <c r="H232" s="272" t="s">
        <v>269</v>
      </c>
      <c r="I232" s="294"/>
      <c r="J232" s="343">
        <v>1</v>
      </c>
      <c r="K232" s="272"/>
      <c r="L232" s="268"/>
      <c r="M232" s="268"/>
      <c r="N232" s="415"/>
      <c r="O232" s="386"/>
      <c r="P232" s="415"/>
      <c r="Q232" s="415"/>
      <c r="R232" s="415"/>
      <c r="S232" s="415"/>
      <c r="T232" s="415"/>
      <c r="U232" s="415"/>
      <c r="V232" s="415"/>
      <c r="W232" s="415"/>
      <c r="X232" s="415"/>
      <c r="Y232" s="415"/>
      <c r="Z232" s="414"/>
    </row>
    <row r="233" spans="6:27" x14ac:dyDescent="0.2">
      <c r="F233" s="269"/>
      <c r="G233" s="269"/>
      <c r="H233" s="272" t="s">
        <v>270</v>
      </c>
      <c r="I233" s="294"/>
      <c r="J233" s="342">
        <v>0</v>
      </c>
      <c r="K233" s="341">
        <v>0</v>
      </c>
      <c r="L233" s="340">
        <v>0.75</v>
      </c>
      <c r="M233" s="340">
        <v>1</v>
      </c>
      <c r="N233" s="418">
        <f t="shared" ref="N233:Z233" si="25">M233</f>
        <v>1</v>
      </c>
      <c r="O233" s="418">
        <f t="shared" si="25"/>
        <v>1</v>
      </c>
      <c r="P233" s="418">
        <f>O233</f>
        <v>1</v>
      </c>
      <c r="Q233" s="418">
        <f>P233</f>
        <v>1</v>
      </c>
      <c r="R233" s="418">
        <f t="shared" si="25"/>
        <v>1</v>
      </c>
      <c r="S233" s="418">
        <f t="shared" si="25"/>
        <v>1</v>
      </c>
      <c r="T233" s="418">
        <f t="shared" si="25"/>
        <v>1</v>
      </c>
      <c r="U233" s="418">
        <f t="shared" si="25"/>
        <v>1</v>
      </c>
      <c r="V233" s="418">
        <f t="shared" si="25"/>
        <v>1</v>
      </c>
      <c r="W233" s="418">
        <f t="shared" si="25"/>
        <v>1</v>
      </c>
      <c r="X233" s="418">
        <f t="shared" si="25"/>
        <v>1</v>
      </c>
      <c r="Y233" s="418">
        <f t="shared" si="25"/>
        <v>1</v>
      </c>
      <c r="Z233" s="417">
        <f t="shared" si="25"/>
        <v>1</v>
      </c>
      <c r="AA233" s="297"/>
    </row>
    <row r="234" spans="6:27" x14ac:dyDescent="0.2">
      <c r="F234" s="269"/>
      <c r="G234" s="269"/>
      <c r="H234" s="339" t="s">
        <v>271</v>
      </c>
      <c r="I234" s="294"/>
      <c r="J234" s="336">
        <f t="shared" ref="J234:Z234" si="26">(1+J229)^J227</f>
        <v>1</v>
      </c>
      <c r="K234" s="336">
        <f t="shared" si="26"/>
        <v>1</v>
      </c>
      <c r="L234" s="336">
        <f t="shared" si="26"/>
        <v>1</v>
      </c>
      <c r="M234" s="336">
        <f t="shared" si="26"/>
        <v>1</v>
      </c>
      <c r="N234" s="373">
        <f t="shared" si="26"/>
        <v>1</v>
      </c>
      <c r="O234" s="373">
        <f t="shared" si="26"/>
        <v>1</v>
      </c>
      <c r="P234" s="373">
        <f t="shared" si="26"/>
        <v>1</v>
      </c>
      <c r="Q234" s="373">
        <f t="shared" si="26"/>
        <v>1</v>
      </c>
      <c r="R234" s="373">
        <f t="shared" si="26"/>
        <v>1</v>
      </c>
      <c r="S234" s="373">
        <f t="shared" si="26"/>
        <v>1</v>
      </c>
      <c r="T234" s="373">
        <f t="shared" si="26"/>
        <v>1</v>
      </c>
      <c r="U234" s="373">
        <f t="shared" si="26"/>
        <v>1</v>
      </c>
      <c r="V234" s="373">
        <f t="shared" si="26"/>
        <v>1</v>
      </c>
      <c r="W234" s="373">
        <f t="shared" si="26"/>
        <v>1</v>
      </c>
      <c r="X234" s="373">
        <f t="shared" si="26"/>
        <v>1</v>
      </c>
      <c r="Y234" s="373">
        <f t="shared" si="26"/>
        <v>1</v>
      </c>
      <c r="Z234" s="416">
        <f t="shared" si="26"/>
        <v>1</v>
      </c>
      <c r="AA234" s="336"/>
    </row>
    <row r="235" spans="6:27" x14ac:dyDescent="0.2">
      <c r="F235" s="269"/>
      <c r="G235" s="269"/>
      <c r="H235" s="339" t="s">
        <v>272</v>
      </c>
      <c r="I235" s="294"/>
      <c r="J235" s="336">
        <f t="shared" ref="J235:Z235" si="27">(1+J230)^J227</f>
        <v>1</v>
      </c>
      <c r="K235" s="336">
        <f t="shared" si="27"/>
        <v>1</v>
      </c>
      <c r="L235" s="336">
        <f t="shared" si="27"/>
        <v>1</v>
      </c>
      <c r="M235" s="336">
        <f t="shared" si="27"/>
        <v>1</v>
      </c>
      <c r="N235" s="373">
        <f t="shared" si="27"/>
        <v>1</v>
      </c>
      <c r="O235" s="373">
        <f t="shared" si="27"/>
        <v>1</v>
      </c>
      <c r="P235" s="373">
        <f t="shared" si="27"/>
        <v>1</v>
      </c>
      <c r="Q235" s="373">
        <f t="shared" si="27"/>
        <v>1</v>
      </c>
      <c r="R235" s="373">
        <f t="shared" si="27"/>
        <v>1</v>
      </c>
      <c r="S235" s="373">
        <f t="shared" si="27"/>
        <v>1</v>
      </c>
      <c r="T235" s="373">
        <f t="shared" si="27"/>
        <v>1</v>
      </c>
      <c r="U235" s="373">
        <f t="shared" si="27"/>
        <v>1</v>
      </c>
      <c r="V235" s="373">
        <f t="shared" si="27"/>
        <v>1</v>
      </c>
      <c r="W235" s="373">
        <f t="shared" si="27"/>
        <v>1</v>
      </c>
      <c r="X235" s="373">
        <f t="shared" si="27"/>
        <v>1</v>
      </c>
      <c r="Y235" s="373">
        <f t="shared" si="27"/>
        <v>1</v>
      </c>
      <c r="Z235" s="416">
        <f t="shared" si="27"/>
        <v>1</v>
      </c>
      <c r="AA235" s="336"/>
    </row>
    <row r="236" spans="6:27" x14ac:dyDescent="0.2">
      <c r="F236" s="269"/>
      <c r="G236" s="269"/>
      <c r="H236" s="339" t="s">
        <v>547</v>
      </c>
      <c r="I236" s="294"/>
      <c r="J236" s="336">
        <v>100</v>
      </c>
      <c r="K236" s="336"/>
      <c r="L236" s="336"/>
      <c r="M236" s="336"/>
      <c r="N236" s="373"/>
      <c r="O236" s="373"/>
      <c r="P236" s="373"/>
      <c r="Q236" s="373"/>
      <c r="R236" s="373"/>
      <c r="S236" s="373"/>
      <c r="T236" s="373"/>
      <c r="U236" s="373"/>
      <c r="V236" s="373"/>
      <c r="W236" s="373"/>
      <c r="X236" s="373"/>
      <c r="Y236" s="373"/>
      <c r="Z236" s="416"/>
      <c r="AA236" s="336"/>
    </row>
    <row r="237" spans="6:27" x14ac:dyDescent="0.2">
      <c r="F237" s="269"/>
      <c r="G237" s="269"/>
      <c r="H237" s="339" t="s">
        <v>548</v>
      </c>
      <c r="I237" s="294"/>
      <c r="J237" s="336">
        <v>0.66</v>
      </c>
      <c r="K237" s="336"/>
      <c r="L237" s="336"/>
      <c r="M237" s="336"/>
      <c r="N237" s="373"/>
      <c r="O237" s="373"/>
      <c r="P237" s="373"/>
      <c r="Q237" s="373"/>
      <c r="R237" s="373"/>
      <c r="S237" s="373"/>
      <c r="T237" s="373"/>
      <c r="U237" s="373"/>
      <c r="V237" s="373"/>
      <c r="W237" s="373"/>
      <c r="X237" s="373"/>
      <c r="Y237" s="373"/>
      <c r="Z237" s="416"/>
      <c r="AA237" s="336"/>
    </row>
    <row r="238" spans="6:27" x14ac:dyDescent="0.2">
      <c r="F238" s="269"/>
      <c r="G238" s="269"/>
      <c r="H238" s="335" t="s">
        <v>273</v>
      </c>
      <c r="I238" s="294"/>
      <c r="J238" s="338">
        <v>1</v>
      </c>
      <c r="K238" s="336"/>
      <c r="L238" s="336"/>
      <c r="M238" s="336"/>
      <c r="N238" s="415"/>
      <c r="O238" s="415"/>
      <c r="P238" s="415"/>
      <c r="Q238" s="415"/>
      <c r="R238" s="415"/>
      <c r="S238" s="415"/>
      <c r="T238" s="415"/>
      <c r="U238" s="415"/>
      <c r="V238" s="415"/>
      <c r="W238" s="415"/>
      <c r="X238" s="415"/>
      <c r="Y238" s="415"/>
      <c r="Z238" s="414"/>
      <c r="AA238" s="336"/>
    </row>
    <row r="239" spans="6:27" x14ac:dyDescent="0.2">
      <c r="F239" s="269"/>
      <c r="G239" s="269"/>
      <c r="H239" s="335" t="s">
        <v>274</v>
      </c>
      <c r="I239" s="294"/>
      <c r="J239" s="338">
        <v>0.4</v>
      </c>
      <c r="K239" s="338">
        <v>0.6</v>
      </c>
      <c r="L239" s="336"/>
      <c r="M239" s="336"/>
      <c r="N239" s="415"/>
      <c r="O239" s="415"/>
      <c r="P239" s="415"/>
      <c r="Q239" s="415"/>
      <c r="R239" s="415"/>
      <c r="S239" s="415"/>
      <c r="T239" s="415"/>
      <c r="U239" s="415"/>
      <c r="V239" s="415"/>
      <c r="W239" s="415"/>
      <c r="X239" s="415"/>
      <c r="Y239" s="415"/>
      <c r="Z239" s="414"/>
      <c r="AA239" s="336"/>
    </row>
    <row r="240" spans="6:27" x14ac:dyDescent="0.2">
      <c r="F240" s="269"/>
      <c r="G240" s="269"/>
      <c r="H240" s="335" t="s">
        <v>275</v>
      </c>
      <c r="I240" s="294"/>
      <c r="J240" s="334">
        <v>0.01</v>
      </c>
      <c r="K240" s="333">
        <f t="shared" ref="K240:Z240" si="28">J240</f>
        <v>0.01</v>
      </c>
      <c r="L240" s="333">
        <f t="shared" si="28"/>
        <v>0.01</v>
      </c>
      <c r="M240" s="333">
        <f t="shared" si="28"/>
        <v>0.01</v>
      </c>
      <c r="N240" s="415">
        <f t="shared" si="28"/>
        <v>0.01</v>
      </c>
      <c r="O240" s="415">
        <f t="shared" si="28"/>
        <v>0.01</v>
      </c>
      <c r="P240" s="415">
        <f>O240</f>
        <v>0.01</v>
      </c>
      <c r="Q240" s="415">
        <f>P240</f>
        <v>0.01</v>
      </c>
      <c r="R240" s="415">
        <f t="shared" si="28"/>
        <v>0.01</v>
      </c>
      <c r="S240" s="415">
        <f t="shared" si="28"/>
        <v>0.01</v>
      </c>
      <c r="T240" s="415">
        <f t="shared" si="28"/>
        <v>0.01</v>
      </c>
      <c r="U240" s="415">
        <f t="shared" si="28"/>
        <v>0.01</v>
      </c>
      <c r="V240" s="415">
        <f t="shared" si="28"/>
        <v>0.01</v>
      </c>
      <c r="W240" s="415">
        <f t="shared" si="28"/>
        <v>0.01</v>
      </c>
      <c r="X240" s="415">
        <f t="shared" si="28"/>
        <v>0.01</v>
      </c>
      <c r="Y240" s="415">
        <f t="shared" si="28"/>
        <v>0.01</v>
      </c>
      <c r="Z240" s="414">
        <f t="shared" si="28"/>
        <v>0.01</v>
      </c>
      <c r="AA240" s="333"/>
    </row>
    <row r="241" spans="3:28" x14ac:dyDescent="0.2">
      <c r="F241" s="269"/>
      <c r="G241" s="269"/>
      <c r="H241" s="272" t="s">
        <v>276</v>
      </c>
      <c r="I241" s="294"/>
      <c r="J241" s="332">
        <v>0.2</v>
      </c>
      <c r="K241" s="272" t="s">
        <v>277</v>
      </c>
      <c r="L241" s="268"/>
      <c r="M241" s="268"/>
      <c r="N241" s="355"/>
      <c r="O241" s="367"/>
      <c r="P241" s="355"/>
      <c r="Q241" s="355"/>
      <c r="R241" s="355"/>
      <c r="S241" s="355"/>
      <c r="T241" s="355"/>
      <c r="U241" s="355"/>
      <c r="V241" s="355"/>
      <c r="W241" s="355"/>
      <c r="X241" s="355"/>
      <c r="Y241" s="355"/>
      <c r="Z241" s="399"/>
    </row>
    <row r="242" spans="3:28" x14ac:dyDescent="0.2">
      <c r="F242" s="269"/>
      <c r="G242" s="269"/>
      <c r="H242" s="268"/>
      <c r="I242" s="271"/>
      <c r="J242" s="268"/>
      <c r="K242" s="268"/>
      <c r="L242" s="270"/>
      <c r="M242" s="268"/>
      <c r="N242" s="355"/>
      <c r="O242" s="355"/>
      <c r="P242" s="355"/>
      <c r="Q242" s="355"/>
      <c r="R242" s="355"/>
      <c r="S242" s="355"/>
      <c r="T242" s="355"/>
      <c r="U242" s="355"/>
      <c r="V242" s="355"/>
      <c r="W242" s="355"/>
      <c r="X242" s="355"/>
      <c r="Y242" s="355"/>
      <c r="Z242" s="399"/>
    </row>
    <row r="243" spans="3:28" x14ac:dyDescent="0.2">
      <c r="F243" s="269"/>
      <c r="G243" s="318">
        <v>13</v>
      </c>
      <c r="H243" s="317" t="s">
        <v>278</v>
      </c>
      <c r="I243" s="316"/>
      <c r="J243" s="315" t="s">
        <v>249</v>
      </c>
      <c r="K243" s="313" t="s">
        <v>250</v>
      </c>
      <c r="L243" s="314" t="s">
        <v>251</v>
      </c>
      <c r="M243" s="314" t="s">
        <v>252</v>
      </c>
      <c r="N243" s="410" t="s">
        <v>253</v>
      </c>
      <c r="O243" s="410" t="s">
        <v>254</v>
      </c>
      <c r="P243" s="410" t="s">
        <v>255</v>
      </c>
      <c r="Q243" s="410" t="s">
        <v>256</v>
      </c>
      <c r="R243" s="410" t="s">
        <v>257</v>
      </c>
      <c r="S243" s="410" t="s">
        <v>258</v>
      </c>
      <c r="T243" s="410" t="s">
        <v>259</v>
      </c>
      <c r="U243" s="410" t="s">
        <v>260</v>
      </c>
      <c r="V243" s="410" t="s">
        <v>261</v>
      </c>
      <c r="W243" s="410" t="s">
        <v>262</v>
      </c>
      <c r="X243" s="410" t="s">
        <v>263</v>
      </c>
      <c r="Y243" s="410" t="s">
        <v>264</v>
      </c>
      <c r="Z243" s="409" t="s">
        <v>265</v>
      </c>
      <c r="AB243" s="314"/>
    </row>
    <row r="244" spans="3:28" x14ac:dyDescent="0.2">
      <c r="C244" s="186"/>
      <c r="D244" s="186"/>
      <c r="E244" s="186"/>
      <c r="F244" s="269"/>
      <c r="G244" s="331"/>
      <c r="H244" s="287" t="s">
        <v>279</v>
      </c>
      <c r="I244" s="279"/>
      <c r="J244" s="330"/>
      <c r="K244" s="329"/>
      <c r="L244" s="328"/>
      <c r="M244" s="328"/>
      <c r="N244" s="413"/>
      <c r="O244" s="413"/>
      <c r="P244" s="413"/>
      <c r="Q244" s="413"/>
      <c r="R244" s="413"/>
      <c r="S244" s="413"/>
      <c r="T244" s="413"/>
      <c r="U244" s="413"/>
      <c r="V244" s="413"/>
      <c r="W244" s="413"/>
      <c r="X244" s="413"/>
      <c r="Y244" s="413"/>
      <c r="Z244" s="412"/>
      <c r="AA244" s="328"/>
      <c r="AB244" s="328"/>
    </row>
    <row r="245" spans="3:28" x14ac:dyDescent="0.2">
      <c r="C245" s="186"/>
      <c r="D245" s="186"/>
      <c r="E245" s="186"/>
      <c r="F245" s="269"/>
      <c r="G245" s="331"/>
      <c r="H245" s="274"/>
      <c r="I245" s="279"/>
      <c r="J245" s="330"/>
      <c r="K245" s="329"/>
      <c r="L245" s="325">
        <f t="shared" ref="L245:Z245" si="29">L233*$J$231*L234*SUM($M$33:$M$34)</f>
        <v>0</v>
      </c>
      <c r="M245" s="325">
        <f t="shared" si="29"/>
        <v>0</v>
      </c>
      <c r="N245" s="325">
        <f t="shared" si="29"/>
        <v>0</v>
      </c>
      <c r="O245" s="325">
        <f t="shared" si="29"/>
        <v>0</v>
      </c>
      <c r="P245" s="325">
        <f t="shared" si="29"/>
        <v>0</v>
      </c>
      <c r="Q245" s="325">
        <f t="shared" si="29"/>
        <v>0</v>
      </c>
      <c r="R245" s="325">
        <f t="shared" si="29"/>
        <v>0</v>
      </c>
      <c r="S245" s="325">
        <f t="shared" si="29"/>
        <v>0</v>
      </c>
      <c r="T245" s="325">
        <f t="shared" si="29"/>
        <v>0</v>
      </c>
      <c r="U245" s="325">
        <f t="shared" si="29"/>
        <v>0</v>
      </c>
      <c r="V245" s="325">
        <f t="shared" si="29"/>
        <v>0</v>
      </c>
      <c r="W245" s="325">
        <f t="shared" si="29"/>
        <v>0</v>
      </c>
      <c r="X245" s="325">
        <f t="shared" si="29"/>
        <v>0</v>
      </c>
      <c r="Y245" s="325">
        <f t="shared" si="29"/>
        <v>0</v>
      </c>
      <c r="Z245" s="325">
        <f t="shared" si="29"/>
        <v>0</v>
      </c>
      <c r="AA245" s="328"/>
      <c r="AB245" s="328"/>
    </row>
    <row r="246" spans="3:28" x14ac:dyDescent="0.2">
      <c r="C246" s="186"/>
      <c r="D246" s="186"/>
      <c r="E246" s="186"/>
      <c r="F246" s="269"/>
      <c r="G246" s="331"/>
      <c r="H246" s="274"/>
      <c r="I246" s="279"/>
      <c r="J246" s="330"/>
      <c r="K246" s="329"/>
      <c r="L246" s="325">
        <f t="shared" ref="L246:Z246" si="30">L233*$J$231*L234*$M$35</f>
        <v>0</v>
      </c>
      <c r="M246" s="325">
        <f t="shared" si="30"/>
        <v>0</v>
      </c>
      <c r="N246" s="325">
        <f t="shared" si="30"/>
        <v>0</v>
      </c>
      <c r="O246" s="325">
        <f t="shared" si="30"/>
        <v>0</v>
      </c>
      <c r="P246" s="325">
        <f t="shared" si="30"/>
        <v>0</v>
      </c>
      <c r="Q246" s="325">
        <f t="shared" si="30"/>
        <v>0</v>
      </c>
      <c r="R246" s="325">
        <f t="shared" si="30"/>
        <v>0</v>
      </c>
      <c r="S246" s="325">
        <f t="shared" si="30"/>
        <v>0</v>
      </c>
      <c r="T246" s="325">
        <f t="shared" si="30"/>
        <v>0</v>
      </c>
      <c r="U246" s="325">
        <f t="shared" si="30"/>
        <v>0</v>
      </c>
      <c r="V246" s="325">
        <f t="shared" si="30"/>
        <v>0</v>
      </c>
      <c r="W246" s="325">
        <f t="shared" si="30"/>
        <v>0</v>
      </c>
      <c r="X246" s="325">
        <f t="shared" si="30"/>
        <v>0</v>
      </c>
      <c r="Y246" s="325">
        <f t="shared" si="30"/>
        <v>0</v>
      </c>
      <c r="Z246" s="325">
        <f t="shared" si="30"/>
        <v>0</v>
      </c>
      <c r="AA246" s="328"/>
      <c r="AB246" s="328"/>
    </row>
    <row r="247" spans="3:28" x14ac:dyDescent="0.2">
      <c r="C247" s="186"/>
      <c r="D247" s="186"/>
      <c r="E247" s="186"/>
      <c r="F247" s="269"/>
      <c r="G247" s="331"/>
      <c r="H247" s="272"/>
      <c r="I247" s="279"/>
      <c r="J247" s="330"/>
      <c r="K247" s="329"/>
      <c r="L247" s="325">
        <f t="shared" ref="L247:Z247" si="31">L233*$J$231*L234*$M$36</f>
        <v>0</v>
      </c>
      <c r="M247" s="325">
        <f t="shared" si="31"/>
        <v>0</v>
      </c>
      <c r="N247" s="325">
        <f t="shared" si="31"/>
        <v>0</v>
      </c>
      <c r="O247" s="325">
        <f t="shared" si="31"/>
        <v>0</v>
      </c>
      <c r="P247" s="325">
        <f t="shared" si="31"/>
        <v>0</v>
      </c>
      <c r="Q247" s="325">
        <f t="shared" si="31"/>
        <v>0</v>
      </c>
      <c r="R247" s="325">
        <f t="shared" si="31"/>
        <v>0</v>
      </c>
      <c r="S247" s="325">
        <f t="shared" si="31"/>
        <v>0</v>
      </c>
      <c r="T247" s="325">
        <f t="shared" si="31"/>
        <v>0</v>
      </c>
      <c r="U247" s="325">
        <f t="shared" si="31"/>
        <v>0</v>
      </c>
      <c r="V247" s="325">
        <f t="shared" si="31"/>
        <v>0</v>
      </c>
      <c r="W247" s="325">
        <f t="shared" si="31"/>
        <v>0</v>
      </c>
      <c r="X247" s="325">
        <f t="shared" si="31"/>
        <v>0</v>
      </c>
      <c r="Y247" s="325">
        <f t="shared" si="31"/>
        <v>0</v>
      </c>
      <c r="Z247" s="325">
        <f t="shared" si="31"/>
        <v>0</v>
      </c>
      <c r="AA247" s="328"/>
      <c r="AB247" s="328"/>
    </row>
    <row r="248" spans="3:28" x14ac:dyDescent="0.2">
      <c r="C248" s="186"/>
      <c r="D248" s="186"/>
      <c r="E248" s="186"/>
      <c r="F248" s="269"/>
      <c r="G248" s="269"/>
      <c r="H248" s="272" t="s">
        <v>280</v>
      </c>
      <c r="I248" s="294"/>
      <c r="J248" s="275"/>
      <c r="K248" s="267"/>
      <c r="L248" s="325">
        <f t="shared" ref="L248:Z248" si="32">L233*$J$231*L234*$M$15</f>
        <v>67500000</v>
      </c>
      <c r="M248" s="325">
        <f t="shared" si="32"/>
        <v>90000000</v>
      </c>
      <c r="N248" s="325">
        <f t="shared" si="32"/>
        <v>90000000</v>
      </c>
      <c r="O248" s="325">
        <f t="shared" si="32"/>
        <v>90000000</v>
      </c>
      <c r="P248" s="325">
        <f t="shared" si="32"/>
        <v>90000000</v>
      </c>
      <c r="Q248" s="325">
        <f t="shared" si="32"/>
        <v>90000000</v>
      </c>
      <c r="R248" s="325">
        <f t="shared" si="32"/>
        <v>90000000</v>
      </c>
      <c r="S248" s="325">
        <f t="shared" si="32"/>
        <v>90000000</v>
      </c>
      <c r="T248" s="325">
        <f t="shared" si="32"/>
        <v>90000000</v>
      </c>
      <c r="U248" s="325">
        <f t="shared" si="32"/>
        <v>90000000</v>
      </c>
      <c r="V248" s="325">
        <f t="shared" si="32"/>
        <v>90000000</v>
      </c>
      <c r="W248" s="325">
        <f t="shared" si="32"/>
        <v>90000000</v>
      </c>
      <c r="X248" s="325">
        <f t="shared" si="32"/>
        <v>90000000</v>
      </c>
      <c r="Y248" s="325">
        <f t="shared" si="32"/>
        <v>90000000</v>
      </c>
      <c r="Z248" s="325">
        <f t="shared" si="32"/>
        <v>90000000</v>
      </c>
      <c r="AA248" s="327"/>
    </row>
    <row r="249" spans="3:28" x14ac:dyDescent="0.2">
      <c r="C249" s="186">
        <v>8</v>
      </c>
      <c r="D249" s="186" t="s">
        <v>640</v>
      </c>
      <c r="E249" s="186"/>
      <c r="F249" s="269"/>
      <c r="G249" s="269"/>
      <c r="H249" s="163" t="s">
        <v>626</v>
      </c>
      <c r="I249" s="294"/>
      <c r="J249" s="275"/>
      <c r="K249" s="267"/>
      <c r="L249" s="325">
        <f t="shared" ref="L249:Z249" si="33">L233*$J$231*L234*$M$81</f>
        <v>2672705.7356069945</v>
      </c>
      <c r="M249" s="325">
        <f t="shared" si="33"/>
        <v>3563607.6474759923</v>
      </c>
      <c r="N249" s="325">
        <f t="shared" si="33"/>
        <v>3563607.6474759923</v>
      </c>
      <c r="O249" s="325">
        <f t="shared" si="33"/>
        <v>3563607.6474759923</v>
      </c>
      <c r="P249" s="325">
        <f t="shared" si="33"/>
        <v>3563607.6474759923</v>
      </c>
      <c r="Q249" s="325">
        <f t="shared" si="33"/>
        <v>3563607.6474759923</v>
      </c>
      <c r="R249" s="325">
        <f t="shared" si="33"/>
        <v>3563607.6474759923</v>
      </c>
      <c r="S249" s="325">
        <f t="shared" si="33"/>
        <v>3563607.6474759923</v>
      </c>
      <c r="T249" s="325">
        <f t="shared" si="33"/>
        <v>3563607.6474759923</v>
      </c>
      <c r="U249" s="325">
        <f t="shared" si="33"/>
        <v>3563607.6474759923</v>
      </c>
      <c r="V249" s="325">
        <f t="shared" si="33"/>
        <v>3563607.6474759923</v>
      </c>
      <c r="W249" s="325">
        <f t="shared" si="33"/>
        <v>3563607.6474759923</v>
      </c>
      <c r="X249" s="325">
        <f t="shared" si="33"/>
        <v>3563607.6474759923</v>
      </c>
      <c r="Y249" s="325">
        <f t="shared" si="33"/>
        <v>3563607.6474759923</v>
      </c>
      <c r="Z249" s="325">
        <f t="shared" si="33"/>
        <v>3563607.6474759923</v>
      </c>
      <c r="AA249" s="327"/>
    </row>
    <row r="250" spans="3:28" x14ac:dyDescent="0.2">
      <c r="C250" s="186">
        <v>8</v>
      </c>
      <c r="D250" s="186" t="s">
        <v>640</v>
      </c>
      <c r="E250" s="186"/>
      <c r="F250" s="269"/>
      <c r="G250" s="269"/>
      <c r="H250" s="272" t="s">
        <v>281</v>
      </c>
      <c r="I250" s="294"/>
      <c r="J250" s="275"/>
      <c r="K250" s="267"/>
      <c r="L250" s="325">
        <f t="shared" ref="L250:Z250" si="34">L233*$J$231*L234*$M$225</f>
        <v>4799749.3822855316</v>
      </c>
      <c r="M250" s="325">
        <f t="shared" si="34"/>
        <v>6399665.8430473749</v>
      </c>
      <c r="N250" s="325">
        <f t="shared" si="34"/>
        <v>6399665.8430473749</v>
      </c>
      <c r="O250" s="325">
        <f t="shared" si="34"/>
        <v>6399665.8430473749</v>
      </c>
      <c r="P250" s="325">
        <f t="shared" si="34"/>
        <v>6399665.8430473749</v>
      </c>
      <c r="Q250" s="325">
        <f t="shared" si="34"/>
        <v>6399665.8430473749</v>
      </c>
      <c r="R250" s="325">
        <f t="shared" si="34"/>
        <v>6399665.8430473749</v>
      </c>
      <c r="S250" s="325">
        <f t="shared" si="34"/>
        <v>6399665.8430473749</v>
      </c>
      <c r="T250" s="325">
        <f t="shared" si="34"/>
        <v>6399665.8430473749</v>
      </c>
      <c r="U250" s="325">
        <f t="shared" si="34"/>
        <v>6399665.8430473749</v>
      </c>
      <c r="V250" s="325">
        <f t="shared" si="34"/>
        <v>6399665.8430473749</v>
      </c>
      <c r="W250" s="325">
        <f t="shared" si="34"/>
        <v>6399665.8430473749</v>
      </c>
      <c r="X250" s="325">
        <f t="shared" si="34"/>
        <v>6399665.8430473749</v>
      </c>
      <c r="Y250" s="325">
        <f t="shared" si="34"/>
        <v>6399665.8430473749</v>
      </c>
      <c r="Z250" s="325">
        <f t="shared" si="34"/>
        <v>6399665.8430473749</v>
      </c>
      <c r="AA250" s="327"/>
    </row>
    <row r="251" spans="3:28" x14ac:dyDescent="0.2">
      <c r="C251" s="186"/>
      <c r="D251" s="186"/>
      <c r="E251" s="186"/>
      <c r="F251" s="269"/>
      <c r="G251" s="269"/>
      <c r="H251" s="163" t="s">
        <v>654</v>
      </c>
      <c r="I251" s="294"/>
      <c r="J251" s="275"/>
      <c r="K251" s="625"/>
      <c r="L251" s="643">
        <f>L233*$J$231*L234*$M$219</f>
        <v>2453205.239834825</v>
      </c>
      <c r="M251" s="643">
        <f t="shared" ref="M251:Z251" si="35">M233*$J$231*M234*$M$219</f>
        <v>3270940.3197797667</v>
      </c>
      <c r="N251" s="643">
        <f t="shared" si="35"/>
        <v>3270940.3197797667</v>
      </c>
      <c r="O251" s="643">
        <f t="shared" si="35"/>
        <v>3270940.3197797667</v>
      </c>
      <c r="P251" s="643">
        <f t="shared" si="35"/>
        <v>3270940.3197797667</v>
      </c>
      <c r="Q251" s="643">
        <f t="shared" si="35"/>
        <v>3270940.3197797667</v>
      </c>
      <c r="R251" s="643">
        <f t="shared" si="35"/>
        <v>3270940.3197797667</v>
      </c>
      <c r="S251" s="643">
        <f t="shared" si="35"/>
        <v>3270940.3197797667</v>
      </c>
      <c r="T251" s="643">
        <f t="shared" si="35"/>
        <v>3270940.3197797667</v>
      </c>
      <c r="U251" s="643">
        <f t="shared" si="35"/>
        <v>3270940.3197797667</v>
      </c>
      <c r="V251" s="643">
        <f t="shared" si="35"/>
        <v>3270940.3197797667</v>
      </c>
      <c r="W251" s="643">
        <f t="shared" si="35"/>
        <v>3270940.3197797667</v>
      </c>
      <c r="X251" s="643">
        <f t="shared" si="35"/>
        <v>3270940.3197797667</v>
      </c>
      <c r="Y251" s="643">
        <f t="shared" si="35"/>
        <v>3270940.3197797667</v>
      </c>
      <c r="Z251" s="643">
        <f t="shared" si="35"/>
        <v>3270940.3197797667</v>
      </c>
      <c r="AA251" s="327"/>
    </row>
    <row r="252" spans="3:28" x14ac:dyDescent="0.2">
      <c r="C252" s="186"/>
      <c r="D252" s="186"/>
      <c r="E252" s="186"/>
      <c r="F252" s="269"/>
      <c r="G252" s="269"/>
      <c r="H252" s="272"/>
      <c r="I252" s="294"/>
      <c r="J252" s="275"/>
      <c r="K252" s="625"/>
      <c r="L252" s="646">
        <f t="shared" ref="L252:Z252" si="36">SUM(L245:L250)</f>
        <v>74972455.117892534</v>
      </c>
      <c r="M252" s="647">
        <f t="shared" si="36"/>
        <v>99963273.490523368</v>
      </c>
      <c r="N252" s="647">
        <f t="shared" si="36"/>
        <v>99963273.490523368</v>
      </c>
      <c r="O252" s="647">
        <f t="shared" si="36"/>
        <v>99963273.490523368</v>
      </c>
      <c r="P252" s="647">
        <f t="shared" si="36"/>
        <v>99963273.490523368</v>
      </c>
      <c r="Q252" s="647">
        <f t="shared" si="36"/>
        <v>99963273.490523368</v>
      </c>
      <c r="R252" s="647">
        <f t="shared" si="36"/>
        <v>99963273.490523368</v>
      </c>
      <c r="S252" s="647">
        <f t="shared" si="36"/>
        <v>99963273.490523368</v>
      </c>
      <c r="T252" s="647">
        <f t="shared" si="36"/>
        <v>99963273.490523368</v>
      </c>
      <c r="U252" s="647">
        <f t="shared" si="36"/>
        <v>99963273.490523368</v>
      </c>
      <c r="V252" s="647">
        <f t="shared" si="36"/>
        <v>99963273.490523368</v>
      </c>
      <c r="W252" s="647">
        <f t="shared" si="36"/>
        <v>99963273.490523368</v>
      </c>
      <c r="X252" s="647">
        <f t="shared" si="36"/>
        <v>99963273.490523368</v>
      </c>
      <c r="Y252" s="647">
        <f t="shared" si="36"/>
        <v>99963273.490523368</v>
      </c>
      <c r="Z252" s="648">
        <f t="shared" si="36"/>
        <v>99963273.490523368</v>
      </c>
      <c r="AA252" s="327"/>
    </row>
    <row r="253" spans="3:28" x14ac:dyDescent="0.2">
      <c r="C253" s="186"/>
      <c r="D253" s="186"/>
      <c r="E253" s="186"/>
      <c r="F253" s="269"/>
      <c r="G253" s="269"/>
      <c r="H253" s="287" t="s">
        <v>282</v>
      </c>
      <c r="I253" s="271"/>
      <c r="J253" s="269"/>
      <c r="K253" s="625"/>
      <c r="L253" s="618"/>
      <c r="M253" s="617"/>
      <c r="N253" s="661"/>
      <c r="O253" s="661"/>
      <c r="P253" s="661"/>
      <c r="Q253" s="661"/>
      <c r="R253" s="661"/>
      <c r="S253" s="661"/>
      <c r="T253" s="661"/>
      <c r="U253" s="661"/>
      <c r="V253" s="661"/>
      <c r="W253" s="661"/>
      <c r="X253" s="661"/>
      <c r="Y253" s="661"/>
      <c r="Z253" s="661"/>
      <c r="AA253" s="327"/>
    </row>
    <row r="254" spans="3:28" x14ac:dyDescent="0.2">
      <c r="C254" s="186"/>
      <c r="D254" s="186"/>
      <c r="E254" s="186"/>
      <c r="F254" s="269"/>
      <c r="G254" s="269"/>
      <c r="H254" s="274"/>
      <c r="I254" s="271"/>
      <c r="J254" s="269"/>
      <c r="K254" s="625"/>
      <c r="L254" s="643">
        <f>-$M$166*$J$232*L233*L235</f>
        <v>0</v>
      </c>
      <c r="M254" s="643">
        <f>-$M$166*$J$232*M233*M235</f>
        <v>0</v>
      </c>
      <c r="N254" s="643">
        <f t="shared" ref="N254:Z254" si="37">-$M$165*$J$232*N233*N235</f>
        <v>0</v>
      </c>
      <c r="O254" s="643">
        <f t="shared" si="37"/>
        <v>0</v>
      </c>
      <c r="P254" s="643">
        <f t="shared" si="37"/>
        <v>0</v>
      </c>
      <c r="Q254" s="643">
        <f t="shared" si="37"/>
        <v>0</v>
      </c>
      <c r="R254" s="643">
        <f t="shared" si="37"/>
        <v>0</v>
      </c>
      <c r="S254" s="643">
        <f t="shared" si="37"/>
        <v>0</v>
      </c>
      <c r="T254" s="643">
        <f t="shared" si="37"/>
        <v>0</v>
      </c>
      <c r="U254" s="643">
        <f t="shared" si="37"/>
        <v>0</v>
      </c>
      <c r="V254" s="643">
        <f t="shared" si="37"/>
        <v>0</v>
      </c>
      <c r="W254" s="643">
        <f t="shared" si="37"/>
        <v>0</v>
      </c>
      <c r="X254" s="643">
        <f t="shared" si="37"/>
        <v>0</v>
      </c>
      <c r="Y254" s="643">
        <f t="shared" si="37"/>
        <v>0</v>
      </c>
      <c r="Z254" s="643">
        <f t="shared" si="37"/>
        <v>0</v>
      </c>
      <c r="AA254" s="327"/>
    </row>
    <row r="255" spans="3:28" x14ac:dyDescent="0.2">
      <c r="C255" s="186"/>
      <c r="D255" s="186"/>
      <c r="E255" s="186"/>
      <c r="F255" s="269"/>
      <c r="G255" s="269"/>
      <c r="H255" s="274"/>
      <c r="I255" s="271"/>
      <c r="J255" s="269"/>
      <c r="K255" s="625"/>
      <c r="L255" s="643">
        <f>-$M$167*$J$232*L233*L235</f>
        <v>0</v>
      </c>
      <c r="M255" s="643">
        <f>-$M$167*$J$232*M233*M235</f>
        <v>0</v>
      </c>
      <c r="N255" s="643">
        <f t="shared" ref="N255:Z255" si="38">-$M$166*$J$232*N233*N235</f>
        <v>0</v>
      </c>
      <c r="O255" s="643">
        <f t="shared" si="38"/>
        <v>0</v>
      </c>
      <c r="P255" s="643">
        <f t="shared" si="38"/>
        <v>0</v>
      </c>
      <c r="Q255" s="643">
        <f t="shared" si="38"/>
        <v>0</v>
      </c>
      <c r="R255" s="643">
        <f t="shared" si="38"/>
        <v>0</v>
      </c>
      <c r="S255" s="643">
        <f t="shared" si="38"/>
        <v>0</v>
      </c>
      <c r="T255" s="643">
        <f t="shared" si="38"/>
        <v>0</v>
      </c>
      <c r="U255" s="643">
        <f t="shared" si="38"/>
        <v>0</v>
      </c>
      <c r="V255" s="643">
        <f t="shared" si="38"/>
        <v>0</v>
      </c>
      <c r="W255" s="643">
        <f t="shared" si="38"/>
        <v>0</v>
      </c>
      <c r="X255" s="643">
        <f t="shared" si="38"/>
        <v>0</v>
      </c>
      <c r="Y255" s="643">
        <f t="shared" si="38"/>
        <v>0</v>
      </c>
      <c r="Z255" s="643">
        <f t="shared" si="38"/>
        <v>0</v>
      </c>
      <c r="AA255" s="327"/>
    </row>
    <row r="256" spans="3:28" x14ac:dyDescent="0.2">
      <c r="C256" s="186"/>
      <c r="D256" s="186"/>
      <c r="E256" s="186"/>
      <c r="F256" s="269"/>
      <c r="G256" s="269"/>
      <c r="H256" s="272"/>
      <c r="I256" s="271"/>
      <c r="J256" s="269"/>
      <c r="K256" s="625"/>
      <c r="L256" s="643">
        <f>-$M$168*$J$232*L233*L235</f>
        <v>0</v>
      </c>
      <c r="M256" s="643">
        <f>-$M$168*$J$232*M233*M235</f>
        <v>0</v>
      </c>
      <c r="N256" s="643">
        <f t="shared" ref="N256:Z256" si="39">-$M$167*$J$232*N233*N235</f>
        <v>0</v>
      </c>
      <c r="O256" s="643">
        <f t="shared" si="39"/>
        <v>0</v>
      </c>
      <c r="P256" s="643">
        <f t="shared" si="39"/>
        <v>0</v>
      </c>
      <c r="Q256" s="643">
        <f t="shared" si="39"/>
        <v>0</v>
      </c>
      <c r="R256" s="643">
        <f t="shared" si="39"/>
        <v>0</v>
      </c>
      <c r="S256" s="643">
        <f t="shared" si="39"/>
        <v>0</v>
      </c>
      <c r="T256" s="643">
        <f t="shared" si="39"/>
        <v>0</v>
      </c>
      <c r="U256" s="643">
        <f t="shared" si="39"/>
        <v>0</v>
      </c>
      <c r="V256" s="643">
        <f t="shared" si="39"/>
        <v>0</v>
      </c>
      <c r="W256" s="643">
        <f t="shared" si="39"/>
        <v>0</v>
      </c>
      <c r="X256" s="643">
        <f t="shared" si="39"/>
        <v>0</v>
      </c>
      <c r="Y256" s="643">
        <f t="shared" si="39"/>
        <v>0</v>
      </c>
      <c r="Z256" s="643">
        <f t="shared" si="39"/>
        <v>0</v>
      </c>
      <c r="AA256" s="327"/>
    </row>
    <row r="257" spans="1:27" x14ac:dyDescent="0.2">
      <c r="C257" s="186"/>
      <c r="D257" s="186"/>
      <c r="E257" s="186"/>
      <c r="F257" s="269"/>
      <c r="G257" s="269"/>
      <c r="H257" s="272"/>
      <c r="I257" s="271"/>
      <c r="J257" s="269"/>
      <c r="K257" s="625"/>
      <c r="L257" s="643">
        <f t="shared" ref="L257:Z257" si="40">-$M$169*$J$232*L233*L235</f>
        <v>0</v>
      </c>
      <c r="M257" s="643">
        <f t="shared" si="40"/>
        <v>0</v>
      </c>
      <c r="N257" s="643">
        <f t="shared" si="40"/>
        <v>0</v>
      </c>
      <c r="O257" s="643">
        <f t="shared" si="40"/>
        <v>0</v>
      </c>
      <c r="P257" s="643">
        <f t="shared" si="40"/>
        <v>0</v>
      </c>
      <c r="Q257" s="643">
        <f t="shared" si="40"/>
        <v>0</v>
      </c>
      <c r="R257" s="643">
        <f t="shared" si="40"/>
        <v>0</v>
      </c>
      <c r="S257" s="643">
        <f t="shared" si="40"/>
        <v>0</v>
      </c>
      <c r="T257" s="643">
        <f t="shared" si="40"/>
        <v>0</v>
      </c>
      <c r="U257" s="643">
        <f t="shared" si="40"/>
        <v>0</v>
      </c>
      <c r="V257" s="643">
        <f t="shared" si="40"/>
        <v>0</v>
      </c>
      <c r="W257" s="643">
        <f t="shared" si="40"/>
        <v>0</v>
      </c>
      <c r="X257" s="643">
        <f t="shared" si="40"/>
        <v>0</v>
      </c>
      <c r="Y257" s="643">
        <f t="shared" si="40"/>
        <v>0</v>
      </c>
      <c r="Z257" s="643">
        <f t="shared" si="40"/>
        <v>0</v>
      </c>
      <c r="AA257" s="327"/>
    </row>
    <row r="258" spans="1:27" x14ac:dyDescent="0.2">
      <c r="C258" s="186">
        <v>7</v>
      </c>
      <c r="D258" s="186" t="s">
        <v>184</v>
      </c>
      <c r="E258" s="186"/>
      <c r="F258" s="269"/>
      <c r="G258" s="269"/>
      <c r="H258" s="163" t="s">
        <v>280</v>
      </c>
      <c r="I258" s="271"/>
      <c r="J258" s="269"/>
      <c r="K258" s="625"/>
      <c r="L258" s="643">
        <f>-$M$175*$J$232*L233*L235</f>
        <v>-1676131.875</v>
      </c>
      <c r="M258" s="643">
        <f>-$M$175*$J$232*M233*M235</f>
        <v>-2234842.5</v>
      </c>
      <c r="N258" s="643">
        <f t="shared" ref="N258:Z258" si="41">-$M$175*$J$232*N233*N235</f>
        <v>-2234842.5</v>
      </c>
      <c r="O258" s="643">
        <f t="shared" si="41"/>
        <v>-2234842.5</v>
      </c>
      <c r="P258" s="643">
        <f t="shared" si="41"/>
        <v>-2234842.5</v>
      </c>
      <c r="Q258" s="643">
        <f t="shared" si="41"/>
        <v>-2234842.5</v>
      </c>
      <c r="R258" s="643">
        <f t="shared" si="41"/>
        <v>-2234842.5</v>
      </c>
      <c r="S258" s="643">
        <f t="shared" si="41"/>
        <v>-2234842.5</v>
      </c>
      <c r="T258" s="643">
        <f t="shared" si="41"/>
        <v>-2234842.5</v>
      </c>
      <c r="U258" s="643">
        <f t="shared" si="41"/>
        <v>-2234842.5</v>
      </c>
      <c r="V258" s="643">
        <f t="shared" si="41"/>
        <v>-2234842.5</v>
      </c>
      <c r="W258" s="643">
        <f t="shared" si="41"/>
        <v>-2234842.5</v>
      </c>
      <c r="X258" s="643">
        <f t="shared" si="41"/>
        <v>-2234842.5</v>
      </c>
      <c r="Y258" s="643">
        <f t="shared" si="41"/>
        <v>-2234842.5</v>
      </c>
      <c r="Z258" s="643">
        <f t="shared" si="41"/>
        <v>-2234842.5</v>
      </c>
      <c r="AA258" s="327"/>
    </row>
    <row r="259" spans="1:27" x14ac:dyDescent="0.2">
      <c r="C259" s="186"/>
      <c r="D259" s="186"/>
      <c r="E259" s="186"/>
      <c r="F259" s="269"/>
      <c r="G259" s="269"/>
      <c r="H259" s="287" t="s">
        <v>283</v>
      </c>
      <c r="I259" s="271"/>
      <c r="J259" s="322"/>
      <c r="K259" s="645"/>
      <c r="L259" s="646">
        <f t="shared" ref="L259:Z259" si="42">SUM(L252:L258)</f>
        <v>73296323.242892534</v>
      </c>
      <c r="M259" s="647">
        <f t="shared" si="42"/>
        <v>97728430.990523368</v>
      </c>
      <c r="N259" s="647">
        <f t="shared" si="42"/>
        <v>97728430.990523368</v>
      </c>
      <c r="O259" s="647">
        <f t="shared" si="42"/>
        <v>97728430.990523368</v>
      </c>
      <c r="P259" s="647">
        <f t="shared" si="42"/>
        <v>97728430.990523368</v>
      </c>
      <c r="Q259" s="647">
        <f t="shared" si="42"/>
        <v>97728430.990523368</v>
      </c>
      <c r="R259" s="647">
        <f t="shared" si="42"/>
        <v>97728430.990523368</v>
      </c>
      <c r="S259" s="647">
        <f t="shared" si="42"/>
        <v>97728430.990523368</v>
      </c>
      <c r="T259" s="647">
        <f t="shared" si="42"/>
        <v>97728430.990523368</v>
      </c>
      <c r="U259" s="647">
        <f t="shared" si="42"/>
        <v>97728430.990523368</v>
      </c>
      <c r="V259" s="647">
        <f t="shared" si="42"/>
        <v>97728430.990523368</v>
      </c>
      <c r="W259" s="647">
        <f t="shared" si="42"/>
        <v>97728430.990523368</v>
      </c>
      <c r="X259" s="647">
        <f t="shared" si="42"/>
        <v>97728430.990523368</v>
      </c>
      <c r="Y259" s="647">
        <f t="shared" si="42"/>
        <v>97728430.990523368</v>
      </c>
      <c r="Z259" s="648">
        <f t="shared" si="42"/>
        <v>97728430.990523368</v>
      </c>
      <c r="AA259" s="326"/>
    </row>
    <row r="260" spans="1:27" x14ac:dyDescent="0.2">
      <c r="C260" s="186"/>
      <c r="D260" s="186"/>
      <c r="E260" s="186"/>
      <c r="F260" s="269"/>
      <c r="G260" s="269"/>
      <c r="H260" s="287" t="s">
        <v>284</v>
      </c>
      <c r="I260" s="271"/>
      <c r="J260" s="322"/>
      <c r="K260" s="645"/>
      <c r="L260" s="643"/>
      <c r="M260" s="643"/>
      <c r="N260" s="643"/>
      <c r="O260" s="643"/>
      <c r="P260" s="643"/>
      <c r="Q260" s="643"/>
      <c r="R260" s="643"/>
      <c r="S260" s="643"/>
      <c r="T260" s="643"/>
      <c r="U260" s="643"/>
      <c r="V260" s="643"/>
      <c r="W260" s="643"/>
      <c r="X260" s="643"/>
      <c r="Y260" s="643"/>
      <c r="Z260" s="644"/>
      <c r="AA260" s="323"/>
    </row>
    <row r="261" spans="1:27" x14ac:dyDescent="0.2">
      <c r="C261" s="186">
        <v>1</v>
      </c>
      <c r="D261" s="186" t="str">
        <f>H261</f>
        <v>Feedstock</v>
      </c>
      <c r="E261" s="186"/>
      <c r="F261" s="269"/>
      <c r="G261" s="269"/>
      <c r="H261" s="272" t="s">
        <v>285</v>
      </c>
      <c r="I261" s="271"/>
      <c r="J261" s="322"/>
      <c r="K261" s="645"/>
      <c r="L261" s="643">
        <f t="shared" ref="L261:Z261" si="43">-L233*$M$91*$L$235*$J$232</f>
        <v>-21553591.565735009</v>
      </c>
      <c r="M261" s="643">
        <f t="shared" si="43"/>
        <v>-28738122.087646678</v>
      </c>
      <c r="N261" s="643">
        <f t="shared" si="43"/>
        <v>-28738122.087646678</v>
      </c>
      <c r="O261" s="643">
        <f t="shared" si="43"/>
        <v>-28738122.087646678</v>
      </c>
      <c r="P261" s="643">
        <f t="shared" si="43"/>
        <v>-28738122.087646678</v>
      </c>
      <c r="Q261" s="643">
        <f t="shared" si="43"/>
        <v>-28738122.087646678</v>
      </c>
      <c r="R261" s="643">
        <f t="shared" si="43"/>
        <v>-28738122.087646678</v>
      </c>
      <c r="S261" s="643">
        <f t="shared" si="43"/>
        <v>-28738122.087646678</v>
      </c>
      <c r="T261" s="643">
        <f t="shared" si="43"/>
        <v>-28738122.087646678</v>
      </c>
      <c r="U261" s="643">
        <f t="shared" si="43"/>
        <v>-28738122.087646678</v>
      </c>
      <c r="V261" s="643">
        <f t="shared" si="43"/>
        <v>-28738122.087646678</v>
      </c>
      <c r="W261" s="643">
        <f t="shared" si="43"/>
        <v>-28738122.087646678</v>
      </c>
      <c r="X261" s="643">
        <f t="shared" si="43"/>
        <v>-28738122.087646678</v>
      </c>
      <c r="Y261" s="643">
        <f t="shared" si="43"/>
        <v>-28738122.087646678</v>
      </c>
      <c r="Z261" s="643">
        <f t="shared" si="43"/>
        <v>-28738122.087646678</v>
      </c>
      <c r="AA261" s="325"/>
    </row>
    <row r="262" spans="1:27" x14ac:dyDescent="0.2">
      <c r="C262" s="186">
        <v>2</v>
      </c>
      <c r="D262" s="186" t="str">
        <f>H262</f>
        <v>Chemicals</v>
      </c>
      <c r="E262" s="186"/>
      <c r="F262" s="269"/>
      <c r="G262" s="269"/>
      <c r="H262" s="272" t="s">
        <v>86</v>
      </c>
      <c r="I262" s="271"/>
      <c r="J262" s="322"/>
      <c r="K262" s="645"/>
      <c r="L262" s="643">
        <f t="shared" ref="L262:Z262" si="44">-L$233*$M$127*L$235*$J$232</f>
        <v>-22463089.5948532</v>
      </c>
      <c r="M262" s="643">
        <f t="shared" si="44"/>
        <v>-29950786.126470931</v>
      </c>
      <c r="N262" s="643">
        <f t="shared" si="44"/>
        <v>-29950786.126470931</v>
      </c>
      <c r="O262" s="643">
        <f t="shared" si="44"/>
        <v>-29950786.126470931</v>
      </c>
      <c r="P262" s="643">
        <f>-P$233*$M$127*P$235*$J$232</f>
        <v>-29950786.126470931</v>
      </c>
      <c r="Q262" s="643">
        <f t="shared" si="44"/>
        <v>-29950786.126470931</v>
      </c>
      <c r="R262" s="643">
        <f t="shared" si="44"/>
        <v>-29950786.126470931</v>
      </c>
      <c r="S262" s="643">
        <f t="shared" si="44"/>
        <v>-29950786.126470931</v>
      </c>
      <c r="T262" s="643">
        <f t="shared" si="44"/>
        <v>-29950786.126470931</v>
      </c>
      <c r="U262" s="643">
        <f t="shared" si="44"/>
        <v>-29950786.126470931</v>
      </c>
      <c r="V262" s="643">
        <f t="shared" si="44"/>
        <v>-29950786.126470931</v>
      </c>
      <c r="W262" s="643">
        <f t="shared" si="44"/>
        <v>-29950786.126470931</v>
      </c>
      <c r="X262" s="643">
        <f t="shared" si="44"/>
        <v>-29950786.126470931</v>
      </c>
      <c r="Y262" s="643">
        <f t="shared" si="44"/>
        <v>-29950786.126470931</v>
      </c>
      <c r="Z262" s="643">
        <f t="shared" si="44"/>
        <v>-29950786.126470931</v>
      </c>
      <c r="AA262" s="287"/>
    </row>
    <row r="263" spans="1:27" x14ac:dyDescent="0.2">
      <c r="C263" s="186">
        <v>3</v>
      </c>
      <c r="D263" s="186" t="s">
        <v>129</v>
      </c>
      <c r="E263" s="186"/>
      <c r="F263" s="269"/>
      <c r="G263" s="269"/>
      <c r="H263" s="272" t="s">
        <v>139</v>
      </c>
      <c r="I263" s="271"/>
      <c r="J263" s="322"/>
      <c r="K263" s="645"/>
      <c r="L263" s="643">
        <f t="shared" ref="L263:Z263" si="45">-L$233*$M$150*L$235*$J$232</f>
        <v>-2722500</v>
      </c>
      <c r="M263" s="643">
        <f t="shared" si="45"/>
        <v>-3630000</v>
      </c>
      <c r="N263" s="643">
        <f t="shared" si="45"/>
        <v>-3630000</v>
      </c>
      <c r="O263" s="643">
        <f t="shared" si="45"/>
        <v>-3630000</v>
      </c>
      <c r="P263" s="643">
        <f>-P$233*$M$150*P$235*$J$232</f>
        <v>-3630000</v>
      </c>
      <c r="Q263" s="643">
        <f t="shared" si="45"/>
        <v>-3630000</v>
      </c>
      <c r="R263" s="643">
        <f t="shared" si="45"/>
        <v>-3630000</v>
      </c>
      <c r="S263" s="643">
        <f t="shared" si="45"/>
        <v>-3630000</v>
      </c>
      <c r="T263" s="643">
        <f t="shared" si="45"/>
        <v>-3630000</v>
      </c>
      <c r="U263" s="643">
        <f t="shared" si="45"/>
        <v>-3630000</v>
      </c>
      <c r="V263" s="643">
        <f t="shared" si="45"/>
        <v>-3630000</v>
      </c>
      <c r="W263" s="643">
        <f t="shared" si="45"/>
        <v>-3630000</v>
      </c>
      <c r="X263" s="643">
        <f t="shared" si="45"/>
        <v>-3630000</v>
      </c>
      <c r="Y263" s="643">
        <f t="shared" si="45"/>
        <v>-3630000</v>
      </c>
      <c r="Z263" s="643">
        <f t="shared" si="45"/>
        <v>-3630000</v>
      </c>
      <c r="AA263" s="287"/>
    </row>
    <row r="264" spans="1:27" x14ac:dyDescent="0.2">
      <c r="C264" s="186">
        <v>3</v>
      </c>
      <c r="D264" s="186" t="s">
        <v>129</v>
      </c>
      <c r="E264" s="186"/>
      <c r="F264" s="269"/>
      <c r="G264" s="269"/>
      <c r="H264" s="272" t="s">
        <v>286</v>
      </c>
      <c r="I264" s="271"/>
      <c r="J264" s="322"/>
      <c r="K264" s="645"/>
      <c r="L264" s="643">
        <f t="shared" ref="L264:Z264" si="46">-L$233*SUM($M$161,$M$136)*L$235*$J$232</f>
        <v>-3128882.7</v>
      </c>
      <c r="M264" s="643">
        <f t="shared" si="46"/>
        <v>-4171843.6</v>
      </c>
      <c r="N264" s="643">
        <f t="shared" si="46"/>
        <v>-4171843.6</v>
      </c>
      <c r="O264" s="643">
        <f t="shared" si="46"/>
        <v>-4171843.6</v>
      </c>
      <c r="P264" s="643">
        <f>-P$233*SUM($M$161,$M$136)*P$235*$J$232</f>
        <v>-4171843.6</v>
      </c>
      <c r="Q264" s="643">
        <f t="shared" si="46"/>
        <v>-4171843.6</v>
      </c>
      <c r="R264" s="643">
        <f t="shared" si="46"/>
        <v>-4171843.6</v>
      </c>
      <c r="S264" s="643">
        <f t="shared" si="46"/>
        <v>-4171843.6</v>
      </c>
      <c r="T264" s="643">
        <f t="shared" si="46"/>
        <v>-4171843.6</v>
      </c>
      <c r="U264" s="643">
        <f t="shared" si="46"/>
        <v>-4171843.6</v>
      </c>
      <c r="V264" s="643">
        <f t="shared" si="46"/>
        <v>-4171843.6</v>
      </c>
      <c r="W264" s="643">
        <f t="shared" si="46"/>
        <v>-4171843.6</v>
      </c>
      <c r="X264" s="643">
        <f t="shared" si="46"/>
        <v>-4171843.6</v>
      </c>
      <c r="Y264" s="643">
        <f t="shared" si="46"/>
        <v>-4171843.6</v>
      </c>
      <c r="Z264" s="643">
        <f t="shared" si="46"/>
        <v>-4171843.6</v>
      </c>
      <c r="AA264" s="287"/>
    </row>
    <row r="265" spans="1:27" x14ac:dyDescent="0.2">
      <c r="C265" s="186">
        <v>4</v>
      </c>
      <c r="D265" s="186" t="s">
        <v>218</v>
      </c>
      <c r="E265" s="186"/>
      <c r="F265" s="269"/>
      <c r="G265" s="269"/>
      <c r="H265" s="272" t="s">
        <v>218</v>
      </c>
      <c r="I265" s="271"/>
      <c r="J265" s="322"/>
      <c r="K265" s="645"/>
      <c r="L265" s="643">
        <f t="shared" ref="L265:Z265" si="47">-L$233*$M$183*L$235*$J$232</f>
        <v>-6879440.625</v>
      </c>
      <c r="M265" s="643">
        <f t="shared" si="47"/>
        <v>-9172587.5</v>
      </c>
      <c r="N265" s="643">
        <f t="shared" si="47"/>
        <v>-9172587.5</v>
      </c>
      <c r="O265" s="643">
        <f t="shared" si="47"/>
        <v>-9172587.5</v>
      </c>
      <c r="P265" s="643">
        <f>-P$233*$M$183*P$235*$J$232</f>
        <v>-9172587.5</v>
      </c>
      <c r="Q265" s="643">
        <f t="shared" si="47"/>
        <v>-9172587.5</v>
      </c>
      <c r="R265" s="643">
        <f t="shared" si="47"/>
        <v>-9172587.5</v>
      </c>
      <c r="S265" s="643">
        <f t="shared" si="47"/>
        <v>-9172587.5</v>
      </c>
      <c r="T265" s="643">
        <f t="shared" si="47"/>
        <v>-9172587.5</v>
      </c>
      <c r="U265" s="643">
        <f t="shared" si="47"/>
        <v>-9172587.5</v>
      </c>
      <c r="V265" s="643">
        <f t="shared" si="47"/>
        <v>-9172587.5</v>
      </c>
      <c r="W265" s="643">
        <f t="shared" si="47"/>
        <v>-9172587.5</v>
      </c>
      <c r="X265" s="643">
        <f t="shared" si="47"/>
        <v>-9172587.5</v>
      </c>
      <c r="Y265" s="643">
        <f t="shared" si="47"/>
        <v>-9172587.5</v>
      </c>
      <c r="Z265" s="643">
        <f t="shared" si="47"/>
        <v>-9172587.5</v>
      </c>
      <c r="AA265" s="287"/>
    </row>
    <row r="266" spans="1:27" x14ac:dyDescent="0.2">
      <c r="C266" s="186">
        <v>5</v>
      </c>
      <c r="D266" s="186" t="s">
        <v>287</v>
      </c>
      <c r="E266" s="186"/>
      <c r="F266" s="269"/>
      <c r="G266" s="269"/>
      <c r="H266" s="272" t="s">
        <v>190</v>
      </c>
      <c r="I266" s="271"/>
      <c r="J266" s="322"/>
      <c r="K266" s="645"/>
      <c r="L266" s="643">
        <f>-$M$199*$L$235*$J$232*L233</f>
        <v>-2830500</v>
      </c>
      <c r="M266" s="643">
        <f t="shared" ref="M266:Z266" si="48">-$M$199*$L$235*$J$232*M233</f>
        <v>-3774000</v>
      </c>
      <c r="N266" s="643">
        <f t="shared" si="48"/>
        <v>-3774000</v>
      </c>
      <c r="O266" s="643">
        <f t="shared" si="48"/>
        <v>-3774000</v>
      </c>
      <c r="P266" s="643">
        <f t="shared" si="48"/>
        <v>-3774000</v>
      </c>
      <c r="Q266" s="643">
        <f t="shared" si="48"/>
        <v>-3774000</v>
      </c>
      <c r="R266" s="643">
        <f t="shared" si="48"/>
        <v>-3774000</v>
      </c>
      <c r="S266" s="643">
        <f t="shared" si="48"/>
        <v>-3774000</v>
      </c>
      <c r="T266" s="643">
        <f t="shared" si="48"/>
        <v>-3774000</v>
      </c>
      <c r="U266" s="643">
        <f t="shared" si="48"/>
        <v>-3774000</v>
      </c>
      <c r="V266" s="643">
        <f t="shared" si="48"/>
        <v>-3774000</v>
      </c>
      <c r="W266" s="643">
        <f t="shared" si="48"/>
        <v>-3774000</v>
      </c>
      <c r="X266" s="643">
        <f t="shared" si="48"/>
        <v>-3774000</v>
      </c>
      <c r="Y266" s="643">
        <f t="shared" si="48"/>
        <v>-3774000</v>
      </c>
      <c r="Z266" s="643">
        <f t="shared" si="48"/>
        <v>-3774000</v>
      </c>
      <c r="AA266" s="287"/>
    </row>
    <row r="267" spans="1:27" x14ac:dyDescent="0.2">
      <c r="C267" s="186">
        <v>6</v>
      </c>
      <c r="D267" s="186" t="s">
        <v>448</v>
      </c>
      <c r="E267" s="186"/>
      <c r="F267" s="269"/>
      <c r="G267" s="269"/>
      <c r="H267" s="272" t="s">
        <v>288</v>
      </c>
      <c r="I267" s="271"/>
      <c r="J267" s="322"/>
      <c r="K267" s="645"/>
      <c r="L267" s="643">
        <f>-L$233*$M209*L$235*$J$232</f>
        <v>-1644754.6875</v>
      </c>
      <c r="M267" s="643">
        <f t="shared" ref="M267:Z267" si="49">-M$233*$M209*M$235*$J$232</f>
        <v>-2193006.25</v>
      </c>
      <c r="N267" s="643">
        <f t="shared" si="49"/>
        <v>-2193006.25</v>
      </c>
      <c r="O267" s="643">
        <f t="shared" si="49"/>
        <v>-2193006.25</v>
      </c>
      <c r="P267" s="643">
        <f t="shared" si="49"/>
        <v>-2193006.25</v>
      </c>
      <c r="Q267" s="643">
        <f t="shared" si="49"/>
        <v>-2193006.25</v>
      </c>
      <c r="R267" s="643">
        <f t="shared" si="49"/>
        <v>-2193006.25</v>
      </c>
      <c r="S267" s="643">
        <f t="shared" si="49"/>
        <v>-2193006.25</v>
      </c>
      <c r="T267" s="643">
        <f t="shared" si="49"/>
        <v>-2193006.25</v>
      </c>
      <c r="U267" s="643">
        <f t="shared" si="49"/>
        <v>-2193006.25</v>
      </c>
      <c r="V267" s="643">
        <f t="shared" si="49"/>
        <v>-2193006.25</v>
      </c>
      <c r="W267" s="643">
        <f t="shared" si="49"/>
        <v>-2193006.25</v>
      </c>
      <c r="X267" s="643">
        <f t="shared" si="49"/>
        <v>-2193006.25</v>
      </c>
      <c r="Y267" s="643">
        <f t="shared" si="49"/>
        <v>-2193006.25</v>
      </c>
      <c r="Z267" s="643">
        <f t="shared" si="49"/>
        <v>-2193006.25</v>
      </c>
      <c r="AA267" s="287"/>
    </row>
    <row r="268" spans="1:27" x14ac:dyDescent="0.2">
      <c r="A268" s="259" t="s">
        <v>715</v>
      </c>
      <c r="B268" s="259" t="s">
        <v>692</v>
      </c>
      <c r="C268" s="186">
        <v>4</v>
      </c>
      <c r="D268" s="186" t="s">
        <v>218</v>
      </c>
      <c r="E268" s="186"/>
      <c r="F268" s="269"/>
      <c r="G268" s="269"/>
      <c r="H268" s="272" t="s">
        <v>275</v>
      </c>
      <c r="I268" s="271"/>
      <c r="J268" s="322"/>
      <c r="K268" s="321"/>
      <c r="L268" s="325">
        <f>-L288*10^6</f>
        <v>-2869487.5000000005</v>
      </c>
      <c r="M268" s="325">
        <f t="shared" ref="M268:Z268" si="50">-M288*10^6</f>
        <v>-2869487.5000000005</v>
      </c>
      <c r="N268" s="325">
        <f t="shared" si="50"/>
        <v>-2869487.5000000005</v>
      </c>
      <c r="O268" s="325">
        <f t="shared" si="50"/>
        <v>-2869487.5000000005</v>
      </c>
      <c r="P268" s="325">
        <f t="shared" si="50"/>
        <v>-2869487.5000000005</v>
      </c>
      <c r="Q268" s="325">
        <f t="shared" si="50"/>
        <v>-2869487.5000000005</v>
      </c>
      <c r="R268" s="325">
        <f t="shared" si="50"/>
        <v>-2869487.5000000005</v>
      </c>
      <c r="S268" s="325">
        <f t="shared" si="50"/>
        <v>-2869487.5000000005</v>
      </c>
      <c r="T268" s="325">
        <f t="shared" si="50"/>
        <v>-2869487.5000000005</v>
      </c>
      <c r="U268" s="325">
        <f t="shared" si="50"/>
        <v>-2869487.5000000005</v>
      </c>
      <c r="V268" s="325">
        <f t="shared" si="50"/>
        <v>-2869487.5000000005</v>
      </c>
      <c r="W268" s="325">
        <f t="shared" si="50"/>
        <v>-2869487.5000000005</v>
      </c>
      <c r="X268" s="325">
        <f t="shared" si="50"/>
        <v>-2869487.5000000005</v>
      </c>
      <c r="Y268" s="325">
        <f t="shared" si="50"/>
        <v>-2869487.5000000005</v>
      </c>
      <c r="Z268" s="325">
        <f t="shared" si="50"/>
        <v>-2869487.5000000005</v>
      </c>
      <c r="AA268" s="287"/>
    </row>
    <row r="269" spans="1:27" x14ac:dyDescent="0.2">
      <c r="C269" s="186"/>
      <c r="D269" s="186"/>
      <c r="E269" s="186"/>
      <c r="F269" s="269"/>
      <c r="G269" s="269"/>
      <c r="H269" s="272"/>
      <c r="I269" s="271"/>
      <c r="J269" s="322"/>
      <c r="K269" s="321"/>
      <c r="L269" s="325"/>
      <c r="M269" s="325"/>
      <c r="N269" s="325"/>
      <c r="O269" s="325"/>
      <c r="P269" s="325"/>
      <c r="Q269" s="325"/>
      <c r="R269" s="325"/>
      <c r="S269" s="325"/>
      <c r="T269" s="325"/>
      <c r="U269" s="325"/>
      <c r="V269" s="325"/>
      <c r="W269" s="325"/>
      <c r="X269" s="325"/>
      <c r="Y269" s="325"/>
      <c r="Z269" s="324"/>
      <c r="AA269" s="287"/>
    </row>
    <row r="270" spans="1:27" x14ac:dyDescent="0.2">
      <c r="C270" s="186"/>
      <c r="D270" s="186"/>
      <c r="E270" s="186"/>
      <c r="F270" s="269"/>
      <c r="G270" s="269"/>
      <c r="H270" s="656" t="s">
        <v>247</v>
      </c>
      <c r="I270" s="271"/>
      <c r="J270" s="322"/>
      <c r="K270" s="321"/>
      <c r="L270" s="323"/>
      <c r="M270" s="287"/>
      <c r="N270" s="354"/>
      <c r="O270" s="354"/>
      <c r="P270" s="354"/>
      <c r="Q270" s="354"/>
      <c r="R270" s="354"/>
      <c r="S270" s="354"/>
      <c r="T270" s="354"/>
      <c r="U270" s="354"/>
      <c r="V270" s="354"/>
      <c r="W270" s="354"/>
      <c r="X270" s="354"/>
      <c r="Y270" s="354"/>
      <c r="Z270" s="411"/>
      <c r="AA270" s="287"/>
    </row>
    <row r="271" spans="1:27" x14ac:dyDescent="0.2">
      <c r="C271" s="186"/>
      <c r="D271" s="186"/>
      <c r="E271" s="186"/>
      <c r="F271" s="269"/>
      <c r="G271" s="269"/>
      <c r="H271" s="287" t="s">
        <v>290</v>
      </c>
      <c r="I271" s="271"/>
      <c r="J271" s="322"/>
      <c r="K271" s="321"/>
      <c r="L271" s="320">
        <f t="shared" ref="L271:Z271" si="51">SUM(L259:L270)</f>
        <v>9204076.569804322</v>
      </c>
      <c r="M271" s="320">
        <f t="shared" si="51"/>
        <v>13228597.926405758</v>
      </c>
      <c r="N271" s="320">
        <f t="shared" si="51"/>
        <v>13228597.926405758</v>
      </c>
      <c r="O271" s="320">
        <f t="shared" si="51"/>
        <v>13228597.926405758</v>
      </c>
      <c r="P271" s="320">
        <f t="shared" si="51"/>
        <v>13228597.926405758</v>
      </c>
      <c r="Q271" s="320">
        <f t="shared" si="51"/>
        <v>13228597.926405758</v>
      </c>
      <c r="R271" s="320">
        <f t="shared" si="51"/>
        <v>13228597.926405758</v>
      </c>
      <c r="S271" s="320">
        <f t="shared" si="51"/>
        <v>13228597.926405758</v>
      </c>
      <c r="T271" s="320">
        <f t="shared" si="51"/>
        <v>13228597.926405758</v>
      </c>
      <c r="U271" s="320">
        <f t="shared" si="51"/>
        <v>13228597.926405758</v>
      </c>
      <c r="V271" s="320">
        <f t="shared" si="51"/>
        <v>13228597.926405758</v>
      </c>
      <c r="W271" s="320">
        <f t="shared" si="51"/>
        <v>13228597.926405758</v>
      </c>
      <c r="X271" s="320">
        <f t="shared" si="51"/>
        <v>13228597.926405758</v>
      </c>
      <c r="Y271" s="320">
        <f t="shared" si="51"/>
        <v>13228597.926405758</v>
      </c>
      <c r="Z271" s="320">
        <f t="shared" si="51"/>
        <v>13228597.926405758</v>
      </c>
      <c r="AA271" s="287"/>
    </row>
    <row r="272" spans="1:27" x14ac:dyDescent="0.2">
      <c r="C272" s="186"/>
      <c r="D272" s="186"/>
      <c r="E272" s="186"/>
      <c r="F272" s="269"/>
      <c r="G272" s="269"/>
      <c r="H272" s="268"/>
      <c r="I272" s="271"/>
      <c r="J272" s="269"/>
      <c r="K272" s="267"/>
      <c r="L272" s="270"/>
      <c r="M272" s="268"/>
      <c r="N272" s="355"/>
      <c r="O272" s="355"/>
      <c r="P272" s="355"/>
      <c r="Q272" s="355"/>
      <c r="R272" s="355"/>
      <c r="S272" s="355"/>
      <c r="T272" s="355"/>
      <c r="U272" s="355"/>
      <c r="V272" s="355"/>
      <c r="W272" s="355"/>
      <c r="X272" s="355"/>
      <c r="Y272" s="355"/>
      <c r="Z272" s="399"/>
    </row>
    <row r="273" spans="3:27" x14ac:dyDescent="0.2">
      <c r="F273" s="269"/>
      <c r="G273" s="318">
        <v>14</v>
      </c>
      <c r="H273" s="317" t="s">
        <v>291</v>
      </c>
      <c r="I273" s="316" t="s">
        <v>21</v>
      </c>
      <c r="J273" s="315" t="s">
        <v>249</v>
      </c>
      <c r="K273" s="313" t="s">
        <v>250</v>
      </c>
      <c r="L273" s="314" t="s">
        <v>251</v>
      </c>
      <c r="M273" s="314" t="s">
        <v>252</v>
      </c>
      <c r="N273" s="410" t="s">
        <v>253</v>
      </c>
      <c r="O273" s="410" t="s">
        <v>254</v>
      </c>
      <c r="P273" s="410" t="s">
        <v>255</v>
      </c>
      <c r="Q273" s="410" t="s">
        <v>256</v>
      </c>
      <c r="R273" s="410" t="s">
        <v>257</v>
      </c>
      <c r="S273" s="410" t="s">
        <v>258</v>
      </c>
      <c r="T273" s="410" t="s">
        <v>259</v>
      </c>
      <c r="U273" s="410" t="s">
        <v>260</v>
      </c>
      <c r="V273" s="410" t="s">
        <v>261</v>
      </c>
      <c r="W273" s="410" t="s">
        <v>262</v>
      </c>
      <c r="X273" s="410" t="s">
        <v>263</v>
      </c>
      <c r="Y273" s="410" t="s">
        <v>264</v>
      </c>
      <c r="Z273" s="409" t="s">
        <v>265</v>
      </c>
    </row>
    <row r="274" spans="3:27" x14ac:dyDescent="0.2">
      <c r="E274" s="259" t="s">
        <v>484</v>
      </c>
      <c r="F274" s="268"/>
      <c r="G274" s="269"/>
      <c r="H274" s="163" t="s">
        <v>627</v>
      </c>
      <c r="I274" s="310">
        <v>15</v>
      </c>
      <c r="J274" s="308">
        <f t="shared" ref="J274:K282" si="52">J$239*$I274*$J$235*$J$238*(($J$15/$J$236)^$J$237)</f>
        <v>6</v>
      </c>
      <c r="K274" s="299">
        <f t="shared" si="52"/>
        <v>9</v>
      </c>
      <c r="L274" s="270"/>
      <c r="M274" s="268"/>
      <c r="N274" s="355"/>
      <c r="O274" s="355"/>
      <c r="P274" s="355"/>
      <c r="Q274" s="355"/>
      <c r="R274" s="355"/>
      <c r="S274" s="355"/>
      <c r="T274" s="355"/>
      <c r="U274" s="355"/>
      <c r="V274" s="355"/>
      <c r="W274" s="355"/>
      <c r="X274" s="355"/>
      <c r="Y274" s="355"/>
      <c r="Z274" s="399"/>
    </row>
    <row r="275" spans="3:27" x14ac:dyDescent="0.2">
      <c r="E275" s="259">
        <v>0</v>
      </c>
      <c r="F275" s="268"/>
      <c r="G275" s="269"/>
      <c r="H275" s="163" t="s">
        <v>628</v>
      </c>
      <c r="I275" s="310">
        <v>25</v>
      </c>
      <c r="J275" s="308">
        <f t="shared" si="52"/>
        <v>10</v>
      </c>
      <c r="K275" s="299">
        <f t="shared" si="52"/>
        <v>15</v>
      </c>
      <c r="L275" s="270"/>
      <c r="M275" s="268"/>
      <c r="N275" s="355"/>
      <c r="O275" s="355"/>
      <c r="P275" s="355"/>
      <c r="Q275" s="355"/>
      <c r="R275" s="355"/>
      <c r="S275" s="355"/>
      <c r="T275" s="355"/>
      <c r="U275" s="355"/>
      <c r="V275" s="355"/>
      <c r="W275" s="355"/>
      <c r="X275" s="355"/>
      <c r="Y275" s="355"/>
      <c r="Z275" s="399"/>
    </row>
    <row r="276" spans="3:27" x14ac:dyDescent="0.2">
      <c r="E276" s="259">
        <v>1</v>
      </c>
      <c r="F276" s="268"/>
      <c r="G276" s="269"/>
      <c r="H276" s="163" t="s">
        <v>629</v>
      </c>
      <c r="I276" s="310">
        <v>25</v>
      </c>
      <c r="J276" s="308">
        <f t="shared" si="52"/>
        <v>10</v>
      </c>
      <c r="K276" s="299">
        <f t="shared" si="52"/>
        <v>15</v>
      </c>
      <c r="L276" s="270"/>
      <c r="M276" s="268"/>
      <c r="N276" s="355"/>
      <c r="O276" s="355"/>
      <c r="P276" s="355"/>
      <c r="Q276" s="355"/>
      <c r="R276" s="355"/>
      <c r="S276" s="355"/>
      <c r="T276" s="355"/>
      <c r="U276" s="355"/>
      <c r="V276" s="355"/>
      <c r="W276" s="355"/>
      <c r="X276" s="355"/>
      <c r="Y276" s="355"/>
      <c r="Z276" s="399"/>
    </row>
    <row r="277" spans="3:27" x14ac:dyDescent="0.2">
      <c r="E277" s="259">
        <v>1</v>
      </c>
      <c r="F277" s="268"/>
      <c r="G277" s="269"/>
      <c r="H277" s="163" t="s">
        <v>630</v>
      </c>
      <c r="I277" s="310">
        <v>40</v>
      </c>
      <c r="J277" s="308">
        <f t="shared" si="52"/>
        <v>16</v>
      </c>
      <c r="K277" s="299">
        <f t="shared" si="52"/>
        <v>24</v>
      </c>
      <c r="L277" s="270"/>
      <c r="M277" s="268"/>
      <c r="N277" s="355"/>
      <c r="O277" s="355"/>
      <c r="P277" s="355"/>
      <c r="Q277" s="355"/>
      <c r="R277" s="355"/>
      <c r="S277" s="355"/>
      <c r="T277" s="355"/>
      <c r="U277" s="355"/>
      <c r="V277" s="355"/>
      <c r="W277" s="355"/>
      <c r="X277" s="355"/>
      <c r="Y277" s="355"/>
      <c r="Z277" s="399"/>
    </row>
    <row r="278" spans="3:27" x14ac:dyDescent="0.2">
      <c r="E278" s="259">
        <v>1</v>
      </c>
      <c r="F278" s="268"/>
      <c r="G278" s="269"/>
      <c r="H278" s="272" t="s">
        <v>294</v>
      </c>
      <c r="I278" s="310">
        <v>23</v>
      </c>
      <c r="J278" s="308">
        <f t="shared" si="52"/>
        <v>9.2000000000000011</v>
      </c>
      <c r="K278" s="299">
        <f t="shared" si="52"/>
        <v>13.799999999999999</v>
      </c>
      <c r="L278" s="270"/>
      <c r="M278" s="268"/>
      <c r="N278" s="355"/>
      <c r="O278" s="355"/>
      <c r="P278" s="355"/>
      <c r="Q278" s="355"/>
      <c r="R278" s="355"/>
      <c r="S278" s="355"/>
      <c r="T278" s="355"/>
      <c r="U278" s="355"/>
      <c r="V278" s="355"/>
      <c r="W278" s="355"/>
      <c r="X278" s="355"/>
      <c r="Y278" s="355"/>
      <c r="Z278" s="399"/>
    </row>
    <row r="279" spans="3:27" x14ac:dyDescent="0.2">
      <c r="E279" s="259">
        <v>1</v>
      </c>
      <c r="F279" s="268"/>
      <c r="G279" s="269"/>
      <c r="H279" s="272" t="s">
        <v>295</v>
      </c>
      <c r="I279" s="310">
        <v>5</v>
      </c>
      <c r="J279" s="308">
        <f t="shared" si="52"/>
        <v>2</v>
      </c>
      <c r="K279" s="299">
        <f t="shared" si="52"/>
        <v>3</v>
      </c>
      <c r="L279" s="270"/>
      <c r="M279" s="268"/>
      <c r="N279" s="355"/>
      <c r="O279" s="355"/>
      <c r="P279" s="355"/>
      <c r="Q279" s="355"/>
      <c r="R279" s="355"/>
      <c r="S279" s="355"/>
      <c r="T279" s="355"/>
      <c r="U279" s="355"/>
      <c r="V279" s="355"/>
      <c r="W279" s="355"/>
      <c r="X279" s="355"/>
      <c r="Y279" s="355"/>
      <c r="Z279" s="399"/>
    </row>
    <row r="280" spans="3:27" x14ac:dyDescent="0.2">
      <c r="E280" s="259">
        <v>1</v>
      </c>
      <c r="F280" s="268"/>
      <c r="G280" s="269"/>
      <c r="H280" s="272" t="s">
        <v>167</v>
      </c>
      <c r="I280" s="310">
        <v>13</v>
      </c>
      <c r="J280" s="308">
        <f t="shared" si="52"/>
        <v>5.2</v>
      </c>
      <c r="K280" s="299">
        <f t="shared" si="52"/>
        <v>7.8</v>
      </c>
      <c r="L280" s="270"/>
      <c r="M280" s="268"/>
      <c r="N280" s="355"/>
      <c r="O280" s="355"/>
      <c r="P280" s="355"/>
      <c r="Q280" s="355"/>
      <c r="R280" s="355"/>
      <c r="S280" s="355"/>
      <c r="T280" s="355"/>
      <c r="U280" s="355"/>
      <c r="V280" s="355"/>
      <c r="W280" s="355"/>
      <c r="X280" s="355"/>
      <c r="Y280" s="355"/>
      <c r="Z280" s="399"/>
    </row>
    <row r="281" spans="3:27" x14ac:dyDescent="0.2">
      <c r="E281" s="259">
        <v>1</v>
      </c>
      <c r="F281" s="268"/>
      <c r="G281" s="269"/>
      <c r="H281" s="272" t="s">
        <v>461</v>
      </c>
      <c r="I281" s="310">
        <v>40</v>
      </c>
      <c r="J281" s="308">
        <f t="shared" si="52"/>
        <v>16</v>
      </c>
      <c r="K281" s="299">
        <f t="shared" si="52"/>
        <v>24</v>
      </c>
      <c r="L281" s="270"/>
      <c r="M281" s="268"/>
      <c r="N281" s="355"/>
      <c r="O281" s="355"/>
      <c r="P281" s="355"/>
      <c r="Q281" s="355"/>
      <c r="R281" s="355"/>
      <c r="S281" s="355"/>
      <c r="T281" s="355"/>
      <c r="U281" s="355"/>
      <c r="V281" s="355"/>
      <c r="W281" s="355"/>
      <c r="X281" s="355"/>
      <c r="Y281" s="355"/>
      <c r="Z281" s="399"/>
    </row>
    <row r="282" spans="3:27" x14ac:dyDescent="0.2">
      <c r="E282" s="259">
        <v>1</v>
      </c>
      <c r="F282" s="268"/>
      <c r="G282" s="269"/>
      <c r="H282" s="272" t="s">
        <v>462</v>
      </c>
      <c r="I282" s="310">
        <v>5</v>
      </c>
      <c r="J282" s="308">
        <f t="shared" si="52"/>
        <v>2</v>
      </c>
      <c r="K282" s="299">
        <f t="shared" si="52"/>
        <v>3</v>
      </c>
      <c r="L282" s="270"/>
      <c r="M282" s="268"/>
      <c r="N282" s="355"/>
      <c r="O282" s="355"/>
      <c r="P282" s="355"/>
      <c r="Q282" s="355"/>
      <c r="R282" s="355"/>
      <c r="S282" s="355"/>
      <c r="T282" s="355"/>
      <c r="U282" s="355"/>
      <c r="V282" s="355"/>
      <c r="W282" s="355"/>
      <c r="X282" s="355"/>
      <c r="Y282" s="355"/>
      <c r="Z282" s="399"/>
    </row>
    <row r="283" spans="3:27" x14ac:dyDescent="0.2">
      <c r="E283" s="259">
        <v>1</v>
      </c>
      <c r="F283" s="268"/>
      <c r="G283" s="269"/>
      <c r="H283" s="272" t="s">
        <v>298</v>
      </c>
      <c r="I283" s="312">
        <v>0.125</v>
      </c>
      <c r="J283" s="308">
        <f>SUM(J274:J282)*$I283</f>
        <v>9.5500000000000007</v>
      </c>
      <c r="K283" s="299">
        <f>SUM(K274:K282)*$I283</f>
        <v>14.324999999999999</v>
      </c>
      <c r="L283" s="272" t="s">
        <v>367</v>
      </c>
      <c r="N283" s="355"/>
      <c r="O283" s="355"/>
      <c r="P283" s="355"/>
      <c r="Q283" s="355"/>
      <c r="R283" s="355"/>
      <c r="S283" s="355"/>
      <c r="T283" s="355"/>
      <c r="U283" s="355"/>
      <c r="V283" s="355"/>
      <c r="W283" s="355"/>
      <c r="X283" s="355"/>
      <c r="Y283" s="355"/>
      <c r="Z283" s="399"/>
    </row>
    <row r="284" spans="3:27" x14ac:dyDescent="0.2">
      <c r="F284" s="268"/>
      <c r="G284" s="269"/>
      <c r="H284" s="272" t="s">
        <v>368</v>
      </c>
      <c r="I284" s="312">
        <v>0.1</v>
      </c>
      <c r="J284" s="308">
        <f>SUM(J274:J283)*$I284</f>
        <v>8.5950000000000006</v>
      </c>
      <c r="K284" s="299">
        <f>SUM(K274:K283)*$I284</f>
        <v>12.892499999999998</v>
      </c>
      <c r="L284" s="298" t="s">
        <v>369</v>
      </c>
      <c r="M284" s="272"/>
      <c r="N284" s="355"/>
      <c r="O284" s="355"/>
      <c r="P284" s="355"/>
      <c r="Q284" s="355"/>
      <c r="R284" s="355"/>
      <c r="S284" s="355"/>
      <c r="T284" s="355"/>
      <c r="U284" s="355"/>
      <c r="V284" s="355"/>
      <c r="W284" s="355"/>
      <c r="X284" s="355"/>
      <c r="Y284" s="355"/>
      <c r="Z284" s="399"/>
    </row>
    <row r="285" spans="3:27" x14ac:dyDescent="0.2">
      <c r="F285" s="268"/>
      <c r="G285" s="269"/>
      <c r="H285" s="272" t="s">
        <v>370</v>
      </c>
      <c r="I285" s="310">
        <v>7.5</v>
      </c>
      <c r="J285" s="308">
        <f>I285</f>
        <v>7.5</v>
      </c>
      <c r="K285" s="299"/>
      <c r="L285" s="311" t="s">
        <v>371</v>
      </c>
      <c r="M285" s="268"/>
      <c r="N285" s="355"/>
      <c r="O285" s="355"/>
      <c r="P285" s="355"/>
      <c r="Q285" s="355"/>
      <c r="R285" s="355"/>
      <c r="S285" s="355"/>
      <c r="T285" s="355"/>
      <c r="U285" s="355"/>
      <c r="V285" s="355"/>
      <c r="W285" s="355"/>
      <c r="X285" s="355"/>
      <c r="Y285" s="355"/>
      <c r="Z285" s="399"/>
    </row>
    <row r="286" spans="3:27" x14ac:dyDescent="0.2">
      <c r="F286" s="268"/>
      <c r="G286" s="269"/>
      <c r="H286" s="272" t="s">
        <v>372</v>
      </c>
      <c r="I286" s="310">
        <v>17</v>
      </c>
      <c r="J286" s="308">
        <f>J$239*$I286*$J$235*$J$238</f>
        <v>6.8000000000000007</v>
      </c>
      <c r="K286" s="299">
        <f>K$239*$I286*$J$235*$J$238</f>
        <v>10.199999999999999</v>
      </c>
      <c r="L286" s="270"/>
      <c r="M286" s="268"/>
      <c r="N286" s="355"/>
      <c r="O286" s="355"/>
      <c r="P286" s="355"/>
      <c r="Q286" s="355"/>
      <c r="R286" s="355"/>
      <c r="S286" s="355"/>
      <c r="T286" s="355"/>
      <c r="U286" s="355"/>
      <c r="V286" s="355"/>
      <c r="W286" s="355"/>
      <c r="X286" s="355"/>
      <c r="Y286" s="355"/>
      <c r="Z286" s="399"/>
    </row>
    <row r="287" spans="3:27" x14ac:dyDescent="0.2">
      <c r="F287" s="268"/>
      <c r="G287" s="269"/>
      <c r="H287" s="272" t="s">
        <v>299</v>
      </c>
      <c r="I287" s="309">
        <v>0.1</v>
      </c>
      <c r="J287" s="308">
        <f>SUM(J274:J286)*$I287</f>
        <v>10.884500000000001</v>
      </c>
      <c r="K287" s="299">
        <f>SUM(K274:K286)*$I287</f>
        <v>15.201749999999999</v>
      </c>
      <c r="L287" s="270"/>
      <c r="M287" s="268"/>
      <c r="N287" s="355"/>
      <c r="O287" s="355"/>
      <c r="P287" s="355"/>
      <c r="Q287" s="355"/>
      <c r="R287" s="355"/>
      <c r="S287" s="355"/>
      <c r="T287" s="355"/>
      <c r="U287" s="355"/>
      <c r="V287" s="355"/>
      <c r="W287" s="355"/>
      <c r="X287" s="355"/>
      <c r="Y287" s="355"/>
      <c r="Z287" s="399"/>
    </row>
    <row r="288" spans="3:27" x14ac:dyDescent="0.2">
      <c r="C288" s="186">
        <v>4</v>
      </c>
      <c r="D288" s="186" t="s">
        <v>218</v>
      </c>
      <c r="F288" s="268"/>
      <c r="G288" s="269"/>
      <c r="H288" s="163" t="s">
        <v>275</v>
      </c>
      <c r="I288" s="294" t="s">
        <v>300</v>
      </c>
      <c r="J288" s="307"/>
      <c r="K288" s="306"/>
      <c r="L288" s="305">
        <f>L235*L240*SUM($J$289:$K$289)</f>
        <v>2.8694875000000004</v>
      </c>
      <c r="M288" s="305">
        <f t="shared" ref="M288:Z288" si="53">M235*M240*SUM($J$289:$K$289)</f>
        <v>2.8694875000000004</v>
      </c>
      <c r="N288" s="327">
        <f t="shared" si="53"/>
        <v>2.8694875000000004</v>
      </c>
      <c r="O288" s="327">
        <f t="shared" si="53"/>
        <v>2.8694875000000004</v>
      </c>
      <c r="P288" s="327">
        <f t="shared" si="53"/>
        <v>2.8694875000000004</v>
      </c>
      <c r="Q288" s="327">
        <f t="shared" si="53"/>
        <v>2.8694875000000004</v>
      </c>
      <c r="R288" s="327">
        <f t="shared" si="53"/>
        <v>2.8694875000000004</v>
      </c>
      <c r="S288" s="327">
        <f t="shared" si="53"/>
        <v>2.8694875000000004</v>
      </c>
      <c r="T288" s="327">
        <f t="shared" si="53"/>
        <v>2.8694875000000004</v>
      </c>
      <c r="U288" s="327">
        <f t="shared" si="53"/>
        <v>2.8694875000000004</v>
      </c>
      <c r="V288" s="327">
        <f t="shared" si="53"/>
        <v>2.8694875000000004</v>
      </c>
      <c r="W288" s="327">
        <f t="shared" si="53"/>
        <v>2.8694875000000004</v>
      </c>
      <c r="X288" s="327">
        <f t="shared" si="53"/>
        <v>2.8694875000000004</v>
      </c>
      <c r="Y288" s="327">
        <f t="shared" si="53"/>
        <v>2.8694875000000004</v>
      </c>
      <c r="Z288" s="408">
        <f t="shared" si="53"/>
        <v>2.8694875000000004</v>
      </c>
      <c r="AA288" s="305">
        <f>AA235*AA240*SUM($J$253:Z289)</f>
        <v>0</v>
      </c>
    </row>
    <row r="289" spans="3:28" x14ac:dyDescent="0.2">
      <c r="C289" s="186"/>
      <c r="D289" s="186"/>
      <c r="F289" s="268"/>
      <c r="G289" s="269"/>
      <c r="H289" s="287" t="s">
        <v>301</v>
      </c>
      <c r="I289" s="271"/>
      <c r="J289" s="304">
        <f t="shared" ref="J289:Z289" si="54">SUM(J274:J288)</f>
        <v>119.7295</v>
      </c>
      <c r="K289" s="303">
        <f t="shared" si="54"/>
        <v>167.21924999999999</v>
      </c>
      <c r="L289" s="304">
        <f t="shared" si="54"/>
        <v>2.8694875000000004</v>
      </c>
      <c r="M289" s="304">
        <f t="shared" si="54"/>
        <v>2.8694875000000004</v>
      </c>
      <c r="N289" s="362">
        <f t="shared" si="54"/>
        <v>2.8694875000000004</v>
      </c>
      <c r="O289" s="362">
        <f t="shared" si="54"/>
        <v>2.8694875000000004</v>
      </c>
      <c r="P289" s="362">
        <f t="shared" si="54"/>
        <v>2.8694875000000004</v>
      </c>
      <c r="Q289" s="362">
        <f t="shared" si="54"/>
        <v>2.8694875000000004</v>
      </c>
      <c r="R289" s="362">
        <f t="shared" si="54"/>
        <v>2.8694875000000004</v>
      </c>
      <c r="S289" s="362">
        <f t="shared" si="54"/>
        <v>2.8694875000000004</v>
      </c>
      <c r="T289" s="362">
        <f t="shared" si="54"/>
        <v>2.8694875000000004</v>
      </c>
      <c r="U289" s="362">
        <f t="shared" si="54"/>
        <v>2.8694875000000004</v>
      </c>
      <c r="V289" s="362">
        <f t="shared" si="54"/>
        <v>2.8694875000000004</v>
      </c>
      <c r="W289" s="362">
        <f t="shared" si="54"/>
        <v>2.8694875000000004</v>
      </c>
      <c r="X289" s="362">
        <f t="shared" si="54"/>
        <v>2.8694875000000004</v>
      </c>
      <c r="Y289" s="362">
        <f t="shared" si="54"/>
        <v>2.8694875000000004</v>
      </c>
      <c r="Z289" s="407">
        <f t="shared" si="54"/>
        <v>2.8694875000000004</v>
      </c>
    </row>
    <row r="290" spans="3:28" x14ac:dyDescent="0.2">
      <c r="F290" s="268"/>
      <c r="G290" s="269"/>
      <c r="H290" s="268"/>
      <c r="I290" s="271"/>
      <c r="J290" s="269"/>
      <c r="K290" s="267"/>
      <c r="L290" s="270"/>
      <c r="M290" s="268"/>
      <c r="N290" s="355"/>
      <c r="O290" s="355"/>
      <c r="P290" s="355"/>
      <c r="Q290" s="355"/>
      <c r="R290" s="355"/>
      <c r="S290" s="355"/>
      <c r="T290" s="355"/>
      <c r="U290" s="355"/>
      <c r="V290" s="355"/>
      <c r="W290" s="355"/>
      <c r="X290" s="355"/>
      <c r="Y290" s="355"/>
      <c r="Z290" s="399"/>
    </row>
    <row r="291" spans="3:28" x14ac:dyDescent="0.2">
      <c r="F291" s="268"/>
      <c r="G291" s="264"/>
      <c r="H291" s="263"/>
      <c r="I291" s="266"/>
      <c r="J291" s="264"/>
      <c r="K291" s="262"/>
      <c r="L291" s="265"/>
      <c r="M291" s="263"/>
      <c r="N291" s="398"/>
      <c r="O291" s="398"/>
      <c r="P291" s="398"/>
      <c r="Q291" s="398"/>
      <c r="R291" s="398"/>
      <c r="S291" s="398"/>
      <c r="T291" s="398"/>
      <c r="U291" s="398"/>
      <c r="V291" s="398"/>
      <c r="W291" s="398"/>
      <c r="X291" s="398"/>
      <c r="Y291" s="398"/>
      <c r="Z291" s="397"/>
    </row>
    <row r="292" spans="3:28" x14ac:dyDescent="0.2">
      <c r="F292" s="268"/>
      <c r="G292" s="268"/>
      <c r="K292" s="268"/>
      <c r="L292" s="270"/>
      <c r="M292" s="268"/>
      <c r="N292" s="355"/>
      <c r="O292" s="355"/>
      <c r="P292" s="355"/>
      <c r="Q292" s="355"/>
      <c r="R292" s="355"/>
      <c r="S292" s="355"/>
      <c r="T292" s="355"/>
    </row>
    <row r="293" spans="3:28" x14ac:dyDescent="0.2">
      <c r="F293" s="269"/>
      <c r="G293" s="269"/>
      <c r="H293" s="268"/>
      <c r="I293" s="271"/>
      <c r="J293" s="268"/>
      <c r="K293" s="268"/>
      <c r="L293" s="270"/>
      <c r="M293" s="268"/>
      <c r="N293" s="399"/>
      <c r="O293" s="355"/>
      <c r="P293" s="355"/>
      <c r="Q293" s="355"/>
      <c r="R293" s="355"/>
      <c r="S293" s="355"/>
      <c r="T293" s="399"/>
    </row>
    <row r="294" spans="3:28" x14ac:dyDescent="0.2">
      <c r="F294" s="269"/>
      <c r="G294" s="269"/>
      <c r="H294" s="268"/>
      <c r="I294" s="271"/>
      <c r="J294" s="268"/>
      <c r="K294" s="268"/>
      <c r="L294" s="270"/>
      <c r="M294" s="268"/>
      <c r="N294" s="399"/>
      <c r="O294" s="355"/>
      <c r="P294" s="355"/>
      <c r="Q294" s="355"/>
      <c r="R294" s="355"/>
      <c r="S294" s="355"/>
      <c r="T294" s="399"/>
    </row>
    <row r="295" spans="3:28" x14ac:dyDescent="0.2">
      <c r="F295" s="269"/>
      <c r="G295" s="269"/>
      <c r="H295" s="268"/>
      <c r="I295" s="271"/>
      <c r="J295" s="268"/>
      <c r="K295" s="268"/>
      <c r="L295" s="270"/>
      <c r="M295" s="268"/>
      <c r="N295" s="399"/>
      <c r="O295" s="355"/>
      <c r="P295" s="355"/>
      <c r="Q295" s="355"/>
      <c r="R295" s="355"/>
      <c r="S295" s="355"/>
      <c r="T295" s="399"/>
    </row>
    <row r="296" spans="3:28" x14ac:dyDescent="0.2">
      <c r="F296" s="269"/>
      <c r="G296" s="269"/>
      <c r="H296" s="268"/>
      <c r="I296" s="271"/>
      <c r="J296" s="268"/>
      <c r="K296" s="268"/>
      <c r="L296" s="270"/>
      <c r="M296" s="268"/>
      <c r="N296" s="399"/>
      <c r="O296" s="355"/>
      <c r="P296" s="355"/>
      <c r="Q296" s="355"/>
      <c r="R296" s="355"/>
      <c r="S296" s="355"/>
      <c r="T296" s="399"/>
    </row>
    <row r="297" spans="3:28" s="395" customFormat="1" x14ac:dyDescent="0.2">
      <c r="C297" s="259"/>
      <c r="D297" s="259"/>
      <c r="E297" s="259"/>
      <c r="F297" s="269"/>
      <c r="G297" s="269"/>
      <c r="H297" s="268"/>
      <c r="I297" s="271"/>
      <c r="J297" s="268"/>
      <c r="K297" s="268"/>
      <c r="L297" s="270"/>
      <c r="M297" s="268"/>
      <c r="N297" s="399"/>
      <c r="O297" s="355"/>
      <c r="P297" s="355"/>
      <c r="Q297" s="355"/>
      <c r="R297" s="355"/>
      <c r="S297" s="355"/>
      <c r="T297" s="399"/>
      <c r="AA297" s="259"/>
      <c r="AB297" s="259"/>
    </row>
    <row r="298" spans="3:28" s="395" customFormat="1" x14ac:dyDescent="0.2">
      <c r="F298" s="269"/>
      <c r="G298" s="269"/>
      <c r="H298" s="268"/>
      <c r="I298" s="271"/>
      <c r="J298" s="268"/>
      <c r="K298" s="268"/>
      <c r="L298" s="270"/>
      <c r="M298" s="268"/>
      <c r="N298" s="399"/>
      <c r="O298" s="355"/>
      <c r="P298" s="355"/>
      <c r="Q298" s="355"/>
      <c r="R298" s="355"/>
      <c r="S298" s="355"/>
      <c r="T298" s="399"/>
    </row>
    <row r="299" spans="3:28" s="395" customFormat="1" x14ac:dyDescent="0.2">
      <c r="F299" s="269"/>
      <c r="G299" s="269"/>
      <c r="H299" s="268"/>
      <c r="I299" s="271"/>
      <c r="J299" s="268"/>
      <c r="K299" s="268"/>
      <c r="L299" s="270"/>
      <c r="M299" s="268"/>
      <c r="N299" s="399"/>
      <c r="O299" s="355"/>
      <c r="P299" s="355"/>
      <c r="Q299" s="355"/>
      <c r="R299" s="355"/>
      <c r="S299" s="355"/>
      <c r="T299" s="399"/>
    </row>
    <row r="300" spans="3:28" s="395" customFormat="1" x14ac:dyDescent="0.2">
      <c r="F300" s="269"/>
      <c r="G300" s="269"/>
      <c r="H300" s="268"/>
      <c r="I300" s="271"/>
      <c r="J300" s="268"/>
      <c r="K300" s="268"/>
      <c r="L300" s="270"/>
      <c r="M300" s="268"/>
      <c r="N300" s="399"/>
      <c r="O300" s="355"/>
      <c r="P300" s="355"/>
      <c r="Q300" s="355"/>
      <c r="R300" s="355"/>
      <c r="S300" s="355"/>
      <c r="T300" s="399"/>
    </row>
    <row r="301" spans="3:28" s="395" customFormat="1" x14ac:dyDescent="0.2">
      <c r="F301" s="269"/>
      <c r="G301" s="269"/>
      <c r="H301" s="268"/>
      <c r="I301" s="271"/>
      <c r="J301" s="268"/>
      <c r="K301" s="268"/>
      <c r="L301" s="270"/>
      <c r="M301" s="268"/>
      <c r="N301" s="399"/>
      <c r="O301" s="355"/>
      <c r="P301" s="355"/>
      <c r="Q301" s="355"/>
      <c r="R301" s="355"/>
      <c r="S301" s="355"/>
      <c r="T301" s="399"/>
    </row>
    <row r="302" spans="3:28" s="395" customFormat="1" x14ac:dyDescent="0.2">
      <c r="F302" s="269"/>
      <c r="G302" s="269"/>
      <c r="H302" s="268"/>
      <c r="I302" s="271"/>
      <c r="J302" s="268"/>
      <c r="K302" s="268"/>
      <c r="L302" s="270"/>
      <c r="M302" s="268"/>
      <c r="N302" s="399"/>
      <c r="O302" s="355"/>
      <c r="P302" s="355"/>
      <c r="Q302" s="355"/>
      <c r="R302" s="355"/>
      <c r="S302" s="355"/>
      <c r="T302" s="399"/>
    </row>
    <row r="303" spans="3:28" s="395" customFormat="1" x14ac:dyDescent="0.2">
      <c r="F303" s="269"/>
      <c r="G303" s="269"/>
      <c r="H303" s="268"/>
      <c r="I303" s="271"/>
      <c r="J303" s="268"/>
      <c r="K303" s="268"/>
      <c r="L303" s="270"/>
      <c r="M303" s="268"/>
      <c r="N303" s="399"/>
      <c r="O303" s="355"/>
      <c r="P303" s="355"/>
      <c r="Q303" s="355"/>
      <c r="R303" s="355"/>
      <c r="S303" s="355"/>
      <c r="T303" s="399"/>
    </row>
    <row r="304" spans="3:28" s="395" customFormat="1" x14ac:dyDescent="0.2">
      <c r="F304" s="269"/>
      <c r="G304" s="269"/>
      <c r="H304" s="268"/>
      <c r="I304" s="271"/>
      <c r="J304" s="268"/>
      <c r="K304" s="268"/>
      <c r="L304" s="270"/>
      <c r="M304" s="268"/>
      <c r="N304" s="399"/>
      <c r="O304" s="355"/>
      <c r="P304" s="355"/>
      <c r="Q304" s="355"/>
      <c r="R304" s="355"/>
      <c r="S304" s="355"/>
      <c r="T304" s="399"/>
    </row>
    <row r="305" spans="6:20" s="395" customFormat="1" x14ac:dyDescent="0.2">
      <c r="F305" s="269"/>
      <c r="G305" s="269"/>
      <c r="H305" s="268"/>
      <c r="I305" s="271"/>
      <c r="J305" s="268"/>
      <c r="K305" s="268"/>
      <c r="L305" s="270"/>
      <c r="M305" s="268"/>
      <c r="N305" s="399"/>
      <c r="O305" s="355"/>
      <c r="P305" s="355"/>
      <c r="Q305" s="355"/>
      <c r="R305" s="355"/>
      <c r="S305" s="355"/>
      <c r="T305" s="399"/>
    </row>
    <row r="306" spans="6:20" s="395" customFormat="1" x14ac:dyDescent="0.2">
      <c r="F306" s="269"/>
      <c r="G306" s="269"/>
      <c r="H306" s="268"/>
      <c r="I306" s="271"/>
      <c r="J306" s="268"/>
      <c r="K306" s="268"/>
      <c r="L306" s="270"/>
      <c r="M306" s="268"/>
      <c r="N306" s="399"/>
      <c r="O306" s="355"/>
      <c r="P306" s="355"/>
      <c r="Q306" s="355"/>
      <c r="R306" s="355"/>
      <c r="S306" s="355"/>
      <c r="T306" s="399"/>
    </row>
    <row r="307" spans="6:20" s="395" customFormat="1" x14ac:dyDescent="0.2">
      <c r="F307" s="269"/>
      <c r="G307" s="269"/>
      <c r="H307" s="268"/>
      <c r="I307" s="271"/>
      <c r="J307" s="268"/>
      <c r="K307" s="268"/>
      <c r="L307" s="270"/>
      <c r="M307" s="268"/>
      <c r="N307" s="399"/>
      <c r="O307" s="355"/>
      <c r="P307" s="355"/>
      <c r="Q307" s="355"/>
      <c r="R307" s="355"/>
      <c r="S307" s="355"/>
      <c r="T307" s="399"/>
    </row>
    <row r="308" spans="6:20" s="395" customFormat="1" x14ac:dyDescent="0.2">
      <c r="F308" s="269"/>
      <c r="G308" s="269"/>
      <c r="H308" s="268"/>
      <c r="I308" s="271"/>
      <c r="J308" s="268"/>
      <c r="K308" s="268"/>
      <c r="L308" s="270"/>
      <c r="M308" s="268"/>
      <c r="N308" s="399"/>
      <c r="O308" s="355"/>
      <c r="P308" s="355"/>
      <c r="Q308" s="355"/>
      <c r="R308" s="355"/>
      <c r="S308" s="355"/>
      <c r="T308" s="399"/>
    </row>
    <row r="309" spans="6:20" s="395" customFormat="1" x14ac:dyDescent="0.2">
      <c r="F309" s="269"/>
      <c r="G309" s="269"/>
      <c r="H309" s="268"/>
      <c r="I309" s="271"/>
      <c r="J309" s="268"/>
      <c r="K309" s="268"/>
      <c r="L309" s="270"/>
      <c r="M309" s="268"/>
      <c r="N309" s="399"/>
      <c r="O309" s="355"/>
      <c r="P309" s="355"/>
      <c r="Q309" s="355"/>
      <c r="R309" s="355"/>
      <c r="S309" s="355"/>
      <c r="T309" s="399"/>
    </row>
    <row r="310" spans="6:20" s="395" customFormat="1" x14ac:dyDescent="0.2">
      <c r="F310" s="269"/>
      <c r="G310" s="269"/>
      <c r="H310" s="268"/>
      <c r="I310" s="271"/>
      <c r="J310" s="268"/>
      <c r="K310" s="268"/>
      <c r="L310" s="270"/>
      <c r="M310" s="268"/>
      <c r="N310" s="399"/>
      <c r="O310" s="355"/>
      <c r="P310" s="355"/>
      <c r="Q310" s="355"/>
      <c r="R310" s="355"/>
      <c r="S310" s="355"/>
      <c r="T310" s="399"/>
    </row>
    <row r="311" spans="6:20" s="395" customFormat="1" x14ac:dyDescent="0.2">
      <c r="F311" s="269"/>
      <c r="G311" s="269"/>
      <c r="H311" s="268"/>
      <c r="I311" s="271"/>
      <c r="J311" s="268"/>
      <c r="K311" s="268"/>
      <c r="L311" s="270"/>
      <c r="M311" s="268"/>
      <c r="N311" s="399"/>
      <c r="O311" s="355"/>
      <c r="P311" s="355"/>
      <c r="Q311" s="355"/>
      <c r="R311" s="355"/>
      <c r="S311" s="355"/>
      <c r="T311" s="399"/>
    </row>
    <row r="312" spans="6:20" s="395" customFormat="1" x14ac:dyDescent="0.2">
      <c r="F312" s="269"/>
      <c r="G312" s="269"/>
      <c r="H312" s="268"/>
      <c r="I312" s="271"/>
      <c r="J312" s="268"/>
      <c r="K312" s="268"/>
      <c r="L312" s="270"/>
      <c r="M312" s="268"/>
      <c r="N312" s="399"/>
      <c r="O312" s="355"/>
      <c r="P312" s="355"/>
      <c r="Q312" s="355"/>
      <c r="R312" s="355"/>
      <c r="S312" s="355"/>
      <c r="T312" s="399"/>
    </row>
    <row r="313" spans="6:20" s="395" customFormat="1" x14ac:dyDescent="0.2">
      <c r="F313" s="269"/>
      <c r="G313" s="269"/>
      <c r="H313" s="268"/>
      <c r="I313" s="271"/>
      <c r="J313" s="268"/>
      <c r="K313" s="268"/>
      <c r="L313" s="270"/>
      <c r="M313" s="268"/>
      <c r="N313" s="399"/>
      <c r="O313" s="355"/>
      <c r="P313" s="355"/>
      <c r="Q313" s="355"/>
      <c r="R313" s="355"/>
      <c r="S313" s="355"/>
      <c r="T313" s="399"/>
    </row>
    <row r="314" spans="6:20" s="395" customFormat="1" x14ac:dyDescent="0.2">
      <c r="F314" s="269"/>
      <c r="G314" s="269"/>
      <c r="H314" s="268"/>
      <c r="I314" s="271"/>
      <c r="J314" s="268"/>
      <c r="K314" s="268"/>
      <c r="L314" s="270"/>
      <c r="M314" s="268"/>
      <c r="N314" s="399"/>
      <c r="O314" s="355"/>
      <c r="P314" s="355"/>
      <c r="Q314" s="355"/>
      <c r="R314" s="355"/>
      <c r="S314" s="355"/>
      <c r="T314" s="399"/>
    </row>
    <row r="315" spans="6:20" s="395" customFormat="1" x14ac:dyDescent="0.2">
      <c r="F315" s="269"/>
      <c r="G315" s="269"/>
      <c r="H315" s="268"/>
      <c r="I315" s="271"/>
      <c r="J315" s="268"/>
      <c r="K315" s="268"/>
      <c r="L315" s="270"/>
      <c r="M315" s="268"/>
      <c r="N315" s="399"/>
      <c r="O315" s="355"/>
      <c r="P315" s="355"/>
      <c r="Q315" s="355"/>
      <c r="R315" s="355"/>
      <c r="S315" s="355"/>
      <c r="T315" s="399"/>
    </row>
    <row r="316" spans="6:20" s="395" customFormat="1" x14ac:dyDescent="0.2">
      <c r="F316" s="269"/>
      <c r="G316" s="269"/>
      <c r="H316" s="268"/>
      <c r="I316" s="271"/>
      <c r="J316" s="268"/>
      <c r="K316" s="268"/>
      <c r="L316" s="270"/>
      <c r="M316" s="268"/>
      <c r="N316" s="399"/>
      <c r="O316" s="355"/>
      <c r="P316" s="355"/>
      <c r="Q316" s="355"/>
      <c r="R316" s="355"/>
      <c r="S316" s="355"/>
      <c r="T316" s="399"/>
    </row>
    <row r="317" spans="6:20" s="395" customFormat="1" x14ac:dyDescent="0.2">
      <c r="F317" s="269"/>
      <c r="G317" s="269"/>
      <c r="H317" s="268"/>
      <c r="I317" s="271"/>
      <c r="J317" s="268"/>
      <c r="K317" s="268"/>
      <c r="L317" s="270"/>
      <c r="M317" s="268"/>
      <c r="N317" s="399"/>
      <c r="O317" s="355"/>
      <c r="P317" s="355"/>
      <c r="Q317" s="355"/>
      <c r="R317" s="355"/>
      <c r="S317" s="355"/>
      <c r="T317" s="399"/>
    </row>
    <row r="318" spans="6:20" s="395" customFormat="1" x14ac:dyDescent="0.2">
      <c r="F318" s="269"/>
      <c r="G318" s="269"/>
      <c r="H318" s="268"/>
      <c r="I318" s="271"/>
      <c r="J318" s="268"/>
      <c r="K318" s="268"/>
      <c r="L318" s="270"/>
      <c r="M318" s="268"/>
      <c r="N318" s="399"/>
      <c r="O318" s="355"/>
      <c r="P318" s="355"/>
      <c r="Q318" s="355"/>
      <c r="R318" s="355"/>
      <c r="S318" s="355"/>
      <c r="T318" s="399"/>
    </row>
    <row r="319" spans="6:20" s="395" customFormat="1" x14ac:dyDescent="0.2">
      <c r="F319" s="269"/>
      <c r="G319" s="269"/>
      <c r="H319" s="268"/>
      <c r="I319" s="271"/>
      <c r="J319" s="268"/>
      <c r="K319" s="268"/>
      <c r="L319" s="270"/>
      <c r="M319" s="268"/>
      <c r="N319" s="399"/>
      <c r="O319" s="355"/>
      <c r="P319" s="355"/>
      <c r="Q319" s="355"/>
      <c r="R319" s="355"/>
      <c r="S319" s="355"/>
      <c r="T319" s="399"/>
    </row>
    <row r="320" spans="6:20" s="395" customFormat="1" x14ac:dyDescent="0.2">
      <c r="F320" s="269"/>
      <c r="G320" s="269"/>
      <c r="H320" s="268"/>
      <c r="I320" s="271"/>
      <c r="J320" s="268"/>
      <c r="K320" s="268"/>
      <c r="L320" s="270"/>
      <c r="M320" s="268"/>
      <c r="N320" s="399"/>
      <c r="O320" s="355"/>
      <c r="P320" s="355"/>
      <c r="Q320" s="355"/>
      <c r="R320" s="355"/>
      <c r="S320" s="355"/>
      <c r="T320" s="399"/>
    </row>
    <row r="321" spans="6:20" s="395" customFormat="1" x14ac:dyDescent="0.2">
      <c r="F321" s="269"/>
      <c r="G321" s="269"/>
      <c r="H321" s="268"/>
      <c r="I321" s="271"/>
      <c r="J321" s="268"/>
      <c r="K321" s="268"/>
      <c r="L321" s="270"/>
      <c r="M321" s="268"/>
      <c r="N321" s="399"/>
      <c r="O321" s="355"/>
      <c r="P321" s="355"/>
      <c r="Q321" s="355"/>
      <c r="R321" s="355"/>
      <c r="S321" s="355"/>
      <c r="T321" s="399"/>
    </row>
    <row r="322" spans="6:20" s="395" customFormat="1" x14ac:dyDescent="0.2">
      <c r="F322" s="269"/>
      <c r="G322" s="269"/>
      <c r="H322" s="268"/>
      <c r="I322" s="271"/>
      <c r="J322" s="268"/>
      <c r="K322" s="268"/>
      <c r="L322" s="270"/>
      <c r="M322" s="268"/>
      <c r="N322" s="399"/>
      <c r="O322" s="355"/>
      <c r="P322" s="355"/>
      <c r="Q322" s="355"/>
      <c r="R322" s="355"/>
      <c r="S322" s="355"/>
      <c r="T322" s="399"/>
    </row>
    <row r="323" spans="6:20" s="395" customFormat="1" x14ac:dyDescent="0.2">
      <c r="F323" s="269"/>
      <c r="G323" s="269"/>
      <c r="H323" s="268"/>
      <c r="I323" s="271"/>
      <c r="J323" s="268"/>
      <c r="K323" s="268"/>
      <c r="L323" s="270"/>
      <c r="M323" s="268"/>
      <c r="N323" s="399"/>
      <c r="O323" s="355"/>
      <c r="P323" s="355"/>
      <c r="Q323" s="355"/>
      <c r="R323" s="355"/>
      <c r="S323" s="355"/>
      <c r="T323" s="399"/>
    </row>
    <row r="324" spans="6:20" s="395" customFormat="1" x14ac:dyDescent="0.2">
      <c r="F324" s="269"/>
      <c r="G324" s="269"/>
      <c r="H324" s="268"/>
      <c r="I324" s="271"/>
      <c r="J324" s="268"/>
      <c r="K324" s="268"/>
      <c r="L324" s="270"/>
      <c r="M324" s="268"/>
      <c r="N324" s="399"/>
      <c r="O324" s="355"/>
      <c r="P324" s="355"/>
      <c r="Q324" s="355"/>
      <c r="R324" s="355"/>
      <c r="S324" s="355"/>
      <c r="T324" s="399"/>
    </row>
    <row r="325" spans="6:20" s="395" customFormat="1" x14ac:dyDescent="0.2">
      <c r="F325" s="269"/>
      <c r="G325" s="318" t="s">
        <v>217</v>
      </c>
      <c r="H325" s="317"/>
      <c r="I325" s="316"/>
      <c r="J325" s="314"/>
      <c r="K325" s="314"/>
      <c r="L325" s="347"/>
      <c r="M325" s="314"/>
      <c r="N325" s="401"/>
      <c r="O325" s="406"/>
      <c r="P325" s="402"/>
      <c r="Q325" s="402"/>
      <c r="R325" s="402"/>
      <c r="S325" s="402"/>
      <c r="T325" s="401"/>
    </row>
    <row r="326" spans="6:20" s="395" customFormat="1" x14ac:dyDescent="0.2">
      <c r="F326" s="268"/>
      <c r="G326" s="269"/>
      <c r="H326" s="272"/>
      <c r="I326" s="271"/>
      <c r="J326" s="268"/>
      <c r="K326" s="268"/>
      <c r="L326" s="270"/>
      <c r="M326" s="268"/>
      <c r="N326" s="399"/>
      <c r="O326" s="405"/>
      <c r="P326" s="355"/>
      <c r="Q326" s="355"/>
      <c r="R326" s="355"/>
      <c r="S326" s="355"/>
      <c r="T326" s="399"/>
    </row>
    <row r="327" spans="6:20" s="395" customFormat="1" x14ac:dyDescent="0.2">
      <c r="F327" s="268"/>
      <c r="G327" s="269"/>
      <c r="H327" s="272"/>
      <c r="I327" s="271"/>
      <c r="J327" s="268"/>
      <c r="K327" s="268"/>
      <c r="L327" s="270"/>
      <c r="M327" s="268"/>
      <c r="N327" s="399"/>
      <c r="O327" s="405"/>
      <c r="P327" s="355"/>
      <c r="Q327" s="355"/>
      <c r="R327" s="355"/>
      <c r="S327" s="355"/>
      <c r="T327" s="399"/>
    </row>
    <row r="328" spans="6:20" s="395" customFormat="1" x14ac:dyDescent="0.2">
      <c r="F328" s="268"/>
      <c r="G328" s="269"/>
      <c r="H328" s="272"/>
      <c r="I328" s="271"/>
      <c r="J328" s="268"/>
      <c r="K328" s="268"/>
      <c r="L328" s="270"/>
      <c r="M328" s="268"/>
      <c r="N328" s="399"/>
      <c r="O328" s="405"/>
      <c r="P328" s="355"/>
      <c r="Q328" s="355"/>
      <c r="R328" s="355"/>
      <c r="S328" s="355"/>
      <c r="T328" s="399"/>
    </row>
    <row r="329" spans="6:20" s="395" customFormat="1" x14ac:dyDescent="0.2">
      <c r="F329" s="268"/>
      <c r="G329" s="269"/>
      <c r="H329" s="272"/>
      <c r="I329" s="271"/>
      <c r="J329" s="268"/>
      <c r="K329" s="268"/>
      <c r="L329" s="270"/>
      <c r="M329" s="268"/>
      <c r="N329" s="399"/>
      <c r="O329" s="405"/>
      <c r="P329" s="355"/>
      <c r="Q329" s="355"/>
      <c r="R329" s="355"/>
      <c r="S329" s="355"/>
      <c r="T329" s="399"/>
    </row>
    <row r="330" spans="6:20" s="395" customFormat="1" x14ac:dyDescent="0.2">
      <c r="F330" s="268"/>
      <c r="G330" s="269"/>
      <c r="H330" s="272"/>
      <c r="I330" s="271"/>
      <c r="J330" s="268"/>
      <c r="K330" s="268"/>
      <c r="L330" s="270"/>
      <c r="M330" s="268"/>
      <c r="N330" s="399"/>
      <c r="O330" s="405"/>
      <c r="P330" s="355"/>
      <c r="Q330" s="355"/>
      <c r="R330" s="355"/>
      <c r="S330" s="355"/>
      <c r="T330" s="399"/>
    </row>
    <row r="331" spans="6:20" s="395" customFormat="1" x14ac:dyDescent="0.2">
      <c r="F331" s="268"/>
      <c r="G331" s="269"/>
      <c r="H331" s="272"/>
      <c r="I331" s="271"/>
      <c r="J331" s="268"/>
      <c r="K331" s="268"/>
      <c r="L331" s="270"/>
      <c r="M331" s="268"/>
      <c r="N331" s="399"/>
      <c r="O331" s="405"/>
      <c r="P331" s="355"/>
      <c r="Q331" s="355"/>
      <c r="R331" s="355"/>
      <c r="S331" s="355"/>
      <c r="T331" s="399"/>
    </row>
    <row r="332" spans="6:20" s="395" customFormat="1" x14ac:dyDescent="0.2">
      <c r="F332" s="268"/>
      <c r="G332" s="269"/>
      <c r="H332" s="272"/>
      <c r="I332" s="271"/>
      <c r="J332" s="268"/>
      <c r="K332" s="268"/>
      <c r="L332" s="270"/>
      <c r="M332" s="268"/>
      <c r="N332" s="399"/>
      <c r="O332" s="405"/>
      <c r="P332" s="355"/>
      <c r="Q332" s="355"/>
      <c r="R332" s="355"/>
      <c r="S332" s="355"/>
      <c r="T332" s="399"/>
    </row>
    <row r="333" spans="6:20" s="395" customFormat="1" x14ac:dyDescent="0.2">
      <c r="F333" s="268"/>
      <c r="G333" s="269"/>
      <c r="H333" s="272"/>
      <c r="I333" s="271"/>
      <c r="J333" s="268"/>
      <c r="K333" s="268"/>
      <c r="L333" s="270"/>
      <c r="M333" s="268"/>
      <c r="N333" s="399"/>
      <c r="O333" s="405"/>
      <c r="P333" s="355"/>
      <c r="Q333" s="355"/>
      <c r="R333" s="355"/>
      <c r="S333" s="355"/>
      <c r="T333" s="399"/>
    </row>
    <row r="334" spans="6:20" s="395" customFormat="1" x14ac:dyDescent="0.2">
      <c r="F334" s="268"/>
      <c r="G334" s="269"/>
      <c r="H334" s="272"/>
      <c r="I334" s="271"/>
      <c r="J334" s="268"/>
      <c r="K334" s="268"/>
      <c r="L334" s="270"/>
      <c r="M334" s="268"/>
      <c r="N334" s="399"/>
      <c r="O334" s="405"/>
      <c r="P334" s="355"/>
      <c r="Q334" s="355"/>
      <c r="R334" s="355"/>
      <c r="S334" s="355"/>
      <c r="T334" s="399"/>
    </row>
    <row r="335" spans="6:20" s="395" customFormat="1" x14ac:dyDescent="0.2">
      <c r="F335" s="268"/>
      <c r="G335" s="269"/>
      <c r="H335" s="272"/>
      <c r="I335" s="271"/>
      <c r="J335" s="268"/>
      <c r="K335" s="268"/>
      <c r="L335" s="270"/>
      <c r="M335" s="268"/>
      <c r="N335" s="399"/>
      <c r="O335" s="405"/>
      <c r="P335" s="355"/>
      <c r="Q335" s="355"/>
      <c r="R335" s="355"/>
      <c r="S335" s="355"/>
      <c r="T335" s="399"/>
    </row>
    <row r="336" spans="6:20" s="395" customFormat="1" x14ac:dyDescent="0.2">
      <c r="F336" s="268"/>
      <c r="G336" s="269"/>
      <c r="H336" s="272"/>
      <c r="I336" s="271"/>
      <c r="J336" s="268"/>
      <c r="K336" s="268"/>
      <c r="L336" s="270"/>
      <c r="M336" s="268"/>
      <c r="N336" s="399"/>
      <c r="O336" s="405"/>
      <c r="P336" s="355"/>
      <c r="Q336" s="355"/>
      <c r="R336" s="355"/>
      <c r="S336" s="355"/>
      <c r="T336" s="399"/>
    </row>
    <row r="337" spans="6:20" s="395" customFormat="1" x14ac:dyDescent="0.2">
      <c r="F337" s="268"/>
      <c r="G337" s="269"/>
      <c r="H337" s="287"/>
      <c r="I337" s="271"/>
      <c r="J337" s="268"/>
      <c r="K337" s="268"/>
      <c r="L337" s="270"/>
      <c r="M337" s="268"/>
      <c r="N337" s="399"/>
      <c r="O337" s="405"/>
      <c r="P337" s="355"/>
      <c r="Q337" s="355"/>
      <c r="R337" s="355"/>
      <c r="S337" s="355"/>
      <c r="T337" s="399"/>
    </row>
    <row r="338" spans="6:20" s="395" customFormat="1" x14ac:dyDescent="0.2">
      <c r="F338" s="268"/>
      <c r="G338" s="264"/>
      <c r="H338" s="263"/>
      <c r="I338" s="266"/>
      <c r="J338" s="263"/>
      <c r="K338" s="263"/>
      <c r="L338" s="265"/>
      <c r="M338" s="263"/>
      <c r="N338" s="397"/>
      <c r="O338" s="404"/>
      <c r="P338" s="398"/>
      <c r="Q338" s="398"/>
      <c r="R338" s="398"/>
      <c r="S338" s="398"/>
      <c r="T338" s="397"/>
    </row>
    <row r="339" spans="6:20" s="395" customFormat="1" x14ac:dyDescent="0.2">
      <c r="F339" s="268"/>
      <c r="G339" s="268"/>
      <c r="H339" s="259"/>
      <c r="I339" s="261"/>
      <c r="J339" s="259"/>
      <c r="K339" s="268"/>
      <c r="L339" s="270"/>
      <c r="M339" s="268"/>
      <c r="N339" s="355"/>
      <c r="O339" s="355"/>
      <c r="P339" s="355"/>
      <c r="Q339" s="355"/>
      <c r="R339" s="355"/>
      <c r="S339" s="355"/>
      <c r="T339" s="355"/>
    </row>
    <row r="341" spans="6:20" s="395" customFormat="1" ht="23.25" x14ac:dyDescent="0.35">
      <c r="F341" s="259"/>
      <c r="G341" s="259"/>
      <c r="H341" s="302"/>
      <c r="I341" s="261"/>
      <c r="J341" s="259"/>
      <c r="K341" s="259"/>
      <c r="L341" s="260"/>
      <c r="M341" s="259"/>
    </row>
    <row r="343" spans="6:20" s="395" customFormat="1" ht="18" x14ac:dyDescent="0.25">
      <c r="F343" s="259"/>
      <c r="G343" s="285" t="s">
        <v>0</v>
      </c>
      <c r="H343" s="284"/>
      <c r="I343" s="283"/>
      <c r="J343" s="280"/>
      <c r="K343" s="280"/>
      <c r="L343" s="282"/>
      <c r="M343" s="281"/>
      <c r="N343" s="402"/>
      <c r="O343" s="402"/>
      <c r="P343" s="402"/>
      <c r="Q343" s="402"/>
      <c r="R343" s="402"/>
      <c r="S343" s="402"/>
      <c r="T343" s="401"/>
    </row>
    <row r="344" spans="6:20" s="395" customFormat="1" x14ac:dyDescent="0.2">
      <c r="F344" s="259"/>
      <c r="G344" s="269"/>
      <c r="H344" s="278"/>
      <c r="I344" s="279"/>
      <c r="J344" s="279"/>
      <c r="K344" s="278"/>
      <c r="L344" s="277"/>
      <c r="M344" s="661"/>
      <c r="N344" s="661"/>
      <c r="O344" s="661"/>
      <c r="P344" s="661"/>
      <c r="Q344" s="661"/>
      <c r="R344" s="661"/>
      <c r="S344" s="355"/>
      <c r="T344" s="399"/>
    </row>
    <row r="345" spans="6:20" s="395" customFormat="1" x14ac:dyDescent="0.2">
      <c r="F345" s="259"/>
      <c r="G345" s="269"/>
      <c r="H345" s="272"/>
      <c r="I345" s="271"/>
      <c r="J345" s="271"/>
      <c r="K345" s="268"/>
      <c r="L345" s="270"/>
      <c r="M345" s="661"/>
      <c r="N345" s="661"/>
      <c r="O345" s="661"/>
      <c r="P345" s="661"/>
      <c r="Q345" s="661"/>
      <c r="R345" s="661"/>
      <c r="S345" s="355"/>
      <c r="T345" s="399"/>
    </row>
    <row r="346" spans="6:20" s="395" customFormat="1" x14ac:dyDescent="0.2">
      <c r="G346" s="269"/>
      <c r="H346" s="272"/>
      <c r="I346" s="271"/>
      <c r="J346" s="271"/>
      <c r="K346" s="272"/>
      <c r="L346" s="270"/>
      <c r="M346" s="661"/>
      <c r="N346" s="661"/>
      <c r="O346" s="661"/>
      <c r="P346" s="661"/>
      <c r="Q346" s="661"/>
      <c r="R346" s="661"/>
      <c r="S346" s="355"/>
      <c r="T346" s="399"/>
    </row>
    <row r="347" spans="6:20" s="395" customFormat="1" x14ac:dyDescent="0.2">
      <c r="G347" s="269"/>
      <c r="H347" s="272"/>
      <c r="I347" s="271"/>
      <c r="J347" s="271"/>
      <c r="K347" s="356"/>
      <c r="L347" s="270"/>
      <c r="M347" s="661"/>
      <c r="N347" s="661"/>
      <c r="O347" s="661"/>
      <c r="P347" s="661"/>
      <c r="Q347" s="661"/>
      <c r="R347" s="661"/>
      <c r="S347" s="355"/>
      <c r="T347" s="399"/>
    </row>
    <row r="348" spans="6:20" s="395" customFormat="1" x14ac:dyDescent="0.2">
      <c r="G348" s="269"/>
      <c r="H348" s="272"/>
      <c r="I348" s="271"/>
      <c r="J348" s="271"/>
      <c r="K348" s="268"/>
      <c r="L348" s="270"/>
      <c r="M348" s="661"/>
      <c r="N348" s="661"/>
      <c r="O348" s="661"/>
      <c r="P348" s="661"/>
      <c r="Q348" s="661"/>
      <c r="R348" s="661"/>
      <c r="S348" s="355"/>
      <c r="T348" s="399"/>
    </row>
    <row r="349" spans="6:20" s="395" customFormat="1" x14ac:dyDescent="0.2">
      <c r="G349" s="269"/>
      <c r="H349" s="272"/>
      <c r="I349" s="271"/>
      <c r="J349" s="271"/>
      <c r="K349" s="272"/>
      <c r="L349" s="270"/>
      <c r="M349" s="275"/>
      <c r="N349" s="355"/>
      <c r="O349" s="355"/>
      <c r="P349" s="355"/>
      <c r="Q349" s="355"/>
      <c r="R349" s="355"/>
      <c r="S349" s="355"/>
      <c r="T349" s="399"/>
    </row>
    <row r="350" spans="6:20" s="395" customFormat="1" x14ac:dyDescent="0.2">
      <c r="G350" s="269"/>
      <c r="H350" s="272"/>
      <c r="I350" s="271"/>
      <c r="J350" s="271"/>
      <c r="K350" s="272"/>
      <c r="L350" s="270"/>
      <c r="M350" s="275"/>
      <c r="N350" s="355"/>
      <c r="O350" s="355"/>
      <c r="P350" s="355"/>
      <c r="Q350" s="355"/>
      <c r="R350" s="355"/>
      <c r="S350" s="355"/>
      <c r="T350" s="399"/>
    </row>
    <row r="351" spans="6:20" s="395" customFormat="1" ht="18" x14ac:dyDescent="0.25">
      <c r="G351" s="285" t="s">
        <v>18</v>
      </c>
      <c r="H351" s="284"/>
      <c r="I351" s="283"/>
      <c r="J351" s="280"/>
      <c r="K351" s="280"/>
      <c r="L351" s="282"/>
      <c r="M351" s="281"/>
      <c r="N351" s="402"/>
      <c r="O351" s="402"/>
      <c r="P351" s="402"/>
      <c r="Q351" s="402"/>
      <c r="R351" s="402"/>
      <c r="S351" s="402"/>
      <c r="T351" s="401"/>
    </row>
    <row r="352" spans="6:20" s="395" customFormat="1" x14ac:dyDescent="0.2">
      <c r="G352" s="269"/>
      <c r="H352" s="278"/>
      <c r="I352" s="279"/>
      <c r="J352" s="279"/>
      <c r="K352" s="278"/>
      <c r="L352" s="277"/>
      <c r="M352" s="276"/>
      <c r="N352" s="355"/>
      <c r="O352" s="355"/>
      <c r="P352" s="355"/>
      <c r="Q352" s="355"/>
      <c r="R352" s="355"/>
      <c r="S352" s="355"/>
      <c r="T352" s="399"/>
    </row>
    <row r="353" spans="7:21" s="395" customFormat="1" x14ac:dyDescent="0.2">
      <c r="G353" s="269"/>
      <c r="H353" s="272"/>
      <c r="I353" s="271"/>
      <c r="J353" s="271"/>
      <c r="K353" s="356"/>
      <c r="L353" s="270"/>
      <c r="M353" s="275"/>
      <c r="N353" s="355"/>
      <c r="O353" s="367"/>
      <c r="P353" s="355"/>
      <c r="Q353" s="367"/>
      <c r="R353" s="355"/>
      <c r="S353" s="403"/>
      <c r="T353" s="367"/>
      <c r="U353" s="327"/>
    </row>
    <row r="354" spans="7:21" s="395" customFormat="1" x14ac:dyDescent="0.2">
      <c r="G354" s="285"/>
      <c r="H354" s="272"/>
      <c r="I354" s="271"/>
      <c r="J354" s="271"/>
      <c r="K354" s="356"/>
      <c r="L354" s="270"/>
      <c r="M354" s="275"/>
      <c r="N354" s="355"/>
      <c r="O354" s="367"/>
      <c r="P354" s="355"/>
      <c r="Q354" s="367"/>
      <c r="R354" s="355"/>
      <c r="S354" s="403"/>
      <c r="T354" s="367"/>
      <c r="U354" s="327"/>
    </row>
    <row r="355" spans="7:21" s="395" customFormat="1" x14ac:dyDescent="0.2">
      <c r="G355" s="269"/>
      <c r="H355" s="268"/>
      <c r="I355" s="271"/>
      <c r="J355" s="271"/>
      <c r="K355" s="268"/>
      <c r="L355" s="270"/>
      <c r="M355" s="269"/>
      <c r="N355" s="355"/>
      <c r="O355" s="355"/>
      <c r="P355" s="355"/>
      <c r="Q355" s="355"/>
      <c r="R355" s="355"/>
      <c r="S355" s="355"/>
      <c r="T355" s="399"/>
    </row>
    <row r="356" spans="7:21" s="395" customFormat="1" ht="18" x14ac:dyDescent="0.25">
      <c r="G356" s="285" t="s">
        <v>69</v>
      </c>
      <c r="H356" s="284"/>
      <c r="I356" s="283"/>
      <c r="J356" s="283"/>
      <c r="K356" s="280"/>
      <c r="L356" s="282"/>
      <c r="M356" s="281"/>
      <c r="N356" s="402"/>
      <c r="O356" s="402"/>
      <c r="P356" s="402"/>
      <c r="Q356" s="402"/>
      <c r="R356" s="402"/>
      <c r="S356" s="402"/>
      <c r="T356" s="401"/>
    </row>
    <row r="357" spans="7:21" s="395" customFormat="1" x14ac:dyDescent="0.2">
      <c r="G357" s="269"/>
      <c r="H357" s="278"/>
      <c r="I357" s="279"/>
      <c r="J357" s="279"/>
      <c r="K357" s="278"/>
      <c r="L357" s="277"/>
      <c r="M357" s="276"/>
      <c r="N357" s="355"/>
      <c r="O357" s="355"/>
      <c r="P357" s="355"/>
      <c r="Q357" s="355"/>
      <c r="R357" s="355"/>
      <c r="S357" s="355"/>
      <c r="T357" s="399"/>
    </row>
    <row r="358" spans="7:21" s="395" customFormat="1" x14ac:dyDescent="0.2">
      <c r="G358" s="269"/>
      <c r="H358" s="278"/>
      <c r="I358" s="279"/>
      <c r="J358" s="279"/>
      <c r="K358" s="278"/>
      <c r="L358" s="277"/>
      <c r="M358" s="276"/>
      <c r="N358" s="355"/>
      <c r="O358" s="355"/>
      <c r="P358" s="355"/>
      <c r="Q358" s="355"/>
      <c r="R358" s="355"/>
      <c r="S358" s="355"/>
      <c r="T358" s="399"/>
    </row>
    <row r="359" spans="7:21" s="395" customFormat="1" x14ac:dyDescent="0.2">
      <c r="G359" s="269"/>
      <c r="H359" s="272"/>
      <c r="I359" s="271"/>
      <c r="J359" s="271"/>
      <c r="K359" s="272"/>
      <c r="L359" s="270"/>
      <c r="M359" s="275"/>
      <c r="N359" s="355"/>
      <c r="O359" s="355"/>
      <c r="P359" s="355"/>
      <c r="Q359" s="355"/>
      <c r="R359" s="355"/>
      <c r="S359" s="355"/>
      <c r="T359" s="399"/>
    </row>
    <row r="360" spans="7:21" s="395" customFormat="1" x14ac:dyDescent="0.2">
      <c r="G360" s="269"/>
      <c r="H360" s="272"/>
      <c r="I360" s="271"/>
      <c r="J360" s="271"/>
      <c r="K360" s="272"/>
      <c r="L360" s="270"/>
      <c r="M360" s="275"/>
      <c r="N360" s="355"/>
      <c r="O360" s="355"/>
      <c r="P360" s="355"/>
      <c r="Q360" s="355"/>
      <c r="R360" s="355"/>
      <c r="S360" s="355"/>
      <c r="T360" s="399"/>
    </row>
    <row r="361" spans="7:21" s="395" customFormat="1" x14ac:dyDescent="0.2">
      <c r="G361" s="269"/>
      <c r="H361" s="272"/>
      <c r="I361" s="271"/>
      <c r="J361" s="271"/>
      <c r="K361" s="272"/>
      <c r="L361" s="270"/>
      <c r="M361" s="275"/>
      <c r="N361" s="355"/>
      <c r="O361" s="355"/>
      <c r="P361" s="355"/>
      <c r="Q361" s="355"/>
      <c r="R361" s="355"/>
      <c r="S361" s="355"/>
      <c r="T361" s="399"/>
    </row>
    <row r="362" spans="7:21" s="395" customFormat="1" x14ac:dyDescent="0.2">
      <c r="G362" s="269"/>
      <c r="H362" s="272"/>
      <c r="I362" s="271"/>
      <c r="J362" s="271"/>
      <c r="K362" s="272"/>
      <c r="L362" s="270"/>
      <c r="M362" s="275"/>
      <c r="N362" s="355"/>
      <c r="O362" s="355"/>
      <c r="P362" s="355"/>
      <c r="Q362" s="355"/>
      <c r="R362" s="355"/>
      <c r="S362" s="355"/>
      <c r="T362" s="399"/>
    </row>
    <row r="363" spans="7:21" s="395" customFormat="1" x14ac:dyDescent="0.2">
      <c r="G363" s="269"/>
      <c r="H363" s="272"/>
      <c r="I363" s="271"/>
      <c r="J363" s="271"/>
      <c r="K363" s="272"/>
      <c r="L363" s="270"/>
      <c r="M363" s="275"/>
      <c r="N363" s="355"/>
      <c r="O363" s="355"/>
      <c r="P363" s="355"/>
      <c r="Q363" s="355"/>
      <c r="R363" s="355"/>
      <c r="S363" s="355"/>
      <c r="T363" s="399"/>
    </row>
    <row r="364" spans="7:21" s="395" customFormat="1" x14ac:dyDescent="0.2">
      <c r="G364" s="269"/>
      <c r="H364" s="272"/>
      <c r="I364" s="271"/>
      <c r="J364" s="271"/>
      <c r="K364" s="272"/>
      <c r="L364" s="270"/>
      <c r="M364" s="275"/>
      <c r="N364" s="355"/>
      <c r="O364" s="355"/>
      <c r="P364" s="355"/>
      <c r="Q364" s="355"/>
      <c r="R364" s="355"/>
      <c r="S364" s="355"/>
      <c r="T364" s="399"/>
    </row>
    <row r="365" spans="7:21" s="395" customFormat="1" x14ac:dyDescent="0.2">
      <c r="G365" s="269"/>
      <c r="H365" s="272"/>
      <c r="I365" s="271"/>
      <c r="J365" s="271"/>
      <c r="K365" s="272"/>
      <c r="L365" s="270"/>
      <c r="M365" s="275"/>
      <c r="N365" s="355"/>
      <c r="O365" s="355"/>
      <c r="P365" s="355"/>
      <c r="Q365" s="355"/>
      <c r="R365" s="355"/>
      <c r="S365" s="355"/>
      <c r="T365" s="399"/>
    </row>
    <row r="366" spans="7:21" s="395" customFormat="1" x14ac:dyDescent="0.2">
      <c r="G366" s="269"/>
      <c r="H366" s="272"/>
      <c r="I366" s="271"/>
      <c r="J366" s="271"/>
      <c r="K366" s="272"/>
      <c r="L366" s="270"/>
      <c r="M366" s="275"/>
      <c r="N366" s="355"/>
      <c r="O366" s="355"/>
      <c r="P366" s="355"/>
      <c r="Q366" s="355"/>
      <c r="R366" s="355"/>
      <c r="S366" s="355"/>
      <c r="T366" s="399"/>
    </row>
    <row r="367" spans="7:21" s="395" customFormat="1" x14ac:dyDescent="0.2">
      <c r="G367" s="269"/>
      <c r="H367" s="272"/>
      <c r="I367" s="271"/>
      <c r="J367" s="271"/>
      <c r="K367" s="272"/>
      <c r="L367" s="270"/>
      <c r="M367" s="275"/>
      <c r="N367" s="355"/>
      <c r="O367" s="355"/>
      <c r="P367" s="355"/>
      <c r="Q367" s="355"/>
      <c r="R367" s="355"/>
      <c r="S367" s="355"/>
      <c r="T367" s="399"/>
    </row>
    <row r="368" spans="7:21" s="395" customFormat="1" x14ac:dyDescent="0.2">
      <c r="G368" s="269"/>
      <c r="H368" s="272"/>
      <c r="I368" s="271"/>
      <c r="J368" s="271"/>
      <c r="K368" s="272"/>
      <c r="L368" s="270"/>
      <c r="M368" s="275"/>
      <c r="N368" s="355"/>
      <c r="O368" s="355"/>
      <c r="P368" s="355"/>
      <c r="Q368" s="355"/>
      <c r="R368" s="355"/>
      <c r="S368" s="355"/>
      <c r="T368" s="399"/>
    </row>
    <row r="369" spans="7:20" s="395" customFormat="1" x14ac:dyDescent="0.2">
      <c r="G369" s="269"/>
      <c r="H369" s="272"/>
      <c r="I369" s="271"/>
      <c r="J369" s="271"/>
      <c r="K369" s="272"/>
      <c r="L369" s="270"/>
      <c r="M369" s="275"/>
      <c r="N369" s="355"/>
      <c r="O369" s="355"/>
      <c r="P369" s="355"/>
      <c r="Q369" s="355"/>
      <c r="R369" s="355"/>
      <c r="S369" s="355"/>
      <c r="T369" s="399"/>
    </row>
    <row r="370" spans="7:20" s="395" customFormat="1" x14ac:dyDescent="0.2">
      <c r="G370" s="269"/>
      <c r="H370" s="272"/>
      <c r="I370" s="271"/>
      <c r="J370" s="271"/>
      <c r="K370" s="272"/>
      <c r="L370" s="270"/>
      <c r="M370" s="275"/>
      <c r="N370" s="355"/>
      <c r="O370" s="355"/>
      <c r="P370" s="355"/>
      <c r="Q370" s="355"/>
      <c r="R370" s="355"/>
      <c r="S370" s="355"/>
      <c r="T370" s="399"/>
    </row>
    <row r="371" spans="7:20" s="395" customFormat="1" x14ac:dyDescent="0.2">
      <c r="G371" s="269"/>
      <c r="H371" s="272"/>
      <c r="I371" s="271"/>
      <c r="J371" s="271"/>
      <c r="K371" s="272"/>
      <c r="L371" s="270"/>
      <c r="M371" s="269"/>
      <c r="N371" s="355"/>
      <c r="O371" s="355"/>
      <c r="P371" s="355"/>
      <c r="Q371" s="355"/>
      <c r="R371" s="355"/>
      <c r="S371" s="355"/>
      <c r="T371" s="399"/>
    </row>
    <row r="372" spans="7:20" s="395" customFormat="1" x14ac:dyDescent="0.2">
      <c r="G372" s="269"/>
      <c r="H372" s="268"/>
      <c r="I372" s="271"/>
      <c r="J372" s="271"/>
      <c r="K372" s="268"/>
      <c r="L372" s="270"/>
      <c r="M372" s="269"/>
      <c r="N372" s="355"/>
      <c r="O372" s="355"/>
      <c r="P372" s="355"/>
      <c r="Q372" s="355"/>
      <c r="R372" s="355"/>
      <c r="S372" s="355"/>
      <c r="T372" s="399"/>
    </row>
    <row r="373" spans="7:20" s="395" customFormat="1" x14ac:dyDescent="0.2">
      <c r="G373" s="269"/>
      <c r="H373" s="268"/>
      <c r="I373" s="271"/>
      <c r="J373" s="271"/>
      <c r="K373" s="268"/>
      <c r="L373" s="270"/>
      <c r="M373" s="269"/>
      <c r="N373" s="355"/>
      <c r="O373" s="355"/>
      <c r="P373" s="355"/>
      <c r="Q373" s="355"/>
      <c r="R373" s="355"/>
      <c r="S373" s="355"/>
      <c r="T373" s="399"/>
    </row>
    <row r="374" spans="7:20" s="395" customFormat="1" x14ac:dyDescent="0.2">
      <c r="G374" s="269"/>
      <c r="H374" s="268"/>
      <c r="I374" s="271"/>
      <c r="J374" s="271"/>
      <c r="K374" s="268"/>
      <c r="L374" s="270"/>
      <c r="M374" s="269"/>
      <c r="N374" s="355"/>
      <c r="O374" s="355"/>
      <c r="P374" s="355"/>
      <c r="Q374" s="355"/>
      <c r="R374" s="355"/>
      <c r="S374" s="355"/>
      <c r="T374" s="399"/>
    </row>
    <row r="375" spans="7:20" s="395" customFormat="1" x14ac:dyDescent="0.2">
      <c r="G375" s="269"/>
      <c r="H375" s="268"/>
      <c r="I375" s="271"/>
      <c r="J375" s="271"/>
      <c r="K375" s="268"/>
      <c r="L375" s="270"/>
      <c r="M375" s="269"/>
      <c r="N375" s="355"/>
      <c r="O375" s="355"/>
      <c r="P375" s="355"/>
      <c r="Q375" s="355"/>
      <c r="R375" s="355"/>
      <c r="S375" s="355"/>
      <c r="T375" s="399"/>
    </row>
    <row r="376" spans="7:20" s="395" customFormat="1" x14ac:dyDescent="0.2">
      <c r="G376" s="269"/>
      <c r="H376" s="268"/>
      <c r="I376" s="271"/>
      <c r="J376" s="271"/>
      <c r="K376" s="268"/>
      <c r="L376" s="270"/>
      <c r="M376" s="269"/>
      <c r="N376" s="355"/>
      <c r="O376" s="355"/>
      <c r="P376" s="355"/>
      <c r="Q376" s="355"/>
      <c r="R376" s="355"/>
      <c r="S376" s="355"/>
      <c r="T376" s="399"/>
    </row>
    <row r="377" spans="7:20" s="395" customFormat="1" x14ac:dyDescent="0.2">
      <c r="G377" s="269"/>
      <c r="H377" s="268"/>
      <c r="I377" s="271"/>
      <c r="J377" s="271"/>
      <c r="K377" s="268"/>
      <c r="L377" s="270"/>
      <c r="M377" s="269"/>
      <c r="N377" s="355"/>
      <c r="O377" s="355"/>
      <c r="P377" s="355"/>
      <c r="Q377" s="355"/>
      <c r="R377" s="355"/>
      <c r="S377" s="355"/>
      <c r="T377" s="399"/>
    </row>
    <row r="378" spans="7:20" s="395" customFormat="1" x14ac:dyDescent="0.2">
      <c r="G378" s="269"/>
      <c r="H378" s="268"/>
      <c r="I378" s="271"/>
      <c r="J378" s="271"/>
      <c r="K378" s="268"/>
      <c r="L378" s="270"/>
      <c r="M378" s="269"/>
      <c r="N378" s="355"/>
      <c r="O378" s="355"/>
      <c r="P378" s="355"/>
      <c r="Q378" s="355"/>
      <c r="R378" s="355"/>
      <c r="S378" s="355"/>
      <c r="T378" s="399"/>
    </row>
    <row r="379" spans="7:20" s="395" customFormat="1" ht="18" x14ac:dyDescent="0.25">
      <c r="G379" s="285" t="s">
        <v>85</v>
      </c>
      <c r="H379" s="284"/>
      <c r="I379" s="283"/>
      <c r="J379" s="283"/>
      <c r="K379" s="280"/>
      <c r="L379" s="282"/>
      <c r="M379" s="281"/>
      <c r="N379" s="402"/>
      <c r="O379" s="402"/>
      <c r="P379" s="402"/>
      <c r="Q379" s="402"/>
      <c r="R379" s="402"/>
      <c r="S379" s="402"/>
      <c r="T379" s="401"/>
    </row>
    <row r="380" spans="7:20" s="395" customFormat="1" x14ac:dyDescent="0.2">
      <c r="G380" s="269"/>
      <c r="H380" s="278"/>
      <c r="I380" s="279"/>
      <c r="J380" s="279"/>
      <c r="K380" s="278"/>
      <c r="L380" s="277"/>
      <c r="M380" s="276"/>
      <c r="N380" s="355"/>
      <c r="O380" s="355"/>
      <c r="P380" s="355"/>
      <c r="Q380" s="355"/>
      <c r="R380" s="355"/>
      <c r="S380" s="355"/>
      <c r="T380" s="399"/>
    </row>
    <row r="381" spans="7:20" s="395" customFormat="1" x14ac:dyDescent="0.2">
      <c r="G381" s="269"/>
      <c r="H381" s="278"/>
      <c r="I381" s="279"/>
      <c r="J381" s="279"/>
      <c r="K381" s="278"/>
      <c r="L381" s="277"/>
      <c r="M381" s="276"/>
      <c r="N381" s="355"/>
      <c r="O381" s="355"/>
      <c r="P381" s="355"/>
      <c r="Q381" s="355"/>
      <c r="R381" s="355"/>
      <c r="S381" s="355"/>
      <c r="T381" s="399"/>
    </row>
    <row r="382" spans="7:20" s="395" customFormat="1" x14ac:dyDescent="0.2">
      <c r="G382" s="269"/>
      <c r="H382" s="272"/>
      <c r="I382" s="271"/>
      <c r="J382" s="271"/>
      <c r="K382" s="272"/>
      <c r="L382" s="270"/>
      <c r="M382" s="275"/>
      <c r="N382" s="355"/>
      <c r="O382" s="355"/>
      <c r="P382" s="355"/>
      <c r="Q382" s="355"/>
      <c r="R382" s="355"/>
      <c r="S382" s="355"/>
      <c r="T382" s="399"/>
    </row>
    <row r="383" spans="7:20" s="395" customFormat="1" x14ac:dyDescent="0.2">
      <c r="G383" s="269"/>
      <c r="H383" s="272"/>
      <c r="I383" s="271"/>
      <c r="J383" s="271"/>
      <c r="K383" s="272"/>
      <c r="L383" s="270"/>
      <c r="M383" s="275"/>
      <c r="N383" s="355"/>
      <c r="O383" s="355"/>
      <c r="P383" s="355"/>
      <c r="Q383" s="355"/>
      <c r="R383" s="355"/>
      <c r="S383" s="355"/>
      <c r="T383" s="399"/>
    </row>
    <row r="384" spans="7:20" s="395" customFormat="1" x14ac:dyDescent="0.2">
      <c r="G384" s="269"/>
      <c r="H384" s="272"/>
      <c r="I384" s="271"/>
      <c r="J384" s="271"/>
      <c r="K384" s="272"/>
      <c r="L384" s="270"/>
      <c r="M384" s="275"/>
      <c r="N384" s="355"/>
      <c r="O384" s="355"/>
      <c r="P384" s="355"/>
      <c r="Q384" s="355"/>
      <c r="R384" s="355"/>
      <c r="S384" s="355"/>
      <c r="T384" s="399"/>
    </row>
    <row r="385" spans="7:20" s="395" customFormat="1" x14ac:dyDescent="0.2">
      <c r="G385" s="269"/>
      <c r="H385" s="272"/>
      <c r="I385" s="271"/>
      <c r="J385" s="271"/>
      <c r="K385" s="272"/>
      <c r="L385" s="270"/>
      <c r="M385" s="275"/>
      <c r="N385" s="355"/>
      <c r="O385" s="355"/>
      <c r="P385" s="355"/>
      <c r="Q385" s="355"/>
      <c r="R385" s="355"/>
      <c r="S385" s="355"/>
      <c r="T385" s="399"/>
    </row>
    <row r="386" spans="7:20" s="395" customFormat="1" x14ac:dyDescent="0.2">
      <c r="G386" s="269"/>
      <c r="H386" s="272"/>
      <c r="I386" s="271"/>
      <c r="J386" s="271"/>
      <c r="K386" s="272"/>
      <c r="L386" s="270"/>
      <c r="M386" s="269"/>
      <c r="N386" s="355"/>
      <c r="O386" s="355"/>
      <c r="P386" s="355"/>
      <c r="Q386" s="355"/>
      <c r="R386" s="355"/>
      <c r="S386" s="355"/>
      <c r="T386" s="399"/>
    </row>
    <row r="387" spans="7:20" s="395" customFormat="1" x14ac:dyDescent="0.2">
      <c r="G387" s="269"/>
      <c r="H387" s="272"/>
      <c r="I387" s="271"/>
      <c r="J387" s="271"/>
      <c r="K387" s="272"/>
      <c r="L387" s="270"/>
      <c r="M387" s="275"/>
      <c r="N387" s="355"/>
      <c r="O387" s="355"/>
      <c r="P387" s="355"/>
      <c r="Q387" s="355"/>
      <c r="R387" s="355"/>
      <c r="S387" s="355"/>
      <c r="T387" s="399"/>
    </row>
    <row r="388" spans="7:20" s="395" customFormat="1" x14ac:dyDescent="0.2">
      <c r="G388" s="269"/>
      <c r="H388" s="272"/>
      <c r="I388" s="271"/>
      <c r="J388" s="271"/>
      <c r="K388" s="272"/>
      <c r="L388" s="270"/>
      <c r="M388" s="275"/>
      <c r="N388" s="355"/>
      <c r="O388" s="355"/>
      <c r="P388" s="355"/>
      <c r="Q388" s="355"/>
      <c r="R388" s="355"/>
      <c r="S388" s="355"/>
      <c r="T388" s="399"/>
    </row>
    <row r="389" spans="7:20" s="395" customFormat="1" x14ac:dyDescent="0.2">
      <c r="G389" s="269"/>
      <c r="H389" s="272"/>
      <c r="I389" s="271"/>
      <c r="J389" s="271"/>
      <c r="K389" s="272"/>
      <c r="L389" s="270"/>
      <c r="M389" s="275"/>
      <c r="N389" s="355"/>
      <c r="O389" s="355"/>
      <c r="P389" s="355"/>
      <c r="Q389" s="355"/>
      <c r="R389" s="355"/>
      <c r="S389" s="355"/>
      <c r="T389" s="399"/>
    </row>
    <row r="390" spans="7:20" s="395" customFormat="1" x14ac:dyDescent="0.2">
      <c r="G390" s="269"/>
      <c r="H390" s="272"/>
      <c r="I390" s="271"/>
      <c r="J390" s="271"/>
      <c r="K390" s="272"/>
      <c r="L390" s="270"/>
      <c r="M390" s="269"/>
      <c r="N390" s="355"/>
      <c r="O390" s="355"/>
      <c r="P390" s="355"/>
      <c r="Q390" s="355"/>
      <c r="R390" s="355"/>
      <c r="S390" s="355"/>
      <c r="T390" s="399"/>
    </row>
    <row r="391" spans="7:20" s="395" customFormat="1" x14ac:dyDescent="0.2">
      <c r="G391" s="269"/>
      <c r="H391" s="272"/>
      <c r="I391" s="271"/>
      <c r="J391" s="271"/>
      <c r="K391" s="272"/>
      <c r="L391" s="270"/>
      <c r="M391" s="269"/>
      <c r="N391" s="355"/>
      <c r="O391" s="355"/>
      <c r="P391" s="355"/>
      <c r="Q391" s="355"/>
      <c r="R391" s="355"/>
      <c r="S391" s="355"/>
      <c r="T391" s="399"/>
    </row>
    <row r="392" spans="7:20" s="395" customFormat="1" x14ac:dyDescent="0.2">
      <c r="G392" s="269"/>
      <c r="H392" s="272"/>
      <c r="I392" s="271"/>
      <c r="J392" s="271"/>
      <c r="K392" s="272"/>
      <c r="L392" s="270"/>
      <c r="M392" s="269"/>
      <c r="N392" s="355"/>
      <c r="O392" s="355"/>
      <c r="P392" s="355"/>
      <c r="Q392" s="355"/>
      <c r="R392" s="355"/>
      <c r="S392" s="355"/>
      <c r="T392" s="399"/>
    </row>
    <row r="393" spans="7:20" s="395" customFormat="1" x14ac:dyDescent="0.2">
      <c r="G393" s="269"/>
      <c r="H393" s="272"/>
      <c r="I393" s="271"/>
      <c r="J393" s="271"/>
      <c r="K393" s="272"/>
      <c r="L393" s="270"/>
      <c r="M393" s="269"/>
      <c r="N393" s="355"/>
      <c r="O393" s="355"/>
      <c r="P393" s="355"/>
      <c r="Q393" s="355"/>
      <c r="R393" s="355"/>
      <c r="S393" s="355"/>
      <c r="T393" s="399"/>
    </row>
    <row r="394" spans="7:20" s="395" customFormat="1" x14ac:dyDescent="0.2">
      <c r="G394" s="269"/>
      <c r="H394" s="272"/>
      <c r="I394" s="271"/>
      <c r="J394" s="271"/>
      <c r="K394" s="272"/>
      <c r="L394" s="270"/>
      <c r="M394" s="269"/>
      <c r="N394" s="355"/>
      <c r="O394" s="355"/>
      <c r="P394" s="355"/>
      <c r="Q394" s="355"/>
      <c r="R394" s="355"/>
      <c r="S394" s="355"/>
      <c r="T394" s="399"/>
    </row>
    <row r="395" spans="7:20" s="395" customFormat="1" x14ac:dyDescent="0.2">
      <c r="G395" s="269"/>
      <c r="H395" s="272"/>
      <c r="I395" s="271"/>
      <c r="J395" s="271"/>
      <c r="K395" s="272"/>
      <c r="L395" s="270"/>
      <c r="M395" s="269"/>
      <c r="N395" s="355"/>
      <c r="O395" s="355"/>
      <c r="P395" s="355"/>
      <c r="Q395" s="355"/>
      <c r="R395" s="355"/>
      <c r="S395" s="355"/>
      <c r="T395" s="399"/>
    </row>
    <row r="396" spans="7:20" s="395" customFormat="1" x14ac:dyDescent="0.2">
      <c r="G396" s="269"/>
      <c r="H396" s="272"/>
      <c r="I396" s="271"/>
      <c r="J396" s="271"/>
      <c r="K396" s="272"/>
      <c r="L396" s="270"/>
      <c r="M396" s="269"/>
      <c r="N396" s="355"/>
      <c r="O396" s="355"/>
      <c r="P396" s="355"/>
      <c r="Q396" s="355"/>
      <c r="R396" s="355"/>
      <c r="S396" s="355"/>
      <c r="T396" s="399"/>
    </row>
    <row r="397" spans="7:20" s="395" customFormat="1" x14ac:dyDescent="0.2">
      <c r="G397" s="269"/>
      <c r="H397" s="272"/>
      <c r="I397" s="271"/>
      <c r="J397" s="271"/>
      <c r="K397" s="272"/>
      <c r="L397" s="270"/>
      <c r="M397" s="269"/>
      <c r="N397" s="355"/>
      <c r="O397" s="355"/>
      <c r="P397" s="355"/>
      <c r="Q397" s="355"/>
      <c r="R397" s="355"/>
      <c r="S397" s="355"/>
      <c r="T397" s="399"/>
    </row>
    <row r="398" spans="7:20" s="395" customFormat="1" x14ac:dyDescent="0.2">
      <c r="G398" s="269"/>
      <c r="H398" s="272"/>
      <c r="I398" s="271"/>
      <c r="J398" s="271"/>
      <c r="K398" s="272"/>
      <c r="L398" s="270"/>
      <c r="M398" s="269"/>
      <c r="N398" s="355"/>
      <c r="O398" s="355"/>
      <c r="P398" s="355"/>
      <c r="Q398" s="355"/>
      <c r="R398" s="355"/>
      <c r="S398" s="355"/>
      <c r="T398" s="399"/>
    </row>
    <row r="399" spans="7:20" s="395" customFormat="1" x14ac:dyDescent="0.2">
      <c r="G399" s="269"/>
      <c r="H399" s="272"/>
      <c r="I399" s="271"/>
      <c r="J399" s="271"/>
      <c r="K399" s="272"/>
      <c r="L399" s="270"/>
      <c r="M399" s="269"/>
      <c r="N399" s="355"/>
      <c r="O399" s="355"/>
      <c r="P399" s="355"/>
      <c r="Q399" s="355"/>
      <c r="R399" s="355"/>
      <c r="S399" s="355"/>
      <c r="T399" s="399"/>
    </row>
    <row r="400" spans="7:20" s="395" customFormat="1" x14ac:dyDescent="0.2">
      <c r="G400" s="269"/>
      <c r="H400" s="272"/>
      <c r="I400" s="271"/>
      <c r="J400" s="271"/>
      <c r="K400" s="272"/>
      <c r="L400" s="270"/>
      <c r="M400" s="269"/>
      <c r="N400" s="355"/>
      <c r="O400" s="355"/>
      <c r="P400" s="355"/>
      <c r="Q400" s="355"/>
      <c r="R400" s="355"/>
      <c r="S400" s="355"/>
      <c r="T400" s="399"/>
    </row>
    <row r="401" spans="7:20" s="395" customFormat="1" x14ac:dyDescent="0.2">
      <c r="G401" s="269"/>
      <c r="H401" s="272"/>
      <c r="I401" s="271"/>
      <c r="J401" s="271"/>
      <c r="K401" s="272"/>
      <c r="L401" s="270"/>
      <c r="M401" s="269"/>
      <c r="N401" s="355"/>
      <c r="O401" s="355"/>
      <c r="P401" s="355"/>
      <c r="Q401" s="355"/>
      <c r="R401" s="355"/>
      <c r="S401" s="355"/>
      <c r="T401" s="399"/>
    </row>
    <row r="402" spans="7:20" s="395" customFormat="1" x14ac:dyDescent="0.2">
      <c r="G402" s="269"/>
      <c r="H402" s="287"/>
      <c r="I402" s="271"/>
      <c r="J402" s="271"/>
      <c r="K402" s="268"/>
      <c r="L402" s="270"/>
      <c r="M402" s="269"/>
      <c r="N402" s="355"/>
      <c r="O402" s="355"/>
      <c r="P402" s="355"/>
      <c r="Q402" s="355"/>
      <c r="R402" s="355"/>
      <c r="S402" s="355"/>
      <c r="T402" s="399"/>
    </row>
    <row r="403" spans="7:20" s="395" customFormat="1" x14ac:dyDescent="0.2">
      <c r="G403" s="269"/>
      <c r="H403" s="272"/>
      <c r="I403" s="271"/>
      <c r="J403" s="271"/>
      <c r="K403" s="272"/>
      <c r="L403" s="259"/>
      <c r="M403" s="296"/>
      <c r="N403" s="355"/>
      <c r="O403" s="355"/>
      <c r="P403" s="355"/>
      <c r="Q403" s="355"/>
      <c r="R403" s="355"/>
      <c r="S403" s="355"/>
      <c r="T403" s="399"/>
    </row>
    <row r="404" spans="7:20" s="395" customFormat="1" x14ac:dyDescent="0.2">
      <c r="G404" s="269"/>
      <c r="H404" s="272"/>
      <c r="I404" s="271"/>
      <c r="J404" s="271"/>
      <c r="K404" s="272"/>
      <c r="L404" s="259"/>
      <c r="M404" s="296"/>
      <c r="N404" s="355"/>
      <c r="O404" s="355"/>
      <c r="P404" s="355"/>
      <c r="Q404" s="355"/>
      <c r="R404" s="355"/>
      <c r="S404" s="355"/>
      <c r="T404" s="399"/>
    </row>
    <row r="405" spans="7:20" s="395" customFormat="1" x14ac:dyDescent="0.2">
      <c r="G405" s="269"/>
      <c r="H405" s="272"/>
      <c r="I405" s="271"/>
      <c r="J405" s="271"/>
      <c r="K405" s="272"/>
      <c r="L405" s="259"/>
      <c r="M405" s="296"/>
      <c r="N405" s="355"/>
      <c r="O405" s="355"/>
      <c r="P405" s="355"/>
      <c r="Q405" s="355"/>
      <c r="R405" s="355"/>
      <c r="S405" s="355"/>
      <c r="T405" s="399"/>
    </row>
    <row r="406" spans="7:20" s="395" customFormat="1" x14ac:dyDescent="0.2">
      <c r="G406" s="269"/>
      <c r="H406" s="272"/>
      <c r="I406" s="271"/>
      <c r="J406" s="271"/>
      <c r="K406" s="272"/>
      <c r="L406" s="259"/>
      <c r="M406" s="296"/>
      <c r="N406" s="355"/>
      <c r="O406" s="355"/>
      <c r="P406" s="355"/>
      <c r="Q406" s="355"/>
      <c r="R406" s="355"/>
      <c r="S406" s="355"/>
      <c r="T406" s="399"/>
    </row>
    <row r="407" spans="7:20" s="395" customFormat="1" x14ac:dyDescent="0.2">
      <c r="G407" s="269"/>
      <c r="H407" s="272"/>
      <c r="I407" s="271"/>
      <c r="J407" s="271"/>
      <c r="K407" s="272"/>
      <c r="L407" s="259"/>
      <c r="M407" s="300"/>
      <c r="N407" s="355"/>
      <c r="O407" s="355"/>
      <c r="P407" s="355"/>
      <c r="Q407" s="355"/>
      <c r="R407" s="355"/>
      <c r="S407" s="355"/>
      <c r="T407" s="399"/>
    </row>
    <row r="408" spans="7:20" s="395" customFormat="1" x14ac:dyDescent="0.2">
      <c r="G408" s="269"/>
      <c r="H408" s="272"/>
      <c r="I408" s="271"/>
      <c r="J408" s="271"/>
      <c r="K408" s="272"/>
      <c r="L408" s="259"/>
      <c r="M408" s="296"/>
      <c r="N408" s="355"/>
      <c r="O408" s="355"/>
      <c r="P408" s="355"/>
      <c r="Q408" s="355"/>
      <c r="R408" s="355"/>
      <c r="S408" s="355"/>
      <c r="T408" s="399"/>
    </row>
    <row r="409" spans="7:20" s="395" customFormat="1" x14ac:dyDescent="0.2">
      <c r="G409" s="269"/>
      <c r="H409" s="272"/>
      <c r="I409" s="271"/>
      <c r="J409" s="271"/>
      <c r="K409" s="272"/>
      <c r="L409" s="259"/>
      <c r="M409" s="300"/>
      <c r="N409" s="355"/>
      <c r="O409" s="355"/>
      <c r="P409" s="355"/>
      <c r="Q409" s="355"/>
      <c r="R409" s="355"/>
      <c r="S409" s="355"/>
      <c r="T409" s="399"/>
    </row>
    <row r="410" spans="7:20" s="395" customFormat="1" x14ac:dyDescent="0.2">
      <c r="G410" s="269"/>
      <c r="H410" s="272"/>
      <c r="I410" s="271"/>
      <c r="J410" s="271"/>
      <c r="K410" s="272"/>
      <c r="L410" s="259"/>
      <c r="M410" s="300"/>
      <c r="N410" s="355"/>
      <c r="O410" s="355"/>
      <c r="P410" s="355"/>
      <c r="Q410" s="355"/>
      <c r="R410" s="355"/>
      <c r="S410" s="355"/>
      <c r="T410" s="399"/>
    </row>
    <row r="411" spans="7:20" s="395" customFormat="1" x14ac:dyDescent="0.2">
      <c r="G411" s="269"/>
      <c r="H411" s="272"/>
      <c r="I411" s="271"/>
      <c r="J411" s="271"/>
      <c r="K411" s="268"/>
      <c r="L411" s="259"/>
      <c r="M411" s="300"/>
      <c r="N411" s="355"/>
      <c r="O411" s="355"/>
      <c r="P411" s="355"/>
      <c r="Q411" s="355"/>
      <c r="R411" s="355"/>
      <c r="S411" s="355"/>
      <c r="T411" s="399"/>
    </row>
    <row r="412" spans="7:20" s="395" customFormat="1" x14ac:dyDescent="0.2">
      <c r="G412" s="269"/>
      <c r="H412" s="272"/>
      <c r="I412" s="271"/>
      <c r="J412" s="271"/>
      <c r="K412" s="272"/>
      <c r="L412" s="259"/>
      <c r="M412" s="300"/>
      <c r="N412" s="355"/>
      <c r="O412" s="355"/>
      <c r="P412" s="355"/>
      <c r="Q412" s="355"/>
      <c r="R412" s="355"/>
      <c r="S412" s="355"/>
      <c r="T412" s="399"/>
    </row>
    <row r="413" spans="7:20" s="395" customFormat="1" x14ac:dyDescent="0.2">
      <c r="G413" s="269"/>
      <c r="H413" s="272"/>
      <c r="I413" s="271"/>
      <c r="J413" s="271"/>
      <c r="K413" s="272"/>
      <c r="L413" s="259"/>
      <c r="M413" s="300"/>
      <c r="N413" s="355"/>
      <c r="O413" s="355"/>
      <c r="P413" s="355"/>
      <c r="Q413" s="355"/>
      <c r="R413" s="355"/>
      <c r="S413" s="355"/>
      <c r="T413" s="399"/>
    </row>
    <row r="414" spans="7:20" s="395" customFormat="1" x14ac:dyDescent="0.2">
      <c r="G414" s="269"/>
      <c r="H414" s="272"/>
      <c r="I414" s="271"/>
      <c r="J414" s="271"/>
      <c r="K414" s="272"/>
      <c r="L414" s="259"/>
      <c r="M414" s="300"/>
      <c r="N414" s="355"/>
      <c r="O414" s="355"/>
      <c r="P414" s="355"/>
      <c r="Q414" s="355"/>
      <c r="R414" s="355"/>
      <c r="S414" s="355"/>
      <c r="T414" s="399"/>
    </row>
    <row r="415" spans="7:20" s="395" customFormat="1" x14ac:dyDescent="0.2">
      <c r="G415" s="269"/>
      <c r="H415" s="272"/>
      <c r="I415" s="271"/>
      <c r="J415" s="271"/>
      <c r="K415" s="272"/>
      <c r="L415" s="259"/>
      <c r="M415" s="300"/>
      <c r="N415" s="355"/>
      <c r="O415" s="355"/>
      <c r="P415" s="355"/>
      <c r="Q415" s="355"/>
      <c r="R415" s="355"/>
      <c r="S415" s="355"/>
      <c r="T415" s="399"/>
    </row>
    <row r="416" spans="7:20" s="395" customFormat="1" x14ac:dyDescent="0.2">
      <c r="G416" s="269"/>
      <c r="H416" s="272"/>
      <c r="I416" s="271"/>
      <c r="J416" s="271"/>
      <c r="K416" s="272"/>
      <c r="L416" s="259"/>
      <c r="M416" s="300"/>
      <c r="N416" s="355"/>
      <c r="O416" s="355"/>
      <c r="P416" s="355"/>
      <c r="Q416" s="355"/>
      <c r="R416" s="355"/>
      <c r="S416" s="355"/>
      <c r="T416" s="399"/>
    </row>
    <row r="417" spans="7:20" s="395" customFormat="1" x14ac:dyDescent="0.2">
      <c r="G417" s="269"/>
      <c r="H417" s="272"/>
      <c r="I417" s="271"/>
      <c r="J417" s="271"/>
      <c r="K417" s="272"/>
      <c r="L417" s="259"/>
      <c r="M417" s="300"/>
      <c r="N417" s="355"/>
      <c r="O417" s="355"/>
      <c r="P417" s="355"/>
      <c r="Q417" s="355"/>
      <c r="R417" s="355"/>
      <c r="S417" s="355"/>
      <c r="T417" s="399"/>
    </row>
    <row r="418" spans="7:20" s="395" customFormat="1" x14ac:dyDescent="0.2">
      <c r="G418" s="269"/>
      <c r="H418" s="272"/>
      <c r="I418" s="271"/>
      <c r="J418" s="271"/>
      <c r="K418" s="268"/>
      <c r="L418" s="259"/>
      <c r="M418" s="300"/>
      <c r="N418" s="355"/>
      <c r="O418" s="355"/>
      <c r="P418" s="355"/>
      <c r="Q418" s="355"/>
      <c r="R418" s="355"/>
      <c r="S418" s="355"/>
      <c r="T418" s="399"/>
    </row>
    <row r="419" spans="7:20" s="395" customFormat="1" x14ac:dyDescent="0.2">
      <c r="G419" s="269"/>
      <c r="H419" s="268"/>
      <c r="I419" s="271"/>
      <c r="J419" s="271"/>
      <c r="K419" s="272"/>
      <c r="L419" s="259"/>
      <c r="M419" s="296"/>
      <c r="N419" s="355"/>
      <c r="O419" s="355"/>
      <c r="P419" s="355"/>
      <c r="Q419" s="355"/>
      <c r="R419" s="355"/>
      <c r="S419" s="355"/>
      <c r="T419" s="399"/>
    </row>
    <row r="420" spans="7:20" s="395" customFormat="1" ht="18" x14ac:dyDescent="0.25">
      <c r="G420" s="285" t="s">
        <v>69</v>
      </c>
      <c r="H420" s="284"/>
      <c r="I420" s="283"/>
      <c r="J420" s="283"/>
      <c r="K420" s="280"/>
      <c r="L420" s="282"/>
      <c r="M420" s="281"/>
      <c r="N420" s="402"/>
      <c r="O420" s="402"/>
      <c r="P420" s="402"/>
      <c r="Q420" s="402"/>
      <c r="R420" s="402"/>
      <c r="S420" s="402"/>
      <c r="T420" s="401"/>
    </row>
    <row r="421" spans="7:20" s="395" customFormat="1" x14ac:dyDescent="0.2">
      <c r="G421" s="269"/>
      <c r="H421" s="278"/>
      <c r="I421" s="279"/>
      <c r="J421" s="279"/>
      <c r="K421" s="278"/>
      <c r="L421" s="277"/>
      <c r="M421" s="276"/>
      <c r="N421" s="355"/>
      <c r="O421" s="355"/>
      <c r="P421" s="355"/>
      <c r="Q421" s="355"/>
      <c r="R421" s="355"/>
      <c r="S421" s="355"/>
      <c r="T421" s="399"/>
    </row>
    <row r="422" spans="7:20" s="395" customFormat="1" x14ac:dyDescent="0.2">
      <c r="G422" s="269"/>
      <c r="H422" s="287"/>
      <c r="I422" s="271"/>
      <c r="J422" s="271"/>
      <c r="K422" s="268"/>
      <c r="L422" s="270"/>
      <c r="M422" s="269"/>
      <c r="N422" s="355"/>
      <c r="O422" s="355"/>
      <c r="P422" s="355"/>
      <c r="Q422" s="355"/>
      <c r="R422" s="355"/>
      <c r="S422" s="355"/>
      <c r="T422" s="399"/>
    </row>
    <row r="423" spans="7:20" s="395" customFormat="1" x14ac:dyDescent="0.2">
      <c r="G423" s="269"/>
      <c r="H423" s="272"/>
      <c r="I423" s="271"/>
      <c r="J423" s="271"/>
      <c r="K423" s="272"/>
      <c r="L423" s="268"/>
      <c r="M423" s="296"/>
      <c r="N423" s="367"/>
      <c r="O423" s="355"/>
      <c r="P423" s="355"/>
      <c r="Q423" s="355"/>
      <c r="R423" s="355"/>
      <c r="S423" s="355"/>
      <c r="T423" s="399"/>
    </row>
    <row r="424" spans="7:20" s="395" customFormat="1" x14ac:dyDescent="0.2">
      <c r="G424" s="269"/>
      <c r="H424" s="272"/>
      <c r="I424" s="271"/>
      <c r="J424" s="271"/>
      <c r="K424" s="272"/>
      <c r="L424" s="268"/>
      <c r="M424" s="296"/>
      <c r="N424" s="367"/>
      <c r="O424" s="355"/>
      <c r="P424" s="355"/>
      <c r="Q424" s="355"/>
      <c r="R424" s="355"/>
      <c r="S424" s="355"/>
      <c r="T424" s="399"/>
    </row>
    <row r="425" spans="7:20" s="395" customFormat="1" x14ac:dyDescent="0.2">
      <c r="G425" s="269"/>
      <c r="H425" s="272"/>
      <c r="I425" s="271"/>
      <c r="J425" s="271"/>
      <c r="K425" s="272"/>
      <c r="L425" s="268"/>
      <c r="M425" s="296"/>
      <c r="N425" s="367"/>
      <c r="O425" s="355"/>
      <c r="P425" s="355"/>
      <c r="Q425" s="355"/>
      <c r="R425" s="355"/>
      <c r="S425" s="355"/>
      <c r="T425" s="399"/>
    </row>
    <row r="426" spans="7:20" s="395" customFormat="1" x14ac:dyDescent="0.2">
      <c r="G426" s="269"/>
      <c r="H426" s="272"/>
      <c r="I426" s="271"/>
      <c r="J426" s="271"/>
      <c r="K426" s="272"/>
      <c r="L426" s="268"/>
      <c r="M426" s="296"/>
      <c r="N426" s="367"/>
      <c r="O426" s="355"/>
      <c r="P426" s="355"/>
      <c r="Q426" s="355"/>
      <c r="R426" s="355"/>
      <c r="S426" s="355"/>
      <c r="T426" s="399"/>
    </row>
    <row r="427" spans="7:20" s="395" customFormat="1" x14ac:dyDescent="0.2">
      <c r="G427" s="269"/>
      <c r="H427" s="272"/>
      <c r="I427" s="271"/>
      <c r="J427" s="271"/>
      <c r="K427" s="272"/>
      <c r="L427" s="268"/>
      <c r="M427" s="296"/>
      <c r="N427" s="367"/>
      <c r="O427" s="355"/>
      <c r="P427" s="355"/>
      <c r="Q427" s="355"/>
      <c r="R427" s="355"/>
      <c r="S427" s="355"/>
      <c r="T427" s="399"/>
    </row>
    <row r="428" spans="7:20" s="395" customFormat="1" x14ac:dyDescent="0.2">
      <c r="G428" s="269"/>
      <c r="H428" s="272"/>
      <c r="I428" s="271"/>
      <c r="J428" s="271"/>
      <c r="K428" s="272"/>
      <c r="L428" s="268"/>
      <c r="M428" s="296"/>
      <c r="N428" s="367"/>
      <c r="O428" s="355"/>
      <c r="P428" s="355"/>
      <c r="Q428" s="355"/>
      <c r="R428" s="355"/>
      <c r="S428" s="355"/>
      <c r="T428" s="399"/>
    </row>
    <row r="429" spans="7:20" s="395" customFormat="1" x14ac:dyDescent="0.2">
      <c r="G429" s="269"/>
      <c r="H429" s="272"/>
      <c r="I429" s="271"/>
      <c r="J429" s="271"/>
      <c r="K429" s="272"/>
      <c r="L429" s="268"/>
      <c r="M429" s="296"/>
      <c r="N429" s="367"/>
      <c r="O429" s="355"/>
      <c r="P429" s="355"/>
      <c r="Q429" s="355"/>
      <c r="R429" s="355"/>
      <c r="S429" s="355"/>
      <c r="T429" s="399"/>
    </row>
    <row r="430" spans="7:20" s="395" customFormat="1" x14ac:dyDescent="0.2">
      <c r="G430" s="269"/>
      <c r="H430" s="272"/>
      <c r="I430" s="271"/>
      <c r="J430" s="271"/>
      <c r="K430" s="272"/>
      <c r="L430" s="268"/>
      <c r="M430" s="296"/>
      <c r="N430" s="367"/>
      <c r="O430" s="355"/>
      <c r="P430" s="355"/>
      <c r="Q430" s="355"/>
      <c r="R430" s="355"/>
      <c r="S430" s="355"/>
      <c r="T430" s="399"/>
    </row>
    <row r="431" spans="7:20" s="395" customFormat="1" x14ac:dyDescent="0.2">
      <c r="G431" s="269"/>
      <c r="H431" s="272"/>
      <c r="I431" s="271"/>
      <c r="J431" s="271"/>
      <c r="K431" s="272"/>
      <c r="L431" s="268"/>
      <c r="M431" s="296"/>
      <c r="N431" s="367"/>
      <c r="O431" s="355"/>
      <c r="P431" s="355"/>
      <c r="Q431" s="355"/>
      <c r="R431" s="355"/>
      <c r="S431" s="355"/>
      <c r="T431" s="399"/>
    </row>
    <row r="432" spans="7:20" s="395" customFormat="1" x14ac:dyDescent="0.2">
      <c r="G432" s="269"/>
      <c r="H432" s="272"/>
      <c r="I432" s="271"/>
      <c r="J432" s="271"/>
      <c r="K432" s="272"/>
      <c r="L432" s="268"/>
      <c r="M432" s="296"/>
      <c r="N432" s="367"/>
      <c r="O432" s="355"/>
      <c r="P432" s="355"/>
      <c r="Q432" s="355"/>
      <c r="R432" s="355"/>
      <c r="S432" s="355"/>
      <c r="T432" s="399"/>
    </row>
    <row r="433" spans="7:20" s="395" customFormat="1" x14ac:dyDescent="0.2">
      <c r="G433" s="269"/>
      <c r="H433" s="272"/>
      <c r="I433" s="271"/>
      <c r="J433" s="271"/>
      <c r="K433" s="272"/>
      <c r="L433" s="268"/>
      <c r="M433" s="296"/>
      <c r="N433" s="367"/>
      <c r="O433" s="355"/>
      <c r="P433" s="355"/>
      <c r="Q433" s="355"/>
      <c r="R433" s="355"/>
      <c r="S433" s="355"/>
      <c r="T433" s="399"/>
    </row>
    <row r="434" spans="7:20" s="395" customFormat="1" x14ac:dyDescent="0.2">
      <c r="G434" s="269"/>
      <c r="H434" s="268"/>
      <c r="I434" s="271"/>
      <c r="J434" s="271"/>
      <c r="K434" s="268"/>
      <c r="L434" s="268"/>
      <c r="M434" s="300"/>
      <c r="N434" s="355"/>
      <c r="O434" s="355"/>
      <c r="P434" s="355"/>
      <c r="Q434" s="355"/>
      <c r="R434" s="355"/>
      <c r="S434" s="355"/>
      <c r="T434" s="399"/>
    </row>
    <row r="435" spans="7:20" s="395" customFormat="1" x14ac:dyDescent="0.2">
      <c r="G435" s="269"/>
      <c r="H435" s="287"/>
      <c r="I435" s="271"/>
      <c r="J435" s="271"/>
      <c r="K435" s="268"/>
      <c r="L435" s="268"/>
      <c r="M435" s="300"/>
      <c r="N435" s="355"/>
      <c r="O435" s="325"/>
      <c r="P435" s="325"/>
      <c r="Q435" s="325"/>
      <c r="R435" s="367"/>
      <c r="S435" s="355"/>
      <c r="T435" s="399"/>
    </row>
    <row r="436" spans="7:20" s="395" customFormat="1" x14ac:dyDescent="0.2">
      <c r="G436" s="269"/>
      <c r="H436" s="272"/>
      <c r="I436" s="271"/>
      <c r="J436" s="271"/>
      <c r="K436" s="272"/>
      <c r="L436" s="268"/>
      <c r="M436" s="296"/>
      <c r="N436" s="355"/>
      <c r="O436" s="355"/>
      <c r="P436" s="355"/>
      <c r="Q436" s="355"/>
      <c r="R436" s="355"/>
      <c r="S436" s="355"/>
      <c r="T436" s="399"/>
    </row>
    <row r="437" spans="7:20" s="395" customFormat="1" x14ac:dyDescent="0.2">
      <c r="G437" s="269"/>
      <c r="H437" s="272"/>
      <c r="I437" s="271"/>
      <c r="J437" s="271"/>
      <c r="K437" s="272"/>
      <c r="L437" s="268"/>
      <c r="M437" s="296"/>
      <c r="N437" s="355"/>
      <c r="O437" s="355"/>
      <c r="P437" s="355"/>
      <c r="Q437" s="355"/>
      <c r="R437" s="355"/>
      <c r="S437" s="355"/>
      <c r="T437" s="399"/>
    </row>
    <row r="438" spans="7:20" s="395" customFormat="1" x14ac:dyDescent="0.2">
      <c r="G438" s="269"/>
      <c r="H438" s="272"/>
      <c r="I438" s="271"/>
      <c r="J438" s="271"/>
      <c r="K438" s="272"/>
      <c r="L438" s="268"/>
      <c r="M438" s="296"/>
      <c r="N438" s="355"/>
      <c r="O438" s="355"/>
      <c r="P438" s="355"/>
      <c r="Q438" s="355"/>
      <c r="R438" s="355"/>
      <c r="S438" s="355"/>
      <c r="T438" s="399"/>
    </row>
    <row r="439" spans="7:20" s="395" customFormat="1" x14ac:dyDescent="0.2">
      <c r="G439" s="269"/>
      <c r="H439" s="272"/>
      <c r="I439" s="271"/>
      <c r="J439" s="271"/>
      <c r="K439" s="272"/>
      <c r="L439" s="268"/>
      <c r="M439" s="296"/>
      <c r="N439" s="355"/>
      <c r="O439" s="355"/>
      <c r="P439" s="355"/>
      <c r="Q439" s="355"/>
      <c r="R439" s="355"/>
      <c r="S439" s="355"/>
      <c r="T439" s="399"/>
    </row>
    <row r="440" spans="7:20" s="395" customFormat="1" x14ac:dyDescent="0.2">
      <c r="G440" s="269"/>
      <c r="H440" s="272"/>
      <c r="I440" s="271"/>
      <c r="J440" s="271"/>
      <c r="K440" s="272"/>
      <c r="L440" s="268"/>
      <c r="M440" s="296"/>
      <c r="N440" s="355"/>
      <c r="O440" s="355"/>
      <c r="P440" s="355"/>
      <c r="Q440" s="355"/>
      <c r="R440" s="355"/>
      <c r="S440" s="355"/>
      <c r="T440" s="399"/>
    </row>
    <row r="441" spans="7:20" s="395" customFormat="1" x14ac:dyDescent="0.2">
      <c r="G441" s="269"/>
      <c r="H441" s="272"/>
      <c r="I441" s="271"/>
      <c r="J441" s="271"/>
      <c r="K441" s="272"/>
      <c r="L441" s="268"/>
      <c r="M441" s="296"/>
      <c r="N441" s="355"/>
      <c r="O441" s="355"/>
      <c r="P441" s="355"/>
      <c r="Q441" s="355"/>
      <c r="R441" s="355"/>
      <c r="S441" s="355"/>
      <c r="T441" s="399"/>
    </row>
    <row r="442" spans="7:20" s="395" customFormat="1" x14ac:dyDescent="0.2">
      <c r="G442" s="269"/>
      <c r="H442" s="272"/>
      <c r="I442" s="271"/>
      <c r="J442" s="271"/>
      <c r="K442" s="272"/>
      <c r="L442" s="268"/>
      <c r="M442" s="296"/>
      <c r="N442" s="355"/>
      <c r="O442" s="355"/>
      <c r="P442" s="355"/>
      <c r="Q442" s="355"/>
      <c r="R442" s="355"/>
      <c r="S442" s="355"/>
      <c r="T442" s="399"/>
    </row>
    <row r="443" spans="7:20" s="395" customFormat="1" x14ac:dyDescent="0.2">
      <c r="G443" s="269"/>
      <c r="H443" s="272"/>
      <c r="I443" s="271"/>
      <c r="J443" s="271"/>
      <c r="K443" s="272"/>
      <c r="L443" s="268"/>
      <c r="M443" s="296"/>
      <c r="N443" s="355"/>
      <c r="O443" s="355"/>
      <c r="P443" s="355"/>
      <c r="Q443" s="355"/>
      <c r="R443" s="355"/>
      <c r="S443" s="355"/>
      <c r="T443" s="399"/>
    </row>
    <row r="444" spans="7:20" s="395" customFormat="1" x14ac:dyDescent="0.2">
      <c r="G444" s="269"/>
      <c r="H444" s="272"/>
      <c r="I444" s="271"/>
      <c r="J444" s="271"/>
      <c r="K444" s="272"/>
      <c r="L444" s="268"/>
      <c r="M444" s="296"/>
      <c r="N444" s="355"/>
      <c r="O444" s="355"/>
      <c r="P444" s="355"/>
      <c r="Q444" s="355"/>
      <c r="R444" s="355"/>
      <c r="S444" s="355"/>
      <c r="T444" s="399"/>
    </row>
    <row r="445" spans="7:20" s="395" customFormat="1" x14ac:dyDescent="0.2">
      <c r="G445" s="269"/>
      <c r="H445" s="272"/>
      <c r="I445" s="271"/>
      <c r="J445" s="271"/>
      <c r="K445" s="272"/>
      <c r="L445" s="268"/>
      <c r="M445" s="296"/>
      <c r="N445" s="355"/>
      <c r="O445" s="355"/>
      <c r="P445" s="355"/>
      <c r="Q445" s="355"/>
      <c r="R445" s="355"/>
      <c r="S445" s="355"/>
      <c r="T445" s="399"/>
    </row>
    <row r="446" spans="7:20" s="395" customFormat="1" x14ac:dyDescent="0.2">
      <c r="G446" s="269"/>
      <c r="H446" s="268"/>
      <c r="I446" s="271"/>
      <c r="J446" s="271"/>
      <c r="K446" s="268"/>
      <c r="L446" s="270"/>
      <c r="M446" s="269"/>
      <c r="N446" s="355"/>
      <c r="O446" s="355"/>
      <c r="P446" s="325"/>
      <c r="Q446" s="325"/>
      <c r="R446" s="325"/>
      <c r="S446" s="355"/>
      <c r="T446" s="399"/>
    </row>
    <row r="447" spans="7:20" s="395" customFormat="1" x14ac:dyDescent="0.2">
      <c r="G447" s="269"/>
      <c r="H447" s="287"/>
      <c r="I447" s="271"/>
      <c r="J447" s="271"/>
      <c r="K447" s="268"/>
      <c r="L447" s="270"/>
      <c r="M447" s="269"/>
      <c r="N447" s="355"/>
      <c r="O447" s="355"/>
      <c r="P447" s="355"/>
      <c r="Q447" s="355"/>
      <c r="R447" s="355"/>
      <c r="S447" s="355"/>
      <c r="T447" s="399"/>
    </row>
    <row r="448" spans="7:20" s="395" customFormat="1" x14ac:dyDescent="0.2">
      <c r="G448" s="269"/>
      <c r="H448" s="272"/>
      <c r="I448" s="271"/>
      <c r="J448" s="271"/>
      <c r="K448" s="268"/>
      <c r="L448" s="270"/>
      <c r="M448" s="269"/>
      <c r="N448" s="355"/>
      <c r="O448" s="355"/>
      <c r="P448" s="355"/>
      <c r="Q448" s="355"/>
      <c r="R448" s="355"/>
      <c r="S448" s="355"/>
      <c r="T448" s="399"/>
    </row>
    <row r="449" spans="7:20" s="395" customFormat="1" x14ac:dyDescent="0.2">
      <c r="G449" s="269"/>
      <c r="H449" s="272"/>
      <c r="I449" s="271"/>
      <c r="J449" s="271"/>
      <c r="K449" s="268"/>
      <c r="L449" s="270"/>
      <c r="M449" s="269"/>
      <c r="N449" s="355"/>
      <c r="O449" s="355"/>
      <c r="P449" s="355"/>
      <c r="Q449" s="355"/>
      <c r="R449" s="355"/>
      <c r="S449" s="355"/>
      <c r="T449" s="399"/>
    </row>
    <row r="450" spans="7:20" s="395" customFormat="1" x14ac:dyDescent="0.2">
      <c r="G450" s="269"/>
      <c r="H450" s="272"/>
      <c r="I450" s="271"/>
      <c r="J450" s="271"/>
      <c r="K450" s="268"/>
      <c r="L450" s="270"/>
      <c r="M450" s="269"/>
      <c r="N450" s="355"/>
      <c r="O450" s="355"/>
      <c r="P450" s="355"/>
      <c r="Q450" s="355"/>
      <c r="R450" s="355"/>
      <c r="S450" s="355"/>
      <c r="T450" s="399"/>
    </row>
    <row r="451" spans="7:20" s="395" customFormat="1" x14ac:dyDescent="0.2">
      <c r="G451" s="269"/>
      <c r="H451" s="272"/>
      <c r="I451" s="271"/>
      <c r="J451" s="271"/>
      <c r="K451" s="268"/>
      <c r="L451" s="270"/>
      <c r="M451" s="269"/>
      <c r="N451" s="355"/>
      <c r="O451" s="355"/>
      <c r="P451" s="355"/>
      <c r="Q451" s="355"/>
      <c r="R451" s="355"/>
      <c r="S451" s="355"/>
      <c r="T451" s="399"/>
    </row>
    <row r="452" spans="7:20" s="395" customFormat="1" x14ac:dyDescent="0.2">
      <c r="G452" s="269"/>
      <c r="H452" s="272"/>
      <c r="I452" s="271"/>
      <c r="J452" s="271"/>
      <c r="K452" s="268"/>
      <c r="L452" s="270"/>
      <c r="M452" s="269"/>
      <c r="N452" s="355"/>
      <c r="O452" s="355"/>
      <c r="P452" s="355"/>
      <c r="Q452" s="355"/>
      <c r="R452" s="355"/>
      <c r="S452" s="355"/>
      <c r="T452" s="399"/>
    </row>
    <row r="453" spans="7:20" s="395" customFormat="1" x14ac:dyDescent="0.2">
      <c r="G453" s="269"/>
      <c r="H453" s="272"/>
      <c r="I453" s="271"/>
      <c r="J453" s="271"/>
      <c r="K453" s="268"/>
      <c r="L453" s="270"/>
      <c r="M453" s="269"/>
      <c r="N453" s="355"/>
      <c r="O453" s="355"/>
      <c r="P453" s="355"/>
      <c r="Q453" s="355"/>
      <c r="R453" s="355"/>
      <c r="S453" s="355"/>
      <c r="T453" s="399"/>
    </row>
    <row r="454" spans="7:20" s="395" customFormat="1" x14ac:dyDescent="0.2">
      <c r="G454" s="269"/>
      <c r="H454" s="272"/>
      <c r="I454" s="271"/>
      <c r="J454" s="271"/>
      <c r="K454" s="268"/>
      <c r="L454" s="270"/>
      <c r="M454" s="269"/>
      <c r="N454" s="355"/>
      <c r="O454" s="355"/>
      <c r="P454" s="355"/>
      <c r="Q454" s="355"/>
      <c r="R454" s="355"/>
      <c r="S454" s="355"/>
      <c r="T454" s="399"/>
    </row>
    <row r="455" spans="7:20" s="395" customFormat="1" x14ac:dyDescent="0.2">
      <c r="G455" s="269"/>
      <c r="H455" s="272"/>
      <c r="I455" s="271"/>
      <c r="J455" s="271"/>
      <c r="K455" s="268"/>
      <c r="L455" s="270"/>
      <c r="M455" s="269"/>
      <c r="N455" s="355"/>
      <c r="O455" s="355"/>
      <c r="P455" s="355"/>
      <c r="Q455" s="355"/>
      <c r="R455" s="355"/>
      <c r="S455" s="355"/>
      <c r="T455" s="399"/>
    </row>
    <row r="456" spans="7:20" s="395" customFormat="1" x14ac:dyDescent="0.2">
      <c r="G456" s="269"/>
      <c r="H456" s="272"/>
      <c r="I456" s="271"/>
      <c r="J456" s="271"/>
      <c r="K456" s="268"/>
      <c r="L456" s="270"/>
      <c r="M456" s="269"/>
      <c r="N456" s="355"/>
      <c r="O456" s="355"/>
      <c r="P456" s="355"/>
      <c r="Q456" s="355"/>
      <c r="R456" s="355"/>
      <c r="S456" s="355"/>
      <c r="T456" s="399"/>
    </row>
    <row r="457" spans="7:20" s="395" customFormat="1" x14ac:dyDescent="0.2">
      <c r="G457" s="269"/>
      <c r="H457" s="272"/>
      <c r="I457" s="271"/>
      <c r="J457" s="271"/>
      <c r="K457" s="268"/>
      <c r="L457" s="270"/>
      <c r="M457" s="269"/>
      <c r="N457" s="355"/>
      <c r="O457" s="355"/>
      <c r="P457" s="355"/>
      <c r="Q457" s="355"/>
      <c r="R457" s="355"/>
      <c r="S457" s="355"/>
      <c r="T457" s="399"/>
    </row>
    <row r="458" spans="7:20" s="395" customFormat="1" x14ac:dyDescent="0.2">
      <c r="G458" s="269"/>
      <c r="H458" s="268"/>
      <c r="I458" s="271"/>
      <c r="J458" s="271"/>
      <c r="K458" s="268"/>
      <c r="L458" s="268"/>
      <c r="M458" s="269"/>
      <c r="N458" s="355"/>
      <c r="O458" s="355"/>
      <c r="P458" s="355"/>
      <c r="Q458" s="355"/>
      <c r="R458" s="355"/>
      <c r="S458" s="355"/>
      <c r="T458" s="399"/>
    </row>
    <row r="459" spans="7:20" s="395" customFormat="1" x14ac:dyDescent="0.2">
      <c r="G459" s="269"/>
      <c r="H459" s="287"/>
      <c r="I459" s="271"/>
      <c r="J459" s="271"/>
      <c r="K459" s="268"/>
      <c r="L459" s="270"/>
      <c r="M459" s="269"/>
      <c r="N459" s="355"/>
      <c r="O459" s="367"/>
      <c r="P459" s="367"/>
      <c r="Q459" s="367"/>
      <c r="R459" s="367"/>
      <c r="S459" s="355"/>
      <c r="T459" s="399"/>
    </row>
    <row r="460" spans="7:20" s="395" customFormat="1" x14ac:dyDescent="0.2">
      <c r="G460" s="269"/>
      <c r="H460" s="272"/>
      <c r="I460" s="271"/>
      <c r="J460" s="271"/>
      <c r="K460" s="268"/>
      <c r="L460" s="298"/>
      <c r="M460" s="296"/>
      <c r="N460" s="367"/>
      <c r="O460" s="355"/>
      <c r="P460" s="355"/>
      <c r="Q460" s="355"/>
      <c r="R460" s="355"/>
      <c r="S460" s="355"/>
      <c r="T460" s="399"/>
    </row>
    <row r="461" spans="7:20" s="395" customFormat="1" x14ac:dyDescent="0.2">
      <c r="G461" s="269"/>
      <c r="H461" s="272"/>
      <c r="I461" s="271"/>
      <c r="J461" s="271"/>
      <c r="K461" s="268"/>
      <c r="L461" s="298"/>
      <c r="M461" s="296"/>
      <c r="N461" s="367"/>
      <c r="O461" s="355"/>
      <c r="P461" s="355"/>
      <c r="Q461" s="355"/>
      <c r="R461" s="355"/>
      <c r="S461" s="355"/>
      <c r="T461" s="399"/>
    </row>
    <row r="462" spans="7:20" s="395" customFormat="1" x14ac:dyDescent="0.2">
      <c r="G462" s="269"/>
      <c r="H462" s="272"/>
      <c r="I462" s="271"/>
      <c r="J462" s="271"/>
      <c r="K462" s="268"/>
      <c r="L462" s="298"/>
      <c r="M462" s="296"/>
      <c r="N462" s="367"/>
      <c r="O462" s="355"/>
      <c r="P462" s="355"/>
      <c r="Q462" s="355"/>
      <c r="R462" s="355"/>
      <c r="S462" s="355"/>
      <c r="T462" s="399"/>
    </row>
    <row r="463" spans="7:20" s="395" customFormat="1" x14ac:dyDescent="0.2">
      <c r="G463" s="269"/>
      <c r="H463" s="272"/>
      <c r="I463" s="271"/>
      <c r="J463" s="271"/>
      <c r="K463" s="268"/>
      <c r="L463" s="298"/>
      <c r="M463" s="296"/>
      <c r="N463" s="367"/>
      <c r="O463" s="355"/>
      <c r="P463" s="355"/>
      <c r="Q463" s="355"/>
      <c r="R463" s="355"/>
      <c r="S463" s="355"/>
      <c r="T463" s="399"/>
    </row>
    <row r="464" spans="7:20" s="395" customFormat="1" x14ac:dyDescent="0.2">
      <c r="G464" s="269"/>
      <c r="H464" s="272"/>
      <c r="I464" s="271"/>
      <c r="J464" s="271"/>
      <c r="K464" s="272"/>
      <c r="L464" s="298"/>
      <c r="M464" s="296"/>
      <c r="N464" s="367"/>
      <c r="O464" s="355"/>
      <c r="P464" s="355"/>
      <c r="Q464" s="355"/>
      <c r="R464" s="355"/>
      <c r="S464" s="355"/>
      <c r="T464" s="399"/>
    </row>
    <row r="465" spans="7:20" s="395" customFormat="1" x14ac:dyDescent="0.2">
      <c r="G465" s="269"/>
      <c r="H465" s="268"/>
      <c r="I465" s="271"/>
      <c r="J465" s="271"/>
      <c r="K465" s="268"/>
      <c r="L465" s="270"/>
      <c r="M465" s="269"/>
      <c r="N465" s="355"/>
      <c r="O465" s="355"/>
      <c r="P465" s="355"/>
      <c r="Q465" s="355"/>
      <c r="R465" s="355"/>
      <c r="S465" s="355"/>
      <c r="T465" s="399"/>
    </row>
    <row r="466" spans="7:20" s="395" customFormat="1" x14ac:dyDescent="0.2">
      <c r="G466" s="269"/>
      <c r="H466" s="287"/>
      <c r="I466" s="271"/>
      <c r="J466" s="271"/>
      <c r="K466" s="268"/>
      <c r="L466" s="270"/>
      <c r="M466" s="269"/>
      <c r="N466" s="355"/>
      <c r="O466" s="355"/>
      <c r="P466" s="355"/>
      <c r="Q466" s="355"/>
      <c r="R466" s="355"/>
      <c r="S466" s="355"/>
      <c r="T466" s="399"/>
    </row>
    <row r="467" spans="7:20" s="395" customFormat="1" x14ac:dyDescent="0.2">
      <c r="G467" s="269"/>
      <c r="H467" s="272"/>
      <c r="I467" s="271"/>
      <c r="J467" s="271"/>
      <c r="K467" s="272"/>
      <c r="L467" s="270"/>
      <c r="M467" s="269"/>
      <c r="N467" s="355"/>
      <c r="O467" s="355"/>
      <c r="P467" s="355"/>
      <c r="Q467" s="355"/>
      <c r="R467" s="355"/>
      <c r="S467" s="355"/>
      <c r="T467" s="399"/>
    </row>
    <row r="468" spans="7:20" s="395" customFormat="1" x14ac:dyDescent="0.2">
      <c r="G468" s="269"/>
      <c r="H468" s="272"/>
      <c r="I468" s="271"/>
      <c r="J468" s="271"/>
      <c r="K468" s="272"/>
      <c r="L468" s="270"/>
      <c r="M468" s="269"/>
      <c r="N468" s="355"/>
      <c r="O468" s="355"/>
      <c r="P468" s="355"/>
      <c r="Q468" s="355"/>
      <c r="R468" s="355"/>
      <c r="S468" s="355"/>
      <c r="T468" s="399"/>
    </row>
    <row r="469" spans="7:20" s="395" customFormat="1" x14ac:dyDescent="0.2">
      <c r="G469" s="269"/>
      <c r="H469" s="272"/>
      <c r="I469" s="271"/>
      <c r="J469" s="271"/>
      <c r="K469" s="272"/>
      <c r="L469" s="270"/>
      <c r="M469" s="269"/>
      <c r="N469" s="355"/>
      <c r="O469" s="355"/>
      <c r="P469" s="355"/>
      <c r="Q469" s="355"/>
      <c r="R469" s="355"/>
      <c r="S469" s="355"/>
      <c r="T469" s="399"/>
    </row>
    <row r="470" spans="7:20" s="395" customFormat="1" x14ac:dyDescent="0.2">
      <c r="G470" s="269"/>
      <c r="H470" s="272"/>
      <c r="I470" s="271"/>
      <c r="J470" s="271"/>
      <c r="K470" s="272"/>
      <c r="L470" s="270"/>
      <c r="M470" s="269"/>
      <c r="N470" s="355"/>
      <c r="O470" s="355"/>
      <c r="P470" s="355"/>
      <c r="Q470" s="355"/>
      <c r="R470" s="355"/>
      <c r="S470" s="355"/>
      <c r="T470" s="399"/>
    </row>
    <row r="471" spans="7:20" s="395" customFormat="1" x14ac:dyDescent="0.2">
      <c r="G471" s="269"/>
      <c r="H471" s="272"/>
      <c r="I471" s="271"/>
      <c r="J471" s="271"/>
      <c r="K471" s="272"/>
      <c r="L471" s="270"/>
      <c r="M471" s="269"/>
      <c r="N471" s="355"/>
      <c r="O471" s="355"/>
      <c r="P471" s="355"/>
      <c r="Q471" s="355"/>
      <c r="R471" s="355"/>
      <c r="S471" s="355"/>
      <c r="T471" s="399"/>
    </row>
    <row r="472" spans="7:20" s="395" customFormat="1" x14ac:dyDescent="0.2">
      <c r="G472" s="269"/>
      <c r="H472" s="272"/>
      <c r="I472" s="271"/>
      <c r="J472" s="271"/>
      <c r="K472" s="272"/>
      <c r="L472" s="270"/>
      <c r="M472" s="269"/>
      <c r="N472" s="355"/>
      <c r="O472" s="355"/>
      <c r="P472" s="355"/>
      <c r="Q472" s="355"/>
      <c r="R472" s="355"/>
      <c r="S472" s="355"/>
      <c r="T472" s="399"/>
    </row>
    <row r="473" spans="7:20" s="395" customFormat="1" x14ac:dyDescent="0.2">
      <c r="G473" s="269"/>
      <c r="H473" s="272"/>
      <c r="I473" s="271"/>
      <c r="J473" s="271"/>
      <c r="K473" s="272"/>
      <c r="L473" s="270"/>
      <c r="M473" s="269"/>
      <c r="N473" s="355"/>
      <c r="O473" s="355"/>
      <c r="P473" s="355"/>
      <c r="Q473" s="355"/>
      <c r="R473" s="355"/>
      <c r="S473" s="355"/>
      <c r="T473" s="399"/>
    </row>
    <row r="474" spans="7:20" s="395" customFormat="1" x14ac:dyDescent="0.2">
      <c r="G474" s="269"/>
      <c r="H474" s="272"/>
      <c r="I474" s="271"/>
      <c r="J474" s="271"/>
      <c r="K474" s="272"/>
      <c r="L474" s="270"/>
      <c r="M474" s="269"/>
      <c r="N474" s="355"/>
      <c r="O474" s="355"/>
      <c r="P474" s="355"/>
      <c r="Q474" s="355"/>
      <c r="R474" s="355"/>
      <c r="S474" s="355"/>
      <c r="T474" s="399"/>
    </row>
    <row r="475" spans="7:20" s="395" customFormat="1" x14ac:dyDescent="0.2">
      <c r="G475" s="269"/>
      <c r="H475" s="272"/>
      <c r="I475" s="271"/>
      <c r="J475" s="271"/>
      <c r="K475" s="272"/>
      <c r="L475" s="270"/>
      <c r="M475" s="269"/>
      <c r="N475" s="355"/>
      <c r="O475" s="355"/>
      <c r="P475" s="355"/>
      <c r="Q475" s="355"/>
      <c r="R475" s="355"/>
      <c r="S475" s="355"/>
      <c r="T475" s="399"/>
    </row>
    <row r="476" spans="7:20" s="395" customFormat="1" x14ac:dyDescent="0.2">
      <c r="G476" s="269"/>
      <c r="H476" s="272"/>
      <c r="I476" s="271"/>
      <c r="J476" s="271"/>
      <c r="K476" s="272"/>
      <c r="L476" s="270"/>
      <c r="M476" s="269"/>
      <c r="N476" s="355"/>
      <c r="O476" s="355"/>
      <c r="P476" s="355"/>
      <c r="Q476" s="355"/>
      <c r="R476" s="355"/>
      <c r="S476" s="355"/>
      <c r="T476" s="399"/>
    </row>
    <row r="477" spans="7:20" s="395" customFormat="1" x14ac:dyDescent="0.2">
      <c r="G477" s="269"/>
      <c r="H477" s="272"/>
      <c r="I477" s="271"/>
      <c r="J477" s="271"/>
      <c r="K477" s="272"/>
      <c r="L477" s="270"/>
      <c r="M477" s="269"/>
      <c r="N477" s="355"/>
      <c r="O477" s="355"/>
      <c r="P477" s="355"/>
      <c r="Q477" s="355"/>
      <c r="R477" s="355"/>
      <c r="S477" s="355"/>
      <c r="T477" s="399"/>
    </row>
    <row r="478" spans="7:20" s="395" customFormat="1" x14ac:dyDescent="0.2">
      <c r="G478" s="269"/>
      <c r="H478" s="272"/>
      <c r="I478" s="271"/>
      <c r="J478" s="271"/>
      <c r="K478" s="272"/>
      <c r="L478" s="270"/>
      <c r="M478" s="269"/>
      <c r="N478" s="355"/>
      <c r="O478" s="355"/>
      <c r="P478" s="355"/>
      <c r="Q478" s="355"/>
      <c r="R478" s="355"/>
      <c r="S478" s="355"/>
      <c r="T478" s="399"/>
    </row>
    <row r="479" spans="7:20" s="395" customFormat="1" x14ac:dyDescent="0.2">
      <c r="G479" s="269"/>
      <c r="H479" s="272"/>
      <c r="I479" s="271"/>
      <c r="J479" s="271"/>
      <c r="K479" s="272"/>
      <c r="L479" s="270"/>
      <c r="M479" s="269"/>
      <c r="N479" s="355"/>
      <c r="O479" s="355"/>
      <c r="P479" s="355"/>
      <c r="Q479" s="355"/>
      <c r="R479" s="355"/>
      <c r="S479" s="355"/>
      <c r="T479" s="399"/>
    </row>
    <row r="480" spans="7:20" s="395" customFormat="1" x14ac:dyDescent="0.2">
      <c r="G480" s="269"/>
      <c r="H480" s="272"/>
      <c r="I480" s="271"/>
      <c r="J480" s="271"/>
      <c r="K480" s="268"/>
      <c r="L480" s="270"/>
      <c r="M480" s="269"/>
      <c r="N480" s="355"/>
      <c r="O480" s="355"/>
      <c r="P480" s="355"/>
      <c r="Q480" s="355"/>
      <c r="R480" s="355"/>
      <c r="S480" s="355"/>
      <c r="T480" s="399"/>
    </row>
    <row r="481" spans="7:20" s="395" customFormat="1" x14ac:dyDescent="0.2">
      <c r="G481" s="269"/>
      <c r="H481" s="272"/>
      <c r="I481" s="271"/>
      <c r="J481" s="271"/>
      <c r="K481" s="272"/>
      <c r="L481" s="268"/>
      <c r="M481" s="296"/>
      <c r="N481" s="355"/>
      <c r="O481" s="355"/>
      <c r="P481" s="355"/>
      <c r="Q481" s="355"/>
      <c r="R481" s="355"/>
      <c r="S481" s="355"/>
      <c r="T481" s="399"/>
    </row>
    <row r="482" spans="7:20" s="395" customFormat="1" x14ac:dyDescent="0.2">
      <c r="G482" s="269"/>
      <c r="H482" s="272"/>
      <c r="I482" s="271"/>
      <c r="J482" s="271"/>
      <c r="K482" s="268"/>
      <c r="L482" s="270"/>
      <c r="M482" s="269"/>
      <c r="N482" s="355"/>
      <c r="O482" s="355"/>
      <c r="P482" s="355"/>
      <c r="Q482" s="355"/>
      <c r="R482" s="355"/>
      <c r="S482" s="355"/>
      <c r="T482" s="399"/>
    </row>
    <row r="483" spans="7:20" s="395" customFormat="1" ht="18" x14ac:dyDescent="0.25">
      <c r="G483" s="285" t="s">
        <v>85</v>
      </c>
      <c r="H483" s="284"/>
      <c r="I483" s="283"/>
      <c r="J483" s="283"/>
      <c r="K483" s="280"/>
      <c r="L483" s="291"/>
      <c r="M483" s="280"/>
      <c r="N483" s="402"/>
      <c r="O483" s="402"/>
      <c r="P483" s="402"/>
      <c r="Q483" s="402"/>
      <c r="R483" s="402"/>
      <c r="S483" s="402"/>
      <c r="T483" s="401"/>
    </row>
    <row r="484" spans="7:20" s="395" customFormat="1" x14ac:dyDescent="0.2">
      <c r="G484" s="269"/>
      <c r="H484" s="278"/>
      <c r="I484" s="279"/>
      <c r="J484" s="279"/>
      <c r="K484" s="278"/>
      <c r="L484" s="290"/>
      <c r="M484" s="278"/>
      <c r="N484" s="355"/>
      <c r="O484" s="355"/>
      <c r="P484" s="355"/>
      <c r="Q484" s="355"/>
      <c r="R484" s="355"/>
      <c r="S484" s="355"/>
      <c r="T484" s="399"/>
    </row>
    <row r="485" spans="7:20" s="395" customFormat="1" x14ac:dyDescent="0.2">
      <c r="G485" s="269"/>
      <c r="H485" s="287"/>
      <c r="I485" s="271"/>
      <c r="J485" s="271"/>
      <c r="K485" s="268"/>
      <c r="L485" s="286"/>
      <c r="M485" s="268"/>
      <c r="N485" s="355"/>
      <c r="O485" s="355"/>
      <c r="P485" s="355"/>
      <c r="Q485" s="355"/>
      <c r="R485" s="355"/>
      <c r="S485" s="355"/>
      <c r="T485" s="399"/>
    </row>
    <row r="486" spans="7:20" s="395" customFormat="1" x14ac:dyDescent="0.2">
      <c r="G486" s="269"/>
      <c r="H486" s="272"/>
      <c r="I486" s="271"/>
      <c r="J486" s="271"/>
      <c r="K486" s="295"/>
      <c r="L486" s="286"/>
      <c r="M486" s="268"/>
      <c r="N486" s="355"/>
      <c r="O486" s="355"/>
      <c r="P486" s="355"/>
      <c r="Q486" s="355"/>
      <c r="R486" s="355"/>
      <c r="S486" s="355"/>
      <c r="T486" s="399"/>
    </row>
    <row r="487" spans="7:20" s="395" customFormat="1" x14ac:dyDescent="0.2">
      <c r="G487" s="269"/>
      <c r="H487" s="272"/>
      <c r="I487" s="271"/>
      <c r="J487" s="271"/>
      <c r="K487" s="272"/>
      <c r="L487" s="286"/>
      <c r="M487" s="268"/>
      <c r="N487" s="355"/>
      <c r="O487" s="355"/>
      <c r="P487" s="355"/>
      <c r="Q487" s="355"/>
      <c r="R487" s="355"/>
      <c r="S487" s="355"/>
      <c r="T487" s="399"/>
    </row>
    <row r="488" spans="7:20" s="395" customFormat="1" x14ac:dyDescent="0.2">
      <c r="G488" s="269"/>
      <c r="H488" s="272"/>
      <c r="I488" s="271"/>
      <c r="J488" s="271"/>
      <c r="K488" s="272"/>
      <c r="L488" s="286"/>
      <c r="M488" s="268"/>
      <c r="N488" s="355"/>
      <c r="O488" s="355"/>
      <c r="P488" s="355"/>
      <c r="Q488" s="355"/>
      <c r="R488" s="355"/>
      <c r="S488" s="355"/>
      <c r="T488" s="399"/>
    </row>
    <row r="489" spans="7:20" s="395" customFormat="1" x14ac:dyDescent="0.2">
      <c r="G489" s="269"/>
      <c r="H489" s="272"/>
      <c r="I489" s="271"/>
      <c r="J489" s="271"/>
      <c r="K489" s="272"/>
      <c r="L489" s="286"/>
      <c r="M489" s="268"/>
      <c r="N489" s="355"/>
      <c r="O489" s="355"/>
      <c r="P489" s="355"/>
      <c r="Q489" s="355"/>
      <c r="R489" s="355"/>
      <c r="S489" s="355"/>
      <c r="T489" s="399"/>
    </row>
    <row r="490" spans="7:20" s="395" customFormat="1" x14ac:dyDescent="0.2">
      <c r="G490" s="269"/>
      <c r="H490" s="272"/>
      <c r="I490" s="271"/>
      <c r="J490" s="271"/>
      <c r="K490" s="272"/>
      <c r="L490" s="286"/>
      <c r="M490" s="268"/>
      <c r="N490" s="355"/>
      <c r="O490" s="355"/>
      <c r="P490" s="355"/>
      <c r="Q490" s="355"/>
      <c r="R490" s="355"/>
      <c r="S490" s="355"/>
      <c r="T490" s="399"/>
    </row>
    <row r="491" spans="7:20" s="395" customFormat="1" x14ac:dyDescent="0.2">
      <c r="G491" s="269"/>
      <c r="H491" s="272"/>
      <c r="I491" s="271"/>
      <c r="J491" s="271"/>
      <c r="K491" s="272"/>
      <c r="L491" s="286"/>
      <c r="M491" s="268"/>
      <c r="N491" s="355"/>
      <c r="O491" s="355"/>
      <c r="P491" s="355"/>
      <c r="Q491" s="355"/>
      <c r="R491" s="355"/>
      <c r="S491" s="355"/>
      <c r="T491" s="399"/>
    </row>
    <row r="492" spans="7:20" s="395" customFormat="1" x14ac:dyDescent="0.2">
      <c r="G492" s="269"/>
      <c r="H492" s="272"/>
      <c r="I492" s="271"/>
      <c r="J492" s="271"/>
      <c r="K492" s="268"/>
      <c r="L492" s="286"/>
      <c r="M492" s="268"/>
      <c r="N492" s="355"/>
      <c r="O492" s="355"/>
      <c r="P492" s="355"/>
      <c r="Q492" s="355"/>
      <c r="R492" s="355"/>
      <c r="S492" s="355"/>
      <c r="T492" s="399"/>
    </row>
    <row r="493" spans="7:20" s="395" customFormat="1" x14ac:dyDescent="0.2">
      <c r="G493" s="269"/>
      <c r="H493" s="287"/>
      <c r="I493" s="271"/>
      <c r="J493" s="271"/>
      <c r="K493" s="268"/>
      <c r="L493" s="286"/>
      <c r="M493" s="268"/>
      <c r="N493" s="355"/>
      <c r="O493" s="355"/>
      <c r="P493" s="355"/>
      <c r="Q493" s="355"/>
      <c r="R493" s="355"/>
      <c r="S493" s="355"/>
      <c r="T493" s="399"/>
    </row>
    <row r="494" spans="7:20" s="395" customFormat="1" x14ac:dyDescent="0.2">
      <c r="G494" s="269"/>
      <c r="H494" s="272"/>
      <c r="I494" s="271"/>
      <c r="J494" s="271"/>
      <c r="K494" s="272"/>
      <c r="L494" s="286"/>
      <c r="M494" s="268"/>
      <c r="N494" s="355"/>
      <c r="O494" s="355"/>
      <c r="P494" s="355"/>
      <c r="Q494" s="355"/>
      <c r="R494" s="355"/>
      <c r="S494" s="355"/>
      <c r="T494" s="399"/>
    </row>
    <row r="495" spans="7:20" s="395" customFormat="1" x14ac:dyDescent="0.2">
      <c r="G495" s="269"/>
      <c r="H495" s="272"/>
      <c r="I495" s="271"/>
      <c r="J495" s="271"/>
      <c r="K495" s="272"/>
      <c r="L495" s="286"/>
      <c r="M495" s="268"/>
      <c r="N495" s="355"/>
      <c r="O495" s="355"/>
      <c r="P495" s="355"/>
      <c r="Q495" s="355"/>
      <c r="R495" s="355"/>
      <c r="S495" s="355"/>
      <c r="T495" s="399"/>
    </row>
    <row r="496" spans="7:20" s="395" customFormat="1" x14ac:dyDescent="0.2">
      <c r="G496" s="269"/>
      <c r="H496" s="272"/>
      <c r="I496" s="271"/>
      <c r="J496" s="294"/>
      <c r="K496" s="272"/>
      <c r="L496" s="286"/>
      <c r="M496" s="268"/>
      <c r="N496" s="355"/>
      <c r="O496" s="355"/>
      <c r="P496" s="355"/>
      <c r="Q496" s="355"/>
      <c r="R496" s="355"/>
      <c r="S496" s="355"/>
      <c r="T496" s="399"/>
    </row>
    <row r="497" spans="7:20" s="395" customFormat="1" x14ac:dyDescent="0.2">
      <c r="G497" s="269"/>
      <c r="H497" s="272"/>
      <c r="I497" s="271"/>
      <c r="J497" s="294"/>
      <c r="K497" s="272"/>
      <c r="L497" s="286"/>
      <c r="M497" s="268"/>
      <c r="N497" s="355"/>
      <c r="O497" s="355"/>
      <c r="P497" s="355"/>
      <c r="Q497" s="355"/>
      <c r="R497" s="355"/>
      <c r="S497" s="355"/>
      <c r="T497" s="399"/>
    </row>
    <row r="498" spans="7:20" s="395" customFormat="1" x14ac:dyDescent="0.2">
      <c r="G498" s="269"/>
      <c r="H498" s="272"/>
      <c r="I498" s="271"/>
      <c r="J498" s="271"/>
      <c r="K498" s="268"/>
      <c r="L498" s="286"/>
      <c r="M498" s="268"/>
      <c r="N498" s="355"/>
      <c r="O498" s="355"/>
      <c r="P498" s="355"/>
      <c r="Q498" s="355"/>
      <c r="R498" s="355"/>
      <c r="S498" s="355"/>
      <c r="T498" s="399"/>
    </row>
    <row r="499" spans="7:20" s="395" customFormat="1" x14ac:dyDescent="0.2">
      <c r="G499" s="269"/>
      <c r="H499" s="272"/>
      <c r="I499" s="271"/>
      <c r="J499" s="271"/>
      <c r="K499" s="268"/>
      <c r="L499" s="286"/>
      <c r="M499" s="268"/>
      <c r="N499" s="355"/>
      <c r="O499" s="355"/>
      <c r="P499" s="355"/>
      <c r="Q499" s="355"/>
      <c r="R499" s="355"/>
      <c r="S499" s="355"/>
      <c r="T499" s="399"/>
    </row>
    <row r="500" spans="7:20" s="395" customFormat="1" x14ac:dyDescent="0.2">
      <c r="G500" s="269"/>
      <c r="H500" s="272"/>
      <c r="I500" s="271"/>
      <c r="J500" s="271"/>
      <c r="K500" s="268"/>
      <c r="L500" s="286"/>
      <c r="M500" s="268"/>
      <c r="N500" s="355"/>
      <c r="O500" s="355"/>
      <c r="P500" s="355"/>
      <c r="Q500" s="355"/>
      <c r="R500" s="355"/>
      <c r="S500" s="355"/>
      <c r="T500" s="399"/>
    </row>
    <row r="501" spans="7:20" s="395" customFormat="1" ht="18" x14ac:dyDescent="0.25">
      <c r="G501" s="285" t="s">
        <v>128</v>
      </c>
      <c r="H501" s="284"/>
      <c r="I501" s="283"/>
      <c r="J501" s="283"/>
      <c r="K501" s="280"/>
      <c r="L501" s="291"/>
      <c r="M501" s="280"/>
      <c r="N501" s="402"/>
      <c r="O501" s="402"/>
      <c r="P501" s="402"/>
      <c r="Q501" s="402"/>
      <c r="R501" s="402"/>
      <c r="S501" s="402"/>
      <c r="T501" s="401"/>
    </row>
    <row r="502" spans="7:20" s="395" customFormat="1" x14ac:dyDescent="0.2">
      <c r="G502" s="269"/>
      <c r="H502" s="278"/>
      <c r="I502" s="279"/>
      <c r="J502" s="279"/>
      <c r="K502" s="278"/>
      <c r="L502" s="290"/>
      <c r="M502" s="278"/>
      <c r="N502" s="355"/>
      <c r="O502" s="355"/>
      <c r="P502" s="355"/>
      <c r="Q502" s="355"/>
      <c r="R502" s="355"/>
      <c r="S502" s="355"/>
      <c r="T502" s="399"/>
    </row>
    <row r="503" spans="7:20" s="395" customFormat="1" x14ac:dyDescent="0.2">
      <c r="G503" s="269"/>
      <c r="H503" s="272"/>
      <c r="I503" s="271"/>
      <c r="J503" s="271"/>
      <c r="K503" s="272"/>
      <c r="L503" s="286"/>
      <c r="M503" s="268"/>
      <c r="N503" s="355"/>
      <c r="O503" s="355"/>
      <c r="P503" s="355"/>
      <c r="Q503" s="355"/>
      <c r="R503" s="355"/>
      <c r="S503" s="355"/>
      <c r="T503" s="399"/>
    </row>
    <row r="504" spans="7:20" s="395" customFormat="1" x14ac:dyDescent="0.2">
      <c r="G504" s="269"/>
      <c r="H504" s="272"/>
      <c r="I504" s="271"/>
      <c r="J504" s="271"/>
      <c r="K504" s="272"/>
      <c r="L504" s="286"/>
      <c r="M504" s="268"/>
      <c r="N504" s="355"/>
      <c r="O504" s="355"/>
      <c r="P504" s="355"/>
      <c r="Q504" s="355"/>
      <c r="R504" s="355"/>
      <c r="S504" s="355"/>
      <c r="T504" s="399"/>
    </row>
    <row r="505" spans="7:20" s="395" customFormat="1" x14ac:dyDescent="0.2">
      <c r="G505" s="269"/>
      <c r="H505" s="272"/>
      <c r="I505" s="271"/>
      <c r="J505" s="271"/>
      <c r="K505" s="293"/>
      <c r="L505" s="286"/>
      <c r="M505" s="272"/>
      <c r="N505" s="355"/>
      <c r="O505" s="355"/>
      <c r="P505" s="355"/>
      <c r="Q505" s="355"/>
      <c r="R505" s="355"/>
      <c r="S505" s="355"/>
      <c r="T505" s="399"/>
    </row>
    <row r="506" spans="7:20" s="395" customFormat="1" x14ac:dyDescent="0.2">
      <c r="G506" s="269"/>
      <c r="H506" s="272"/>
      <c r="I506" s="271"/>
      <c r="J506" s="271"/>
      <c r="K506" s="272"/>
      <c r="L506" s="286"/>
      <c r="M506" s="268"/>
      <c r="N506" s="355"/>
      <c r="O506" s="355"/>
      <c r="P506" s="355"/>
      <c r="Q506" s="355"/>
      <c r="R506" s="355"/>
      <c r="S506" s="355"/>
      <c r="T506" s="399"/>
    </row>
    <row r="507" spans="7:20" s="395" customFormat="1" x14ac:dyDescent="0.2">
      <c r="G507" s="269"/>
      <c r="H507" s="287"/>
      <c r="I507" s="271"/>
      <c r="J507" s="271"/>
      <c r="K507" s="272"/>
      <c r="L507" s="286"/>
      <c r="M507" s="268"/>
      <c r="N507" s="355"/>
      <c r="O507" s="355"/>
      <c r="P507" s="355"/>
      <c r="Q507" s="355"/>
      <c r="R507" s="355"/>
      <c r="S507" s="355"/>
      <c r="T507" s="399"/>
    </row>
    <row r="508" spans="7:20" s="395" customFormat="1" x14ac:dyDescent="0.2">
      <c r="G508" s="269"/>
      <c r="H508" s="272"/>
      <c r="I508" s="271"/>
      <c r="J508" s="271"/>
      <c r="K508" s="272"/>
      <c r="L508" s="286"/>
      <c r="M508" s="268"/>
      <c r="N508" s="355"/>
      <c r="O508" s="355"/>
      <c r="P508" s="355"/>
      <c r="Q508" s="355"/>
      <c r="R508" s="355"/>
      <c r="S508" s="355"/>
      <c r="T508" s="399"/>
    </row>
    <row r="509" spans="7:20" s="395" customFormat="1" x14ac:dyDescent="0.2">
      <c r="G509" s="269"/>
      <c r="H509" s="272"/>
      <c r="I509" s="271"/>
      <c r="J509" s="271"/>
      <c r="K509" s="272"/>
      <c r="L509" s="286"/>
      <c r="M509" s="268"/>
      <c r="N509" s="355"/>
      <c r="O509" s="355"/>
      <c r="P509" s="355"/>
      <c r="Q509" s="355"/>
      <c r="R509" s="355"/>
      <c r="S509" s="355"/>
      <c r="T509" s="399"/>
    </row>
    <row r="510" spans="7:20" s="395" customFormat="1" x14ac:dyDescent="0.2">
      <c r="G510" s="269"/>
      <c r="H510" s="272"/>
      <c r="I510" s="271"/>
      <c r="J510" s="271"/>
      <c r="K510" s="272"/>
      <c r="L510" s="286"/>
      <c r="M510" s="268"/>
      <c r="N510" s="355"/>
      <c r="O510" s="355"/>
      <c r="P510" s="355"/>
      <c r="Q510" s="355"/>
      <c r="R510" s="355"/>
      <c r="S510" s="355"/>
      <c r="T510" s="399"/>
    </row>
    <row r="511" spans="7:20" s="395" customFormat="1" x14ac:dyDescent="0.2">
      <c r="G511" s="269"/>
      <c r="H511" s="272"/>
      <c r="I511" s="271"/>
      <c r="J511" s="271"/>
      <c r="K511" s="272"/>
      <c r="L511" s="286"/>
      <c r="M511" s="268"/>
      <c r="N511" s="355"/>
      <c r="O511" s="355"/>
      <c r="P511" s="355"/>
      <c r="Q511" s="355"/>
      <c r="R511" s="355"/>
      <c r="S511" s="355"/>
      <c r="T511" s="399"/>
    </row>
    <row r="512" spans="7:20" s="395" customFormat="1" x14ac:dyDescent="0.2">
      <c r="G512" s="269"/>
      <c r="H512" s="272"/>
      <c r="I512" s="271"/>
      <c r="J512" s="271"/>
      <c r="K512" s="272"/>
      <c r="L512" s="286"/>
      <c r="M512" s="268"/>
      <c r="N512" s="355"/>
      <c r="O512" s="355"/>
      <c r="P512" s="355"/>
      <c r="Q512" s="355"/>
      <c r="R512" s="355"/>
      <c r="S512" s="355"/>
      <c r="T512" s="399"/>
    </row>
    <row r="513" spans="7:20" s="395" customFormat="1" x14ac:dyDescent="0.2">
      <c r="G513" s="269"/>
      <c r="H513" s="272"/>
      <c r="I513" s="271"/>
      <c r="J513" s="271"/>
      <c r="K513" s="272"/>
      <c r="L513" s="292"/>
      <c r="M513" s="268"/>
      <c r="N513" s="355"/>
      <c r="O513" s="355"/>
      <c r="P513" s="355"/>
      <c r="Q513" s="355"/>
      <c r="R513" s="355"/>
      <c r="S513" s="355"/>
      <c r="T513" s="399"/>
    </row>
    <row r="514" spans="7:20" s="395" customFormat="1" x14ac:dyDescent="0.2">
      <c r="G514" s="269"/>
      <c r="H514" s="274"/>
      <c r="I514" s="271"/>
      <c r="J514" s="271"/>
      <c r="K514" s="272"/>
      <c r="L514" s="286"/>
      <c r="M514" s="272"/>
      <c r="N514" s="355"/>
      <c r="O514" s="355"/>
      <c r="P514" s="355"/>
      <c r="Q514" s="355"/>
      <c r="R514" s="355"/>
      <c r="S514" s="355"/>
      <c r="T514" s="399"/>
    </row>
    <row r="515" spans="7:20" s="395" customFormat="1" x14ac:dyDescent="0.2">
      <c r="G515" s="269"/>
      <c r="H515" s="272"/>
      <c r="I515" s="271"/>
      <c r="J515" s="271"/>
      <c r="K515" s="272"/>
      <c r="L515" s="286"/>
      <c r="M515" s="268"/>
      <c r="N515" s="355"/>
      <c r="O515" s="355"/>
      <c r="P515" s="355"/>
      <c r="Q515" s="355"/>
      <c r="R515" s="355"/>
      <c r="S515" s="355"/>
      <c r="T515" s="399"/>
    </row>
    <row r="516" spans="7:20" s="395" customFormat="1" x14ac:dyDescent="0.2">
      <c r="G516" s="269"/>
      <c r="H516" s="272"/>
      <c r="I516" s="271"/>
      <c r="J516" s="271"/>
      <c r="K516" s="274"/>
      <c r="L516" s="286"/>
      <c r="M516" s="268"/>
      <c r="N516" s="355"/>
      <c r="O516" s="355"/>
      <c r="P516" s="355"/>
      <c r="Q516" s="355"/>
      <c r="R516" s="355"/>
      <c r="S516" s="355"/>
      <c r="T516" s="399"/>
    </row>
    <row r="517" spans="7:20" s="395" customFormat="1" x14ac:dyDescent="0.2">
      <c r="G517" s="269"/>
      <c r="H517" s="274"/>
      <c r="I517" s="261"/>
      <c r="J517" s="271"/>
      <c r="K517" s="272"/>
      <c r="L517" s="286"/>
      <c r="M517" s="268"/>
      <c r="N517" s="355"/>
      <c r="O517" s="355"/>
      <c r="P517" s="355"/>
      <c r="Q517" s="355"/>
      <c r="R517" s="355"/>
      <c r="S517" s="355"/>
      <c r="T517" s="399"/>
    </row>
    <row r="518" spans="7:20" s="395" customFormat="1" x14ac:dyDescent="0.2">
      <c r="G518" s="269"/>
      <c r="H518" s="274"/>
      <c r="I518" s="261"/>
      <c r="J518" s="259"/>
      <c r="K518" s="259"/>
      <c r="L518" s="286"/>
      <c r="M518" s="268"/>
      <c r="N518" s="355"/>
      <c r="O518" s="355"/>
      <c r="P518" s="355"/>
      <c r="Q518" s="355"/>
      <c r="R518" s="355"/>
      <c r="S518" s="355"/>
      <c r="T518" s="399"/>
    </row>
    <row r="519" spans="7:20" s="395" customFormat="1" x14ac:dyDescent="0.2">
      <c r="G519" s="269"/>
      <c r="H519" s="268"/>
      <c r="I519" s="271"/>
      <c r="J519" s="271"/>
      <c r="K519" s="268"/>
      <c r="L519" s="286"/>
      <c r="M519" s="268"/>
      <c r="N519" s="355"/>
      <c r="O519" s="355"/>
      <c r="P519" s="355"/>
      <c r="Q519" s="355"/>
      <c r="R519" s="355"/>
      <c r="S519" s="355"/>
      <c r="T519" s="399"/>
    </row>
    <row r="520" spans="7:20" s="395" customFormat="1" ht="18" x14ac:dyDescent="0.25">
      <c r="G520" s="285" t="s">
        <v>176</v>
      </c>
      <c r="H520" s="284"/>
      <c r="I520" s="283"/>
      <c r="J520" s="283"/>
      <c r="K520" s="280"/>
      <c r="L520" s="291"/>
      <c r="M520" s="280"/>
      <c r="N520" s="402"/>
      <c r="O520" s="402"/>
      <c r="P520" s="402"/>
      <c r="Q520" s="402"/>
      <c r="R520" s="402"/>
      <c r="S520" s="402"/>
      <c r="T520" s="401"/>
    </row>
    <row r="521" spans="7:20" s="395" customFormat="1" x14ac:dyDescent="0.2">
      <c r="G521" s="269"/>
      <c r="H521" s="278"/>
      <c r="I521" s="279"/>
      <c r="J521" s="279"/>
      <c r="K521" s="278"/>
      <c r="L521" s="290"/>
      <c r="M521" s="278"/>
      <c r="N521" s="355"/>
      <c r="O521" s="355"/>
      <c r="P521" s="355"/>
      <c r="Q521" s="355"/>
      <c r="R521" s="355"/>
      <c r="S521" s="355"/>
      <c r="T521" s="399"/>
    </row>
    <row r="522" spans="7:20" s="395" customFormat="1" x14ac:dyDescent="0.2">
      <c r="G522" s="269"/>
      <c r="H522" s="272"/>
      <c r="I522" s="271"/>
      <c r="J522" s="271"/>
      <c r="K522" s="268"/>
      <c r="L522" s="286"/>
      <c r="M522" s="272"/>
      <c r="N522" s="355"/>
      <c r="O522" s="355"/>
      <c r="P522" s="355"/>
      <c r="Q522" s="355"/>
      <c r="R522" s="355"/>
      <c r="S522" s="355"/>
      <c r="T522" s="399"/>
    </row>
    <row r="523" spans="7:20" s="395" customFormat="1" x14ac:dyDescent="0.2">
      <c r="G523" s="269"/>
      <c r="H523" s="272"/>
      <c r="I523" s="271"/>
      <c r="J523" s="271"/>
      <c r="K523" s="272"/>
      <c r="L523" s="286"/>
      <c r="M523" s="268"/>
      <c r="N523" s="355"/>
      <c r="O523" s="355"/>
      <c r="P523" s="355"/>
      <c r="Q523" s="355"/>
      <c r="R523" s="355"/>
      <c r="S523" s="355"/>
      <c r="T523" s="399"/>
    </row>
    <row r="524" spans="7:20" s="395" customFormat="1" x14ac:dyDescent="0.2">
      <c r="G524" s="269"/>
      <c r="H524" s="272"/>
      <c r="I524" s="271"/>
      <c r="J524" s="271"/>
      <c r="K524" s="268"/>
      <c r="L524" s="286"/>
      <c r="M524" s="268"/>
      <c r="N524" s="355"/>
      <c r="O524" s="355"/>
      <c r="P524" s="355"/>
      <c r="Q524" s="355"/>
      <c r="R524" s="355"/>
      <c r="S524" s="355"/>
      <c r="T524" s="399"/>
    </row>
    <row r="525" spans="7:20" s="395" customFormat="1" x14ac:dyDescent="0.2">
      <c r="G525" s="269"/>
      <c r="H525" s="272"/>
      <c r="I525" s="261"/>
      <c r="J525" s="271"/>
      <c r="K525" s="268"/>
      <c r="L525" s="286"/>
      <c r="M525" s="268"/>
      <c r="N525" s="355"/>
      <c r="O525" s="355"/>
      <c r="P525" s="355"/>
      <c r="Q525" s="355"/>
      <c r="R525" s="355"/>
      <c r="S525" s="355"/>
      <c r="T525" s="399"/>
    </row>
    <row r="526" spans="7:20" s="395" customFormat="1" x14ac:dyDescent="0.2">
      <c r="G526" s="269"/>
      <c r="H526" s="272"/>
      <c r="I526" s="271"/>
      <c r="J526" s="271"/>
      <c r="K526" s="268"/>
      <c r="L526" s="286"/>
      <c r="M526" s="268"/>
      <c r="N526" s="355"/>
      <c r="O526" s="355"/>
      <c r="P526" s="355"/>
      <c r="Q526" s="355"/>
      <c r="R526" s="355"/>
      <c r="S526" s="355"/>
      <c r="T526" s="399"/>
    </row>
    <row r="527" spans="7:20" s="395" customFormat="1" x14ac:dyDescent="0.2">
      <c r="G527" s="269"/>
      <c r="H527" s="272"/>
      <c r="I527" s="271"/>
      <c r="J527" s="271"/>
      <c r="K527" s="268"/>
      <c r="L527" s="286"/>
      <c r="M527" s="268"/>
      <c r="N527" s="355"/>
      <c r="O527" s="355"/>
      <c r="P527" s="355"/>
      <c r="Q527" s="355"/>
      <c r="R527" s="355"/>
      <c r="S527" s="355"/>
      <c r="T527" s="399"/>
    </row>
    <row r="528" spans="7:20" s="395" customFormat="1" x14ac:dyDescent="0.2">
      <c r="G528" s="269"/>
      <c r="H528" s="272"/>
      <c r="I528" s="271"/>
      <c r="J528" s="271"/>
      <c r="K528" s="268"/>
      <c r="L528" s="286"/>
      <c r="M528" s="268"/>
      <c r="N528" s="355"/>
      <c r="O528" s="355"/>
      <c r="P528" s="355"/>
      <c r="Q528" s="355"/>
      <c r="R528" s="355"/>
      <c r="S528" s="355"/>
      <c r="T528" s="399"/>
    </row>
    <row r="529" spans="7:20" s="395" customFormat="1" x14ac:dyDescent="0.2">
      <c r="G529" s="269"/>
      <c r="H529" s="272"/>
      <c r="I529" s="271"/>
      <c r="J529" s="271"/>
      <c r="K529" s="268"/>
      <c r="L529" s="286"/>
      <c r="M529" s="268"/>
      <c r="N529" s="355"/>
      <c r="O529" s="355"/>
      <c r="P529" s="355"/>
      <c r="Q529" s="355"/>
      <c r="R529" s="355"/>
      <c r="S529" s="355"/>
      <c r="T529" s="399"/>
    </row>
    <row r="530" spans="7:20" s="395" customFormat="1" x14ac:dyDescent="0.2">
      <c r="G530" s="269"/>
      <c r="H530" s="272"/>
      <c r="I530" s="271"/>
      <c r="J530" s="271"/>
      <c r="K530" s="268"/>
      <c r="L530" s="286"/>
      <c r="M530" s="268"/>
      <c r="N530" s="355"/>
      <c r="O530" s="355"/>
      <c r="P530" s="355"/>
      <c r="Q530" s="355"/>
      <c r="R530" s="355"/>
      <c r="S530" s="355"/>
      <c r="T530" s="399"/>
    </row>
    <row r="531" spans="7:20" s="395" customFormat="1" x14ac:dyDescent="0.2">
      <c r="G531" s="269"/>
      <c r="H531" s="272"/>
      <c r="I531" s="271"/>
      <c r="J531" s="271"/>
      <c r="K531" s="268"/>
      <c r="L531" s="286"/>
      <c r="M531" s="268"/>
      <c r="N531" s="355"/>
      <c r="O531" s="355"/>
      <c r="P531" s="355"/>
      <c r="Q531" s="355"/>
      <c r="R531" s="355"/>
      <c r="S531" s="355"/>
      <c r="T531" s="399"/>
    </row>
    <row r="532" spans="7:20" s="395" customFormat="1" x14ac:dyDescent="0.2">
      <c r="G532" s="269"/>
      <c r="H532" s="272"/>
      <c r="I532" s="271"/>
      <c r="J532" s="271"/>
      <c r="K532" s="268"/>
      <c r="L532" s="286"/>
      <c r="M532" s="268"/>
      <c r="N532" s="355"/>
      <c r="O532" s="355"/>
      <c r="P532" s="355"/>
      <c r="Q532" s="355"/>
      <c r="R532" s="355"/>
      <c r="S532" s="355"/>
      <c r="T532" s="399"/>
    </row>
    <row r="533" spans="7:20" s="395" customFormat="1" x14ac:dyDescent="0.2">
      <c r="G533" s="269"/>
      <c r="H533" s="272"/>
      <c r="I533" s="271"/>
      <c r="J533" s="271"/>
      <c r="K533" s="268"/>
      <c r="L533" s="286"/>
      <c r="M533" s="268"/>
      <c r="N533" s="355"/>
      <c r="O533" s="355"/>
      <c r="P533" s="355"/>
      <c r="Q533" s="355"/>
      <c r="R533" s="355"/>
      <c r="S533" s="355"/>
      <c r="T533" s="399"/>
    </row>
    <row r="534" spans="7:20" s="395" customFormat="1" x14ac:dyDescent="0.2">
      <c r="G534" s="269"/>
      <c r="H534" s="272"/>
      <c r="I534" s="271"/>
      <c r="J534" s="271"/>
      <c r="K534" s="268"/>
      <c r="L534" s="286"/>
      <c r="M534" s="268"/>
      <c r="N534" s="355"/>
      <c r="O534" s="355"/>
      <c r="P534" s="355"/>
      <c r="Q534" s="355"/>
      <c r="R534" s="355"/>
      <c r="S534" s="355"/>
      <c r="T534" s="399"/>
    </row>
    <row r="535" spans="7:20" s="395" customFormat="1" x14ac:dyDescent="0.2">
      <c r="G535" s="269"/>
      <c r="H535" s="272"/>
      <c r="I535" s="271"/>
      <c r="J535" s="271"/>
      <c r="K535" s="268"/>
      <c r="L535" s="286"/>
      <c r="M535" s="268"/>
      <c r="N535" s="355"/>
      <c r="O535" s="355"/>
      <c r="P535" s="355"/>
      <c r="Q535" s="355"/>
      <c r="R535" s="355"/>
      <c r="S535" s="355"/>
      <c r="T535" s="399"/>
    </row>
    <row r="536" spans="7:20" s="395" customFormat="1" x14ac:dyDescent="0.2">
      <c r="G536" s="269"/>
      <c r="H536" s="272"/>
      <c r="I536" s="271"/>
      <c r="J536" s="271"/>
      <c r="K536" s="272"/>
      <c r="L536" s="286"/>
      <c r="M536" s="268"/>
      <c r="N536" s="355"/>
      <c r="O536" s="355"/>
      <c r="P536" s="355"/>
      <c r="Q536" s="355"/>
      <c r="R536" s="355"/>
      <c r="S536" s="355"/>
      <c r="T536" s="399"/>
    </row>
    <row r="537" spans="7:20" s="395" customFormat="1" x14ac:dyDescent="0.2">
      <c r="G537" s="269"/>
      <c r="H537" s="272"/>
      <c r="I537" s="271"/>
      <c r="J537" s="271"/>
      <c r="K537" s="272"/>
      <c r="L537" s="286"/>
      <c r="M537" s="272"/>
      <c r="N537" s="355"/>
      <c r="O537" s="355"/>
      <c r="P537" s="355"/>
      <c r="Q537" s="355"/>
      <c r="R537" s="355"/>
      <c r="S537" s="355"/>
      <c r="T537" s="399"/>
    </row>
    <row r="538" spans="7:20" s="395" customFormat="1" x14ac:dyDescent="0.2">
      <c r="G538" s="269"/>
      <c r="H538" s="272"/>
      <c r="I538" s="271"/>
      <c r="J538" s="271"/>
      <c r="K538" s="272"/>
      <c r="L538" s="286"/>
      <c r="M538" s="272"/>
      <c r="N538" s="355"/>
      <c r="O538" s="355"/>
      <c r="P538" s="355"/>
      <c r="Q538" s="355"/>
      <c r="R538" s="355"/>
      <c r="S538" s="355"/>
      <c r="T538" s="399"/>
    </row>
    <row r="539" spans="7:20" s="395" customFormat="1" x14ac:dyDescent="0.2">
      <c r="G539" s="269"/>
      <c r="H539" s="272"/>
      <c r="I539" s="271"/>
      <c r="J539" s="271"/>
      <c r="K539" s="272"/>
      <c r="L539" s="286"/>
      <c r="M539" s="272"/>
      <c r="N539" s="355"/>
      <c r="O539" s="355"/>
      <c r="P539" s="355"/>
      <c r="Q539" s="355"/>
      <c r="R539" s="355"/>
      <c r="S539" s="355"/>
      <c r="T539" s="399"/>
    </row>
    <row r="540" spans="7:20" s="395" customFormat="1" x14ac:dyDescent="0.2">
      <c r="G540" s="269"/>
      <c r="H540" s="272"/>
      <c r="I540" s="271"/>
      <c r="J540" s="271"/>
      <c r="K540" s="272"/>
      <c r="L540" s="286"/>
      <c r="M540" s="268"/>
      <c r="N540" s="355"/>
      <c r="O540" s="355"/>
      <c r="P540" s="355"/>
      <c r="Q540" s="355"/>
      <c r="R540" s="355"/>
      <c r="S540" s="355"/>
      <c r="T540" s="399"/>
    </row>
    <row r="541" spans="7:20" s="395" customFormat="1" x14ac:dyDescent="0.2">
      <c r="G541" s="269"/>
      <c r="H541" s="272"/>
      <c r="I541" s="271"/>
      <c r="J541" s="271"/>
      <c r="K541" s="268"/>
      <c r="L541" s="286"/>
      <c r="M541" s="268"/>
      <c r="N541" s="355"/>
      <c r="O541" s="355"/>
      <c r="P541" s="355"/>
      <c r="Q541" s="355"/>
      <c r="R541" s="355"/>
      <c r="S541" s="355"/>
      <c r="T541" s="399"/>
    </row>
    <row r="542" spans="7:20" s="395" customFormat="1" x14ac:dyDescent="0.2">
      <c r="G542" s="269"/>
      <c r="H542" s="272"/>
      <c r="I542" s="271"/>
      <c r="J542" s="271"/>
      <c r="K542" s="268"/>
      <c r="L542" s="286"/>
      <c r="M542" s="268"/>
      <c r="N542" s="355"/>
      <c r="O542" s="355"/>
      <c r="P542" s="355"/>
      <c r="Q542" s="355"/>
      <c r="R542" s="355"/>
      <c r="S542" s="355"/>
      <c r="T542" s="399"/>
    </row>
    <row r="543" spans="7:20" s="395" customFormat="1" x14ac:dyDescent="0.2">
      <c r="G543" s="269"/>
      <c r="H543" s="272"/>
      <c r="I543" s="271"/>
      <c r="J543" s="271"/>
      <c r="K543" s="268"/>
      <c r="L543" s="286"/>
      <c r="M543" s="268"/>
      <c r="N543" s="355"/>
      <c r="O543" s="355"/>
      <c r="P543" s="355"/>
      <c r="Q543" s="355"/>
      <c r="R543" s="355"/>
      <c r="S543" s="355"/>
      <c r="T543" s="399"/>
    </row>
    <row r="544" spans="7:20" s="395" customFormat="1" x14ac:dyDescent="0.2">
      <c r="G544" s="269"/>
      <c r="H544" s="272"/>
      <c r="I544" s="271"/>
      <c r="J544" s="271"/>
      <c r="K544" s="268"/>
      <c r="L544" s="286"/>
      <c r="M544" s="268"/>
      <c r="N544" s="355"/>
      <c r="O544" s="355"/>
      <c r="P544" s="355"/>
      <c r="Q544" s="355"/>
      <c r="R544" s="355"/>
      <c r="S544" s="355"/>
      <c r="T544" s="399"/>
    </row>
    <row r="545" spans="7:20" s="395" customFormat="1" x14ac:dyDescent="0.2">
      <c r="G545" s="269"/>
      <c r="H545" s="272"/>
      <c r="I545" s="271"/>
      <c r="J545" s="271"/>
      <c r="K545" s="268"/>
      <c r="L545" s="286"/>
      <c r="M545" s="268"/>
      <c r="N545" s="355"/>
      <c r="O545" s="355"/>
      <c r="P545" s="355"/>
      <c r="Q545" s="355"/>
      <c r="R545" s="355"/>
      <c r="S545" s="355"/>
      <c r="T545" s="399"/>
    </row>
    <row r="546" spans="7:20" s="395" customFormat="1" x14ac:dyDescent="0.2">
      <c r="G546" s="269"/>
      <c r="H546" s="272"/>
      <c r="I546" s="271"/>
      <c r="J546" s="271"/>
      <c r="K546" s="268"/>
      <c r="L546" s="286"/>
      <c r="M546" s="268"/>
      <c r="N546" s="355"/>
      <c r="O546" s="355"/>
      <c r="P546" s="355"/>
      <c r="Q546" s="355"/>
      <c r="R546" s="355"/>
      <c r="S546" s="355"/>
      <c r="T546" s="399"/>
    </row>
    <row r="547" spans="7:20" s="395" customFormat="1" x14ac:dyDescent="0.2">
      <c r="G547" s="269"/>
      <c r="H547" s="272"/>
      <c r="I547" s="271"/>
      <c r="J547" s="271"/>
      <c r="K547" s="268"/>
      <c r="L547" s="286"/>
      <c r="M547" s="268"/>
      <c r="N547" s="355"/>
      <c r="O547" s="355"/>
      <c r="P547" s="355"/>
      <c r="Q547" s="355"/>
      <c r="R547" s="355"/>
      <c r="S547" s="355"/>
      <c r="T547" s="399"/>
    </row>
    <row r="548" spans="7:20" s="395" customFormat="1" x14ac:dyDescent="0.2">
      <c r="G548" s="269"/>
      <c r="H548" s="272"/>
      <c r="I548" s="271"/>
      <c r="J548" s="271"/>
      <c r="K548" s="268"/>
      <c r="L548" s="286"/>
      <c r="M548" s="268"/>
      <c r="N548" s="355"/>
      <c r="O548" s="355"/>
      <c r="P548" s="355"/>
      <c r="Q548" s="355"/>
      <c r="R548" s="355"/>
      <c r="S548" s="355"/>
      <c r="T548" s="399"/>
    </row>
    <row r="549" spans="7:20" s="395" customFormat="1" x14ac:dyDescent="0.2">
      <c r="G549" s="269"/>
      <c r="H549" s="268"/>
      <c r="I549" s="271"/>
      <c r="J549" s="271"/>
      <c r="K549" s="268"/>
      <c r="L549" s="286"/>
      <c r="M549" s="268"/>
      <c r="N549" s="355"/>
      <c r="O549" s="355"/>
      <c r="P549" s="355"/>
      <c r="Q549" s="355"/>
      <c r="R549" s="355"/>
      <c r="S549" s="355"/>
      <c r="T549" s="399"/>
    </row>
    <row r="550" spans="7:20" s="395" customFormat="1" ht="18" x14ac:dyDescent="0.25">
      <c r="G550" s="285" t="s">
        <v>189</v>
      </c>
      <c r="H550" s="284"/>
      <c r="I550" s="283"/>
      <c r="J550" s="283"/>
      <c r="K550" s="280"/>
      <c r="L550" s="291"/>
      <c r="M550" s="280"/>
      <c r="N550" s="402"/>
      <c r="O550" s="402"/>
      <c r="P550" s="402"/>
      <c r="Q550" s="402"/>
      <c r="R550" s="402"/>
      <c r="S550" s="402"/>
      <c r="T550" s="401"/>
    </row>
    <row r="551" spans="7:20" s="395" customFormat="1" x14ac:dyDescent="0.2">
      <c r="G551" s="269"/>
      <c r="H551" s="278"/>
      <c r="I551" s="279"/>
      <c r="J551" s="279"/>
      <c r="K551" s="278"/>
      <c r="L551" s="290"/>
      <c r="M551" s="278"/>
      <c r="N551" s="355"/>
      <c r="O551" s="355"/>
      <c r="P551" s="355"/>
      <c r="Q551" s="355"/>
      <c r="R551" s="355"/>
      <c r="S551" s="355"/>
      <c r="T551" s="399"/>
    </row>
    <row r="552" spans="7:20" s="395" customFormat="1" x14ac:dyDescent="0.2">
      <c r="G552" s="269"/>
      <c r="H552" s="272"/>
      <c r="I552" s="271"/>
      <c r="J552" s="271"/>
      <c r="K552" s="272"/>
      <c r="L552" s="286"/>
      <c r="M552" s="268"/>
      <c r="N552" s="355"/>
      <c r="O552" s="355"/>
      <c r="P552" s="355"/>
      <c r="Q552" s="355"/>
      <c r="R552" s="355"/>
      <c r="S552" s="355"/>
      <c r="T552" s="399"/>
    </row>
    <row r="553" spans="7:20" s="395" customFormat="1" x14ac:dyDescent="0.2">
      <c r="G553" s="269"/>
      <c r="H553" s="272"/>
      <c r="I553" s="271"/>
      <c r="J553" s="271"/>
      <c r="K553" s="272"/>
      <c r="L553" s="286"/>
      <c r="M553" s="272"/>
      <c r="N553" s="355"/>
      <c r="O553" s="355"/>
      <c r="P553" s="355"/>
      <c r="Q553" s="355"/>
      <c r="R553" s="355"/>
      <c r="S553" s="355"/>
      <c r="T553" s="399"/>
    </row>
    <row r="554" spans="7:20" s="395" customFormat="1" x14ac:dyDescent="0.2">
      <c r="G554" s="269"/>
      <c r="H554" s="272"/>
      <c r="I554" s="271"/>
      <c r="J554" s="271"/>
      <c r="K554" s="272"/>
      <c r="L554" s="286"/>
      <c r="M554" s="268"/>
      <c r="N554" s="355"/>
      <c r="O554" s="355"/>
      <c r="P554" s="355"/>
      <c r="Q554" s="355"/>
      <c r="R554" s="355"/>
      <c r="S554" s="355"/>
      <c r="T554" s="399"/>
    </row>
    <row r="555" spans="7:20" s="395" customFormat="1" x14ac:dyDescent="0.2">
      <c r="G555" s="269"/>
      <c r="H555" s="272"/>
      <c r="I555" s="271"/>
      <c r="J555" s="271"/>
      <c r="K555" s="272"/>
      <c r="L555" s="286"/>
      <c r="M555" s="268"/>
      <c r="N555" s="355"/>
      <c r="O555" s="355"/>
      <c r="P555" s="355"/>
      <c r="Q555" s="355"/>
      <c r="R555" s="355"/>
      <c r="S555" s="355"/>
      <c r="T555" s="399"/>
    </row>
    <row r="556" spans="7:20" s="395" customFormat="1" x14ac:dyDescent="0.2">
      <c r="G556" s="269"/>
      <c r="H556" s="272"/>
      <c r="I556" s="271"/>
      <c r="J556" s="271"/>
      <c r="K556" s="288"/>
      <c r="L556" s="286"/>
      <c r="M556" s="268"/>
      <c r="N556" s="355"/>
      <c r="O556" s="355"/>
      <c r="P556" s="355"/>
      <c r="Q556" s="355"/>
      <c r="R556" s="355"/>
      <c r="S556" s="355"/>
      <c r="T556" s="399"/>
    </row>
    <row r="557" spans="7:20" s="395" customFormat="1" x14ac:dyDescent="0.2">
      <c r="G557" s="269"/>
      <c r="H557" s="272"/>
      <c r="I557" s="271"/>
      <c r="J557" s="271"/>
      <c r="K557" s="289"/>
      <c r="L557" s="286"/>
      <c r="M557" s="272"/>
      <c r="N557" s="355"/>
      <c r="O557" s="355"/>
      <c r="P557" s="355"/>
      <c r="Q557" s="355"/>
      <c r="R557" s="355"/>
      <c r="S557" s="355"/>
      <c r="T557" s="399"/>
    </row>
    <row r="558" spans="7:20" s="395" customFormat="1" x14ac:dyDescent="0.2">
      <c r="G558" s="269"/>
      <c r="H558" s="272"/>
      <c r="I558" s="271"/>
      <c r="J558" s="271"/>
      <c r="K558" s="289"/>
      <c r="L558" s="286"/>
      <c r="M558" s="272"/>
      <c r="N558" s="355"/>
      <c r="O558" s="355"/>
      <c r="P558" s="355"/>
      <c r="Q558" s="355"/>
      <c r="R558" s="355"/>
      <c r="S558" s="355"/>
      <c r="T558" s="399"/>
    </row>
    <row r="559" spans="7:20" s="395" customFormat="1" x14ac:dyDescent="0.2">
      <c r="G559" s="269"/>
      <c r="H559" s="287"/>
      <c r="I559" s="271"/>
      <c r="J559" s="271"/>
      <c r="K559" s="289"/>
      <c r="L559" s="286"/>
      <c r="M559" s="272"/>
      <c r="N559" s="355"/>
      <c r="O559" s="355"/>
      <c r="P559" s="355"/>
      <c r="Q559" s="355"/>
      <c r="R559" s="355"/>
      <c r="S559" s="355"/>
      <c r="T559" s="399"/>
    </row>
    <row r="560" spans="7:20" s="395" customFormat="1" x14ac:dyDescent="0.2">
      <c r="G560" s="269"/>
      <c r="H560" s="272"/>
      <c r="I560" s="271"/>
      <c r="J560" s="271"/>
      <c r="K560" s="289"/>
      <c r="L560" s="286"/>
      <c r="M560" s="272"/>
      <c r="N560" s="355"/>
      <c r="O560" s="355"/>
      <c r="P560" s="355"/>
      <c r="Q560" s="355"/>
      <c r="R560" s="355"/>
      <c r="S560" s="355"/>
      <c r="T560" s="399"/>
    </row>
    <row r="561" spans="7:20" s="395" customFormat="1" x14ac:dyDescent="0.2">
      <c r="G561" s="269"/>
      <c r="H561" s="272"/>
      <c r="I561" s="271"/>
      <c r="J561" s="271"/>
      <c r="K561" s="272"/>
      <c r="L561" s="286"/>
      <c r="M561" s="268"/>
      <c r="N561" s="355"/>
      <c r="O561" s="355"/>
      <c r="P561" s="355"/>
      <c r="Q561" s="355"/>
      <c r="R561" s="355"/>
      <c r="S561" s="355"/>
      <c r="T561" s="399"/>
    </row>
    <row r="562" spans="7:20" s="395" customFormat="1" x14ac:dyDescent="0.2">
      <c r="G562" s="269"/>
      <c r="H562" s="274"/>
      <c r="I562" s="271"/>
      <c r="J562" s="271"/>
      <c r="K562" s="272"/>
      <c r="L562" s="286"/>
      <c r="M562" s="268"/>
      <c r="N562" s="355"/>
      <c r="O562" s="355"/>
      <c r="P562" s="355"/>
      <c r="Q562" s="355"/>
      <c r="R562" s="355"/>
      <c r="S562" s="355"/>
      <c r="T562" s="399"/>
    </row>
    <row r="563" spans="7:20" s="395" customFormat="1" x14ac:dyDescent="0.2">
      <c r="G563" s="269"/>
      <c r="H563" s="272"/>
      <c r="I563" s="271"/>
      <c r="J563" s="271"/>
      <c r="K563" s="272"/>
      <c r="L563" s="286"/>
      <c r="M563" s="268"/>
      <c r="N563" s="355"/>
      <c r="O563" s="355"/>
      <c r="P563" s="355"/>
      <c r="Q563" s="355"/>
      <c r="R563" s="355"/>
      <c r="S563" s="355"/>
      <c r="T563" s="399"/>
    </row>
    <row r="564" spans="7:20" s="395" customFormat="1" x14ac:dyDescent="0.2">
      <c r="G564" s="269"/>
      <c r="H564" s="272"/>
      <c r="I564" s="271"/>
      <c r="J564" s="271"/>
      <c r="K564" s="272"/>
      <c r="L564" s="286"/>
      <c r="M564" s="268"/>
      <c r="N564" s="355"/>
      <c r="O564" s="355"/>
      <c r="P564" s="355"/>
      <c r="Q564" s="355"/>
      <c r="R564" s="355"/>
      <c r="S564" s="355"/>
      <c r="T564" s="399"/>
    </row>
    <row r="565" spans="7:20" s="395" customFormat="1" x14ac:dyDescent="0.2">
      <c r="G565" s="269"/>
      <c r="H565" s="268"/>
      <c r="I565" s="271"/>
      <c r="J565" s="271"/>
      <c r="K565" s="268"/>
      <c r="L565" s="286"/>
      <c r="M565" s="268"/>
      <c r="N565" s="355"/>
      <c r="O565" s="355"/>
      <c r="P565" s="355"/>
      <c r="Q565" s="355"/>
      <c r="R565" s="355"/>
      <c r="S565" s="355"/>
      <c r="T565" s="399"/>
    </row>
    <row r="566" spans="7:20" s="395" customFormat="1" ht="18" x14ac:dyDescent="0.25">
      <c r="G566" s="285" t="s">
        <v>211</v>
      </c>
      <c r="H566" s="284"/>
      <c r="I566" s="283"/>
      <c r="J566" s="283"/>
      <c r="K566" s="280"/>
      <c r="L566" s="282"/>
      <c r="M566" s="281"/>
      <c r="N566" s="402"/>
      <c r="O566" s="402"/>
      <c r="P566" s="402"/>
      <c r="Q566" s="402"/>
      <c r="R566" s="402"/>
      <c r="S566" s="402"/>
      <c r="T566" s="401"/>
    </row>
    <row r="567" spans="7:20" s="395" customFormat="1" x14ac:dyDescent="0.2">
      <c r="G567" s="269"/>
      <c r="H567" s="278"/>
      <c r="I567" s="279"/>
      <c r="J567" s="279"/>
      <c r="K567" s="278"/>
      <c r="L567" s="277"/>
      <c r="M567" s="276"/>
      <c r="N567" s="355"/>
      <c r="O567" s="355"/>
      <c r="P567" s="355"/>
      <c r="Q567" s="355"/>
      <c r="R567" s="355"/>
      <c r="S567" s="355"/>
      <c r="T567" s="399"/>
    </row>
    <row r="568" spans="7:20" s="395" customFormat="1" x14ac:dyDescent="0.2">
      <c r="G568" s="269"/>
      <c r="H568" s="272"/>
      <c r="I568" s="271"/>
      <c r="J568" s="294"/>
      <c r="K568" s="272"/>
      <c r="L568" s="270"/>
      <c r="M568" s="275"/>
      <c r="N568" s="355"/>
      <c r="O568" s="355"/>
      <c r="P568" s="355"/>
      <c r="Q568" s="355"/>
      <c r="R568" s="355"/>
      <c r="S568" s="355"/>
      <c r="T568" s="399"/>
    </row>
    <row r="569" spans="7:20" s="395" customFormat="1" x14ac:dyDescent="0.2">
      <c r="G569" s="269"/>
      <c r="H569" s="274"/>
      <c r="I569" s="261"/>
      <c r="J569" s="400"/>
      <c r="K569" s="274"/>
      <c r="L569" s="259"/>
      <c r="M569" s="269"/>
      <c r="N569" s="355"/>
      <c r="O569" s="355"/>
      <c r="P569" s="355"/>
      <c r="Q569" s="355"/>
      <c r="R569" s="355"/>
      <c r="S569" s="355"/>
      <c r="T569" s="399"/>
    </row>
    <row r="570" spans="7:20" s="395" customFormat="1" x14ac:dyDescent="0.2">
      <c r="G570" s="269"/>
      <c r="H570" s="274"/>
      <c r="I570" s="261"/>
      <c r="J570" s="400"/>
      <c r="K570" s="274"/>
      <c r="L570" s="259"/>
      <c r="M570" s="269"/>
      <c r="N570" s="355"/>
      <c r="O570" s="355"/>
      <c r="P570" s="355"/>
      <c r="Q570" s="355"/>
      <c r="R570" s="355"/>
      <c r="S570" s="355"/>
      <c r="T570" s="399"/>
    </row>
    <row r="571" spans="7:20" s="395" customFormat="1" x14ac:dyDescent="0.2">
      <c r="G571" s="269"/>
      <c r="H571" s="274"/>
      <c r="I571" s="261"/>
      <c r="J571" s="400"/>
      <c r="K571" s="274"/>
      <c r="L571" s="259"/>
      <c r="M571" s="269"/>
      <c r="N571" s="355"/>
      <c r="O571" s="355"/>
      <c r="P571" s="355"/>
      <c r="Q571" s="355"/>
      <c r="R571" s="355"/>
      <c r="S571" s="355"/>
      <c r="T571" s="399"/>
    </row>
    <row r="572" spans="7:20" s="395" customFormat="1" x14ac:dyDescent="0.2">
      <c r="G572" s="269"/>
      <c r="H572" s="272"/>
      <c r="I572" s="271"/>
      <c r="J572" s="273"/>
      <c r="K572" s="274"/>
      <c r="L572" s="270"/>
      <c r="M572" s="269"/>
      <c r="N572" s="355"/>
      <c r="O572" s="355"/>
      <c r="P572" s="355"/>
      <c r="Q572" s="355"/>
      <c r="R572" s="355"/>
      <c r="S572" s="355"/>
      <c r="T572" s="399"/>
    </row>
    <row r="573" spans="7:20" s="395" customFormat="1" x14ac:dyDescent="0.2">
      <c r="G573" s="269"/>
      <c r="H573" s="272"/>
      <c r="I573" s="271"/>
      <c r="J573" s="271"/>
      <c r="K573" s="272"/>
      <c r="L573" s="270"/>
      <c r="M573" s="269"/>
      <c r="N573" s="355"/>
      <c r="O573" s="355"/>
      <c r="P573" s="355"/>
      <c r="Q573" s="355"/>
      <c r="R573" s="355"/>
      <c r="S573" s="355"/>
      <c r="T573" s="399"/>
    </row>
    <row r="574" spans="7:20" s="395" customFormat="1" x14ac:dyDescent="0.2">
      <c r="G574" s="269"/>
      <c r="H574" s="268"/>
      <c r="I574" s="271"/>
      <c r="J574" s="271"/>
      <c r="K574" s="268"/>
      <c r="L574" s="270"/>
      <c r="M574" s="269"/>
      <c r="N574" s="355"/>
      <c r="O574" s="355"/>
      <c r="P574" s="355"/>
      <c r="Q574" s="355"/>
      <c r="R574" s="355"/>
      <c r="S574" s="355"/>
      <c r="T574" s="399"/>
    </row>
    <row r="575" spans="7:20" s="395" customFormat="1" x14ac:dyDescent="0.2">
      <c r="G575" s="269"/>
      <c r="H575" s="268"/>
      <c r="I575" s="271"/>
      <c r="J575" s="271"/>
      <c r="K575" s="268"/>
      <c r="L575" s="270"/>
      <c r="M575" s="269"/>
      <c r="N575" s="355"/>
      <c r="O575" s="355"/>
      <c r="P575" s="355"/>
      <c r="Q575" s="355"/>
      <c r="R575" s="355"/>
      <c r="S575" s="355"/>
      <c r="T575" s="399"/>
    </row>
    <row r="576" spans="7:20" s="395" customFormat="1" x14ac:dyDescent="0.2">
      <c r="G576" s="269"/>
      <c r="H576" s="268"/>
      <c r="I576" s="271"/>
      <c r="J576" s="271"/>
      <c r="K576" s="268"/>
      <c r="L576" s="270"/>
      <c r="M576" s="269"/>
      <c r="N576" s="355"/>
      <c r="O576" s="355"/>
      <c r="P576" s="355"/>
      <c r="Q576" s="355"/>
      <c r="R576" s="355"/>
      <c r="S576" s="355"/>
      <c r="T576" s="399"/>
    </row>
    <row r="577" spans="3:28" s="395" customFormat="1" x14ac:dyDescent="0.2">
      <c r="G577" s="269"/>
      <c r="H577" s="268"/>
      <c r="I577" s="271"/>
      <c r="J577" s="271"/>
      <c r="K577" s="268"/>
      <c r="L577" s="270"/>
      <c r="M577" s="269"/>
      <c r="N577" s="355"/>
      <c r="O577" s="355"/>
      <c r="P577" s="355"/>
      <c r="Q577" s="355"/>
      <c r="R577" s="355"/>
      <c r="S577" s="355"/>
      <c r="T577" s="399"/>
    </row>
    <row r="578" spans="3:28" s="395" customFormat="1" x14ac:dyDescent="0.2">
      <c r="G578" s="269"/>
      <c r="H578" s="268"/>
      <c r="I578" s="271"/>
      <c r="J578" s="271"/>
      <c r="K578" s="268"/>
      <c r="L578" s="270"/>
      <c r="M578" s="269"/>
      <c r="N578" s="355"/>
      <c r="O578" s="355"/>
      <c r="P578" s="355"/>
      <c r="Q578" s="355"/>
      <c r="R578" s="355"/>
      <c r="S578" s="355"/>
      <c r="T578" s="399"/>
    </row>
    <row r="579" spans="3:28" s="395" customFormat="1" x14ac:dyDescent="0.2">
      <c r="G579" s="264"/>
      <c r="H579" s="263"/>
      <c r="I579" s="266"/>
      <c r="J579" s="266"/>
      <c r="K579" s="263"/>
      <c r="L579" s="265"/>
      <c r="M579" s="264"/>
      <c r="N579" s="398"/>
      <c r="O579" s="398"/>
      <c r="P579" s="398"/>
      <c r="Q579" s="398"/>
      <c r="R579" s="398"/>
      <c r="S579" s="398"/>
      <c r="T579" s="397"/>
    </row>
    <row r="585" spans="3:28" s="395" customFormat="1" x14ac:dyDescent="0.2">
      <c r="G585" s="259"/>
      <c r="H585" s="272"/>
      <c r="I585" s="294"/>
      <c r="J585" s="271"/>
      <c r="K585" s="259"/>
      <c r="L585" s="286"/>
      <c r="M585" s="259"/>
    </row>
    <row r="586" spans="3:28" s="395" customFormat="1" x14ac:dyDescent="0.2">
      <c r="C586" s="259"/>
      <c r="D586" s="259"/>
      <c r="E586" s="259"/>
      <c r="F586" s="259"/>
      <c r="G586" s="259"/>
      <c r="H586" s="272"/>
      <c r="I586" s="294"/>
      <c r="J586" s="271"/>
      <c r="K586" s="259"/>
      <c r="L586" s="286"/>
      <c r="M586" s="259"/>
      <c r="AA586" s="259"/>
      <c r="AB586" s="259"/>
    </row>
    <row r="587" spans="3:28" s="395" customFormat="1" x14ac:dyDescent="0.2">
      <c r="C587" s="259"/>
      <c r="D587" s="259"/>
      <c r="E587" s="259"/>
      <c r="F587" s="259"/>
      <c r="G587" s="259"/>
      <c r="H587" s="272"/>
      <c r="I587" s="294"/>
      <c r="J587" s="271"/>
      <c r="K587" s="259"/>
      <c r="L587" s="286"/>
      <c r="M587" s="259"/>
      <c r="AA587" s="259"/>
      <c r="AB587" s="259"/>
    </row>
    <row r="588" spans="3:28" s="395" customFormat="1" x14ac:dyDescent="0.2">
      <c r="C588" s="259"/>
      <c r="D588" s="259"/>
      <c r="E588" s="259"/>
      <c r="F588" s="259"/>
      <c r="G588" s="259"/>
      <c r="H588" s="272"/>
      <c r="I588" s="294"/>
      <c r="J588" s="271"/>
      <c r="K588" s="259"/>
      <c r="L588" s="286"/>
      <c r="M588" s="259"/>
      <c r="AA588" s="259"/>
      <c r="AB588" s="259"/>
    </row>
    <row r="589" spans="3:28" s="395" customFormat="1" x14ac:dyDescent="0.2">
      <c r="C589" s="259"/>
      <c r="D589" s="259"/>
      <c r="E589" s="259"/>
      <c r="F589" s="259"/>
      <c r="G589" s="259"/>
      <c r="H589" s="272"/>
      <c r="I589" s="396"/>
      <c r="J589" s="271"/>
      <c r="K589" s="259"/>
      <c r="L589" s="286"/>
      <c r="M589" s="259"/>
      <c r="AA589" s="259"/>
      <c r="AB589" s="259"/>
    </row>
    <row r="590" spans="3:28" s="395" customFormat="1" x14ac:dyDescent="0.2">
      <c r="C590" s="259"/>
      <c r="D590" s="259"/>
      <c r="E590" s="259"/>
      <c r="F590" s="259"/>
      <c r="G590" s="259"/>
      <c r="H590" s="272"/>
      <c r="I590" s="396"/>
      <c r="J590" s="271"/>
      <c r="K590" s="259"/>
      <c r="L590" s="286"/>
      <c r="M590" s="259"/>
      <c r="AA590" s="259"/>
      <c r="AB590" s="259"/>
    </row>
  </sheetData>
  <sheetProtection password="C82C" sheet="1" objects="1" scenarios="1" selectLockedCells="1"/>
  <pageMargins left="0.70866141732283472" right="0.70866141732283472" top="0.74803149606299213" bottom="0.74803149606299213" header="0.31496062992125984" footer="0.31496062992125984"/>
  <pageSetup paperSize="9" scale="61" fitToHeight="0" orientation="portrait" r:id="rId1"/>
  <headerFooter>
    <oddHeader>&amp;LPUBLIC&amp;CEfficient Costs of New Entrant Ethanol Producers&amp;R&amp;G</oddHeader>
    <oddFooter>&amp;L&amp;F:&amp;A&amp;C&amp;D&amp;R&amp;P of &amp;N</oddFooter>
  </headerFooter>
  <rowBreaks count="2" manualBreakCount="2">
    <brk id="176" min="7" max="13" man="1"/>
    <brk id="242" min="7" max="13"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'Wheat Standalone (Starch)'!$S$156:$S$157</xm:f>
          </x14:formula1>
          <xm:sqref>O173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BM69"/>
  <sheetViews>
    <sheetView showGridLines="0" zoomScaleNormal="100" workbookViewId="0">
      <selection activeCell="I8" sqref="I8"/>
    </sheetView>
  </sheetViews>
  <sheetFormatPr defaultRowHeight="12.75" x14ac:dyDescent="0.2"/>
  <cols>
    <col min="1" max="1" width="1.7109375" style="926" customWidth="1"/>
    <col min="2" max="2" width="12.28515625" style="926" customWidth="1"/>
    <col min="3" max="4" width="10.7109375" style="926" customWidth="1"/>
    <col min="5" max="5" width="11.85546875" style="926" bestFit="1" customWidth="1"/>
    <col min="6" max="6" width="10.7109375" style="926" customWidth="1"/>
    <col min="7" max="7" width="11.85546875" style="926" bestFit="1" customWidth="1"/>
    <col min="8" max="9" width="10.7109375" style="926" customWidth="1"/>
    <col min="10" max="10" width="3.7109375" style="926" customWidth="1"/>
    <col min="11" max="12" width="10.7109375" style="926" customWidth="1"/>
    <col min="13" max="17" width="12.7109375" style="926" customWidth="1"/>
    <col min="18" max="18" width="3.7109375" style="926" customWidth="1"/>
    <col min="19" max="20" width="10.7109375" style="926" customWidth="1"/>
    <col min="21" max="25" width="12.7109375" style="926" customWidth="1"/>
    <col min="26" max="26" width="3.7109375" style="926" customWidth="1"/>
    <col min="27" max="28" width="9.140625" style="926"/>
    <col min="29" max="33" width="11.7109375" style="926" customWidth="1"/>
    <col min="34" max="34" width="3.7109375" style="926" customWidth="1"/>
    <col min="35" max="36" width="9.140625" style="926"/>
    <col min="37" max="41" width="11.7109375" style="926" customWidth="1"/>
    <col min="42" max="44" width="9.140625" style="926"/>
    <col min="45" max="49" width="11.7109375" style="926" customWidth="1"/>
    <col min="50" max="50" width="4.5703125" style="926" customWidth="1"/>
    <col min="51" max="52" width="9.140625" style="926"/>
    <col min="53" max="57" width="11.7109375" style="926" customWidth="1"/>
    <col min="58" max="59" width="9.140625" style="926"/>
    <col min="60" max="65" width="11.7109375" style="926" customWidth="1"/>
    <col min="66" max="16384" width="9.140625" style="926"/>
  </cols>
  <sheetData>
    <row r="1" spans="2:65" ht="15.75" x14ac:dyDescent="0.25">
      <c r="B1" s="1458" t="s">
        <v>337</v>
      </c>
    </row>
    <row r="2" spans="2:65" x14ac:dyDescent="0.2">
      <c r="B2" s="1504" t="s">
        <v>647</v>
      </c>
    </row>
    <row r="3" spans="2:65" x14ac:dyDescent="0.2">
      <c r="B3" s="1504" t="s">
        <v>362</v>
      </c>
      <c r="N3" s="1505" t="s">
        <v>641</v>
      </c>
      <c r="O3" s="1521" t="s">
        <v>642</v>
      </c>
    </row>
    <row r="4" spans="2:65" x14ac:dyDescent="0.2">
      <c r="C4" s="1504"/>
      <c r="N4" s="1505" t="s">
        <v>643</v>
      </c>
      <c r="O4" s="1492">
        <f>Assumptions!J5</f>
        <v>0</v>
      </c>
    </row>
    <row r="5" spans="2:65" x14ac:dyDescent="0.2">
      <c r="C5" s="1504"/>
      <c r="N5" s="1505" t="s">
        <v>646</v>
      </c>
      <c r="O5" s="1492">
        <f>Assumptions!$L$5</f>
        <v>0.75</v>
      </c>
    </row>
    <row r="6" spans="2:65" x14ac:dyDescent="0.2">
      <c r="C6" s="1504"/>
      <c r="N6" s="1505" t="s">
        <v>644</v>
      </c>
      <c r="O6" s="1492">
        <f>Assumptions!$N$5</f>
        <v>0.25</v>
      </c>
    </row>
    <row r="7" spans="2:65" x14ac:dyDescent="0.2">
      <c r="C7" s="1504"/>
      <c r="N7" s="1505" t="s">
        <v>645</v>
      </c>
      <c r="O7" s="1522">
        <f>Assumptions!$J$15</f>
        <v>28</v>
      </c>
    </row>
    <row r="8" spans="2:65" x14ac:dyDescent="0.2">
      <c r="H8" s="1506" t="str">
        <f>IF(H9=H12,"","Repayment Error")</f>
        <v/>
      </c>
      <c r="P8" s="1506"/>
      <c r="X8" s="1506" t="str">
        <f>IF(X9=X12,"","Repayment Error")</f>
        <v/>
      </c>
      <c r="AF8" s="1506" t="str">
        <f>IF(AF9=AF12,"","Repayment Error")</f>
        <v/>
      </c>
      <c r="AN8" s="1506" t="str">
        <f>IF(AN9=AN12,"","Repayment Error")</f>
        <v/>
      </c>
      <c r="AV8" s="1506" t="str">
        <f>IF(AV9=AV12,"","Repayment Error")</f>
        <v/>
      </c>
    </row>
    <row r="9" spans="2:65" s="927" customFormat="1" x14ac:dyDescent="0.2">
      <c r="C9" s="929"/>
      <c r="D9" s="929"/>
      <c r="E9" s="929"/>
      <c r="F9" s="929"/>
      <c r="G9" s="929"/>
      <c r="H9" s="1507">
        <f>E12/(1-(1+$F$12)^-C12)*F12</f>
        <v>3002245.7380385841</v>
      </c>
      <c r="I9" s="929"/>
      <c r="J9" s="929"/>
      <c r="K9" s="929"/>
      <c r="L9" s="929"/>
      <c r="M9" s="929"/>
      <c r="N9" s="929"/>
      <c r="O9" s="929"/>
      <c r="P9" s="1508">
        <f>M12/(1-(1+$F$12)^-K12)*N12</f>
        <v>2988425.9431780353</v>
      </c>
      <c r="Q9" s="929"/>
      <c r="R9" s="929"/>
      <c r="S9" s="929"/>
      <c r="T9" s="929"/>
      <c r="U9" s="929"/>
      <c r="V9" s="929"/>
      <c r="W9" s="929"/>
      <c r="X9" s="1507">
        <f>U12/(1-(1+$F$12)^-S12)*V12</f>
        <v>3002245.7380385841</v>
      </c>
      <c r="Y9" s="929"/>
      <c r="AF9" s="1507">
        <f>AC12/(1-(1+$F$12)^-AA12)*AD12</f>
        <v>3651776.0964843705</v>
      </c>
      <c r="AN9" s="1507">
        <f>AK12/(1-(1+$F$12)^-AI12)*AL12</f>
        <v>5826369.6756523186</v>
      </c>
      <c r="AV9" s="1507">
        <f>AS12/(1-(1+$F$12)^-AQ12)*AT12</f>
        <v>2933146.7637358401</v>
      </c>
    </row>
    <row r="10" spans="2:65" x14ac:dyDescent="0.2">
      <c r="C10" s="1611" t="s">
        <v>800</v>
      </c>
      <c r="D10" s="1611"/>
      <c r="E10" s="1611"/>
      <c r="F10" s="1611"/>
      <c r="G10" s="1611"/>
      <c r="H10" s="1611"/>
      <c r="I10" s="1611"/>
      <c r="J10" s="924"/>
      <c r="K10" s="1612" t="s">
        <v>801</v>
      </c>
      <c r="L10" s="1612"/>
      <c r="M10" s="1612"/>
      <c r="N10" s="1612"/>
      <c r="O10" s="1612"/>
      <c r="P10" s="1612"/>
      <c r="Q10" s="1612"/>
      <c r="R10" s="924"/>
      <c r="S10" s="1613" t="s">
        <v>813</v>
      </c>
      <c r="T10" s="1613"/>
      <c r="U10" s="1613"/>
      <c r="V10" s="1613"/>
      <c r="W10" s="1613"/>
      <c r="X10" s="1613"/>
      <c r="Y10" s="1613"/>
      <c r="AA10" s="1614" t="s">
        <v>802</v>
      </c>
      <c r="AB10" s="1614"/>
      <c r="AC10" s="1614"/>
      <c r="AD10" s="1614"/>
      <c r="AE10" s="1614"/>
      <c r="AF10" s="1614"/>
      <c r="AG10" s="1614"/>
      <c r="AI10" s="1608" t="s">
        <v>803</v>
      </c>
      <c r="AJ10" s="1608"/>
      <c r="AK10" s="1608"/>
      <c r="AL10" s="1608"/>
      <c r="AM10" s="1608"/>
      <c r="AN10" s="1608"/>
      <c r="AO10" s="1608"/>
      <c r="AQ10" s="1609" t="s">
        <v>804</v>
      </c>
      <c r="AR10" s="1609"/>
      <c r="AS10" s="1609"/>
      <c r="AT10" s="1609"/>
      <c r="AU10" s="1609"/>
      <c r="AV10" s="1609"/>
      <c r="AW10" s="1609"/>
      <c r="AY10" s="1610" t="s">
        <v>805</v>
      </c>
      <c r="AZ10" s="1610"/>
      <c r="BA10" s="1610"/>
      <c r="BB10" s="1610"/>
      <c r="BC10" s="1610"/>
      <c r="BD10" s="1610"/>
      <c r="BE10" s="1610"/>
      <c r="BG10" s="1608" t="s">
        <v>822</v>
      </c>
      <c r="BH10" s="1608"/>
      <c r="BI10" s="1608"/>
      <c r="BJ10" s="1608"/>
      <c r="BK10" s="1608"/>
      <c r="BL10" s="1608"/>
      <c r="BM10" s="1608"/>
    </row>
    <row r="11" spans="2:65" x14ac:dyDescent="0.2">
      <c r="B11" s="1509" t="s">
        <v>683</v>
      </c>
      <c r="C11" s="1510">
        <f>Assumptions!$N$40</f>
        <v>2</v>
      </c>
      <c r="D11" s="1511"/>
      <c r="E11" s="1512">
        <f>SUM('C-Syrup (Sucrosic)'!I220:J220)*10^6*Assumptions!$N$5</f>
        <v>36965156.25</v>
      </c>
      <c r="F11" s="1513">
        <f>Assumptions!$J$11</f>
        <v>0.1</v>
      </c>
      <c r="G11" s="1511"/>
      <c r="H11" s="1514">
        <v>0</v>
      </c>
      <c r="I11" s="1511"/>
      <c r="J11" s="924"/>
      <c r="K11" s="1510">
        <f>Assumptions!$N$40</f>
        <v>2</v>
      </c>
      <c r="L11" s="1511"/>
      <c r="M11" s="1512">
        <f>SUM('Wheat Integrated (Starch)'!J268:K268)*10^6*Assumptions!$N$5</f>
        <v>36795000</v>
      </c>
      <c r="N11" s="1513">
        <f>Assumptions!$J$11</f>
        <v>0.1</v>
      </c>
      <c r="O11" s="1511"/>
      <c r="P11" s="1514">
        <v>0</v>
      </c>
      <c r="Q11" s="1511"/>
      <c r="R11" s="924"/>
      <c r="S11" s="1510">
        <f>Assumptions!$N$40</f>
        <v>2</v>
      </c>
      <c r="T11" s="1511"/>
      <c r="U11" s="1512">
        <f>SUM('B-Syrup (Sucrosic)'!$I$220:$J$220)*10^6*Assumptions!$N$5</f>
        <v>36965156.25</v>
      </c>
      <c r="V11" s="1513">
        <f>Assumptions!$J$11</f>
        <v>0.1</v>
      </c>
      <c r="W11" s="1511"/>
      <c r="X11" s="1514">
        <v>0</v>
      </c>
      <c r="Y11" s="1511"/>
      <c r="AA11" s="1510">
        <f>Assumptions!$N$40</f>
        <v>2</v>
      </c>
      <c r="AB11" s="1511"/>
      <c r="AC11" s="1512">
        <f>SUM('Sorgum (Starch)'!$J$268:$K$268)*10^6*Assumptions!$N$5</f>
        <v>44962500.000000007</v>
      </c>
      <c r="AD11" s="1513">
        <f>Assumptions!$J$11</f>
        <v>0.1</v>
      </c>
      <c r="AE11" s="1511"/>
      <c r="AF11" s="1514">
        <v>0</v>
      </c>
      <c r="AG11" s="1511"/>
      <c r="AI11" s="1510">
        <f>Assumptions!$N$40</f>
        <v>2</v>
      </c>
      <c r="AJ11" s="1511"/>
      <c r="AK11" s="1512">
        <f>SUM('Forest Residues (Cellulosic)'!$J$289:$K$289)*10^6*Assumptions!$N$5</f>
        <v>71737187.5</v>
      </c>
      <c r="AL11" s="1513">
        <f>Assumptions!$J$11</f>
        <v>0.1</v>
      </c>
      <c r="AM11" s="1511"/>
      <c r="AN11" s="1514">
        <v>0</v>
      </c>
      <c r="AO11" s="1511"/>
      <c r="AQ11" s="1510">
        <f>Assumptions!$N$40</f>
        <v>2</v>
      </c>
      <c r="AR11" s="1511"/>
      <c r="AS11" s="1512">
        <f>SUM('Imported Starch'!$J$270:$K$270)*10^6*Assumptions!$N$5</f>
        <v>36114374.999999993</v>
      </c>
      <c r="AT11" s="1513">
        <f>Assumptions!$J$11</f>
        <v>0.1</v>
      </c>
      <c r="AU11" s="1511"/>
      <c r="AV11" s="1514">
        <v>0</v>
      </c>
      <c r="AW11" s="1511"/>
      <c r="AY11" s="1510">
        <f>Assumptions!$N$40</f>
        <v>2</v>
      </c>
      <c r="AZ11" s="1511"/>
      <c r="BA11" s="1512">
        <f>SUM('Wheat Standalone (Starch)'!$J$268:$K$268)*10^6*Assumptions!$N$5</f>
        <v>36795000</v>
      </c>
      <c r="BB11" s="1513">
        <f>Assumptions!$J$11</f>
        <v>0.1</v>
      </c>
      <c r="BC11" s="1511"/>
      <c r="BD11" s="1514">
        <v>0</v>
      </c>
      <c r="BE11" s="1511"/>
      <c r="BG11" s="1510">
        <f>Assumptions!$N$40</f>
        <v>2</v>
      </c>
      <c r="BH11" s="1511"/>
      <c r="BI11" s="1512">
        <f>SUM('Cane trash (Cellulosic)'!$J$289:$K$289)*10^6*Assumptions!$N$5</f>
        <v>72928281.25</v>
      </c>
      <c r="BJ11" s="1513">
        <f>Assumptions!$J$11</f>
        <v>0.1</v>
      </c>
      <c r="BK11" s="1511"/>
      <c r="BL11" s="1514">
        <v>0</v>
      </c>
      <c r="BM11" s="1511"/>
    </row>
    <row r="12" spans="2:65" x14ac:dyDescent="0.2">
      <c r="B12" s="1509" t="s">
        <v>648</v>
      </c>
      <c r="C12" s="1510">
        <f>Assumptions!$J$15</f>
        <v>28</v>
      </c>
      <c r="D12" s="1511"/>
      <c r="E12" s="1512">
        <f>E16</f>
        <v>44727839.0625</v>
      </c>
      <c r="F12" s="1513">
        <f>Assumptions!$J$13</f>
        <v>0.05</v>
      </c>
      <c r="G12" s="1511"/>
      <c r="H12" s="1514">
        <f>-PMT(F12,C12,E12)</f>
        <v>3002245.7380385837</v>
      </c>
      <c r="I12" s="1511"/>
      <c r="J12" s="924"/>
      <c r="K12" s="1510">
        <f>Assumptions!$J$15</f>
        <v>28</v>
      </c>
      <c r="L12" s="1511"/>
      <c r="M12" s="1512">
        <f>M16</f>
        <v>44521950</v>
      </c>
      <c r="N12" s="1513">
        <f>Assumptions!$J$13</f>
        <v>0.05</v>
      </c>
      <c r="O12" s="1511"/>
      <c r="P12" s="1514">
        <f>-PMT(N12,K12,M12)</f>
        <v>2988425.9431780349</v>
      </c>
      <c r="Q12" s="1511"/>
      <c r="R12" s="924"/>
      <c r="S12" s="1510">
        <f>Assumptions!$J$15</f>
        <v>28</v>
      </c>
      <c r="T12" s="1511"/>
      <c r="U12" s="1512">
        <f>U16</f>
        <v>44727839.0625</v>
      </c>
      <c r="V12" s="1513">
        <f>Assumptions!$J$13</f>
        <v>0.05</v>
      </c>
      <c r="W12" s="1511"/>
      <c r="X12" s="1514">
        <f>-PMT(V12,S12,U12)</f>
        <v>3002245.7380385837</v>
      </c>
      <c r="Y12" s="1511"/>
      <c r="AA12" s="1510">
        <f>Assumptions!$J$15</f>
        <v>28</v>
      </c>
      <c r="AB12" s="1511"/>
      <c r="AC12" s="1512">
        <f>AC16</f>
        <v>54404625.000000007</v>
      </c>
      <c r="AD12" s="1513">
        <f>Assumptions!$J$13</f>
        <v>0.05</v>
      </c>
      <c r="AE12" s="1511"/>
      <c r="AF12" s="1514">
        <f>-PMT(AD12,AA12,AC12)</f>
        <v>3651776.0964843705</v>
      </c>
      <c r="AG12" s="1511"/>
      <c r="AI12" s="1510">
        <f>Assumptions!$J$15</f>
        <v>28</v>
      </c>
      <c r="AJ12" s="1511"/>
      <c r="AK12" s="1512">
        <f>AK16</f>
        <v>86801996.875</v>
      </c>
      <c r="AL12" s="1513">
        <f>Assumptions!$J$13</f>
        <v>0.05</v>
      </c>
      <c r="AM12" s="1511"/>
      <c r="AN12" s="1514">
        <f>-PMT(AL12,AI12,AK12)</f>
        <v>5826369.6756523177</v>
      </c>
      <c r="AO12" s="1511"/>
      <c r="AQ12" s="1510">
        <f>Assumptions!$J$15</f>
        <v>28</v>
      </c>
      <c r="AR12" s="1511"/>
      <c r="AS12" s="1512">
        <f>AS16</f>
        <v>43698393.749999993</v>
      </c>
      <c r="AT12" s="1513">
        <f>Assumptions!$J$13</f>
        <v>0.05</v>
      </c>
      <c r="AU12" s="1511"/>
      <c r="AV12" s="1514">
        <f>-PMT(AT12,AQ12,AS12)</f>
        <v>2933146.7637358401</v>
      </c>
      <c r="AW12" s="1511"/>
      <c r="AY12" s="1510">
        <f>Assumptions!$J$15</f>
        <v>28</v>
      </c>
      <c r="AZ12" s="1511"/>
      <c r="BA12" s="1512">
        <f>BA16</f>
        <v>44521950</v>
      </c>
      <c r="BB12" s="1513">
        <f>Assumptions!$J$13</f>
        <v>0.05</v>
      </c>
      <c r="BC12" s="1511"/>
      <c r="BD12" s="1514">
        <f>-PMT(BB12,AY12,BA12)</f>
        <v>2988425.9431780349</v>
      </c>
      <c r="BE12" s="1511"/>
      <c r="BG12" s="1510">
        <f>Assumptions!$J$15</f>
        <v>28</v>
      </c>
      <c r="BH12" s="1511"/>
      <c r="BI12" s="1512">
        <f>BI16</f>
        <v>88243220.3125</v>
      </c>
      <c r="BJ12" s="1513">
        <f>Assumptions!$J$13</f>
        <v>0.05</v>
      </c>
      <c r="BK12" s="1511"/>
      <c r="BL12" s="1514">
        <f>-PMT(BJ12,BG12,BI12)</f>
        <v>5923108.2396761589</v>
      </c>
      <c r="BM12" s="1511"/>
    </row>
    <row r="13" spans="2:65" ht="24" x14ac:dyDescent="0.2">
      <c r="C13" s="1515" t="s">
        <v>331</v>
      </c>
      <c r="D13" s="1515" t="s">
        <v>74</v>
      </c>
      <c r="E13" s="1515" t="s">
        <v>332</v>
      </c>
      <c r="F13" s="1515" t="s">
        <v>333</v>
      </c>
      <c r="G13" s="1516" t="s">
        <v>334</v>
      </c>
      <c r="H13" s="1515" t="s">
        <v>335</v>
      </c>
      <c r="I13" s="1515" t="s">
        <v>336</v>
      </c>
      <c r="J13" s="1517"/>
      <c r="K13" s="1515" t="s">
        <v>331</v>
      </c>
      <c r="L13" s="1515" t="s">
        <v>74</v>
      </c>
      <c r="M13" s="1515" t="s">
        <v>332</v>
      </c>
      <c r="N13" s="1515" t="s">
        <v>333</v>
      </c>
      <c r="O13" s="1516" t="s">
        <v>334</v>
      </c>
      <c r="P13" s="1515" t="s">
        <v>335</v>
      </c>
      <c r="Q13" s="1515" t="s">
        <v>336</v>
      </c>
      <c r="R13" s="924"/>
      <c r="S13" s="1515" t="s">
        <v>331</v>
      </c>
      <c r="T13" s="1515" t="s">
        <v>74</v>
      </c>
      <c r="U13" s="1515" t="s">
        <v>332</v>
      </c>
      <c r="V13" s="1515" t="s">
        <v>333</v>
      </c>
      <c r="W13" s="1516" t="s">
        <v>334</v>
      </c>
      <c r="X13" s="1515" t="s">
        <v>335</v>
      </c>
      <c r="Y13" s="1515" t="s">
        <v>336</v>
      </c>
      <c r="AA13" s="1515" t="s">
        <v>331</v>
      </c>
      <c r="AB13" s="1515" t="s">
        <v>74</v>
      </c>
      <c r="AC13" s="1515" t="s">
        <v>332</v>
      </c>
      <c r="AD13" s="1515" t="s">
        <v>333</v>
      </c>
      <c r="AE13" s="1516" t="s">
        <v>334</v>
      </c>
      <c r="AF13" s="1515" t="s">
        <v>335</v>
      </c>
      <c r="AG13" s="1515" t="s">
        <v>336</v>
      </c>
      <c r="AI13" s="1515" t="s">
        <v>331</v>
      </c>
      <c r="AJ13" s="1515" t="s">
        <v>74</v>
      </c>
      <c r="AK13" s="1515" t="s">
        <v>332</v>
      </c>
      <c r="AL13" s="1515" t="s">
        <v>333</v>
      </c>
      <c r="AM13" s="1516" t="s">
        <v>334</v>
      </c>
      <c r="AN13" s="1515" t="s">
        <v>335</v>
      </c>
      <c r="AO13" s="1515" t="s">
        <v>336</v>
      </c>
      <c r="AQ13" s="1515" t="s">
        <v>331</v>
      </c>
      <c r="AR13" s="1515" t="s">
        <v>74</v>
      </c>
      <c r="AS13" s="1515" t="s">
        <v>332</v>
      </c>
      <c r="AT13" s="1515" t="s">
        <v>333</v>
      </c>
      <c r="AU13" s="1516" t="s">
        <v>334</v>
      </c>
      <c r="AV13" s="1515" t="s">
        <v>335</v>
      </c>
      <c r="AW13" s="1515" t="s">
        <v>336</v>
      </c>
      <c r="AY13" s="1515" t="s">
        <v>331</v>
      </c>
      <c r="AZ13" s="1515" t="s">
        <v>74</v>
      </c>
      <c r="BA13" s="1515" t="s">
        <v>332</v>
      </c>
      <c r="BB13" s="1515" t="s">
        <v>333</v>
      </c>
      <c r="BC13" s="1516" t="s">
        <v>334</v>
      </c>
      <c r="BD13" s="1515" t="s">
        <v>335</v>
      </c>
      <c r="BE13" s="1515" t="s">
        <v>336</v>
      </c>
      <c r="BG13" s="1515" t="s">
        <v>331</v>
      </c>
      <c r="BH13" s="1515" t="s">
        <v>74</v>
      </c>
      <c r="BI13" s="1515" t="s">
        <v>332</v>
      </c>
      <c r="BJ13" s="1515" t="s">
        <v>333</v>
      </c>
      <c r="BK13" s="1516" t="s">
        <v>334</v>
      </c>
      <c r="BL13" s="1515" t="s">
        <v>335</v>
      </c>
      <c r="BM13" s="1515" t="s">
        <v>336</v>
      </c>
    </row>
    <row r="14" spans="2:65" x14ac:dyDescent="0.2">
      <c r="C14" s="924">
        <v>-2</v>
      </c>
      <c r="D14" s="924">
        <v>0</v>
      </c>
      <c r="E14" s="1518">
        <f>E11</f>
        <v>36965156.25</v>
      </c>
      <c r="F14" s="1518">
        <f>E14*$F$11</f>
        <v>3696515.625</v>
      </c>
      <c r="G14" s="1518">
        <f>E14+F14</f>
        <v>40661671.875</v>
      </c>
      <c r="H14" s="1518">
        <f>H11</f>
        <v>0</v>
      </c>
      <c r="I14" s="1518">
        <f>G14-H14</f>
        <v>40661671.875</v>
      </c>
      <c r="J14" s="924"/>
      <c r="K14" s="924">
        <f>C14</f>
        <v>-2</v>
      </c>
      <c r="L14" s="924">
        <v>0</v>
      </c>
      <c r="M14" s="1518">
        <f>M11</f>
        <v>36795000</v>
      </c>
      <c r="N14" s="1518">
        <f>M14*$F$11</f>
        <v>3679500</v>
      </c>
      <c r="O14" s="1518">
        <f>M14+N14</f>
        <v>40474500</v>
      </c>
      <c r="P14" s="1518">
        <f>$P$11</f>
        <v>0</v>
      </c>
      <c r="Q14" s="1518">
        <f>O14-P14</f>
        <v>40474500</v>
      </c>
      <c r="R14" s="924"/>
      <c r="S14" s="924">
        <f>K14</f>
        <v>-2</v>
      </c>
      <c r="T14" s="924">
        <v>0</v>
      </c>
      <c r="U14" s="1518">
        <f>U11</f>
        <v>36965156.25</v>
      </c>
      <c r="V14" s="1518">
        <f>U14*V$11</f>
        <v>3696515.625</v>
      </c>
      <c r="W14" s="1518">
        <f>U14+V14</f>
        <v>40661671.875</v>
      </c>
      <c r="X14" s="1518">
        <f>H$11</f>
        <v>0</v>
      </c>
      <c r="Y14" s="1518">
        <f>W14-X14</f>
        <v>40661671.875</v>
      </c>
      <c r="AA14" s="924">
        <f>S14</f>
        <v>-2</v>
      </c>
      <c r="AB14" s="924">
        <v>0</v>
      </c>
      <c r="AC14" s="1518">
        <f>AC11</f>
        <v>44962500.000000007</v>
      </c>
      <c r="AD14" s="1518">
        <f>AC14*AD$11</f>
        <v>4496250.0000000009</v>
      </c>
      <c r="AE14" s="1518">
        <f>AC14+AD14</f>
        <v>49458750.000000007</v>
      </c>
      <c r="AF14" s="1518">
        <f>P$11</f>
        <v>0</v>
      </c>
      <c r="AG14" s="1518">
        <f>AE14-AF14</f>
        <v>49458750.000000007</v>
      </c>
      <c r="AI14" s="924">
        <f>AA14</f>
        <v>-2</v>
      </c>
      <c r="AJ14" s="924">
        <v>0</v>
      </c>
      <c r="AK14" s="1518">
        <f>AK11</f>
        <v>71737187.5</v>
      </c>
      <c r="AL14" s="1518">
        <f>AK14*AL$11</f>
        <v>7173718.75</v>
      </c>
      <c r="AM14" s="1518">
        <f>AK14+AL14</f>
        <v>78910906.25</v>
      </c>
      <c r="AN14" s="1518">
        <f>X$11</f>
        <v>0</v>
      </c>
      <c r="AO14" s="1518">
        <f>AM14-AN14</f>
        <v>78910906.25</v>
      </c>
      <c r="AQ14" s="924">
        <f>AI14</f>
        <v>-2</v>
      </c>
      <c r="AR14" s="924">
        <v>0</v>
      </c>
      <c r="AS14" s="1518">
        <f>AS11</f>
        <v>36114374.999999993</v>
      </c>
      <c r="AT14" s="1518">
        <f>AS14*AT$11</f>
        <v>3611437.4999999995</v>
      </c>
      <c r="AU14" s="1518">
        <f>AS14+AT14</f>
        <v>39725812.499999993</v>
      </c>
      <c r="AV14" s="1518">
        <f>AF$11</f>
        <v>0</v>
      </c>
      <c r="AW14" s="1518">
        <f>AU14-AV14</f>
        <v>39725812.499999993</v>
      </c>
      <c r="AY14" s="924">
        <f>AQ14</f>
        <v>-2</v>
      </c>
      <c r="AZ14" s="924">
        <v>0</v>
      </c>
      <c r="BA14" s="1518">
        <f>BA11</f>
        <v>36795000</v>
      </c>
      <c r="BB14" s="1518">
        <f>BA14*BB$11</f>
        <v>3679500</v>
      </c>
      <c r="BC14" s="1518">
        <f>BA14+BB14</f>
        <v>40474500</v>
      </c>
      <c r="BD14" s="1518">
        <f>AN$11</f>
        <v>0</v>
      </c>
      <c r="BE14" s="1518">
        <f>BC14-BD14</f>
        <v>40474500</v>
      </c>
      <c r="BG14" s="924">
        <f>AY14</f>
        <v>-2</v>
      </c>
      <c r="BH14" s="924">
        <v>0</v>
      </c>
      <c r="BI14" s="1518">
        <f>BI11</f>
        <v>72928281.25</v>
      </c>
      <c r="BJ14" s="1518">
        <f>BI14*BJ$11</f>
        <v>7292828.125</v>
      </c>
      <c r="BK14" s="1518">
        <f>BI14+BJ14</f>
        <v>80221109.375</v>
      </c>
      <c r="BL14" s="1518">
        <f>AV$11</f>
        <v>0</v>
      </c>
      <c r="BM14" s="1518">
        <f>BK14-BL14</f>
        <v>80221109.375</v>
      </c>
    </row>
    <row r="15" spans="2:65" x14ac:dyDescent="0.2">
      <c r="C15" s="924">
        <v>-1</v>
      </c>
      <c r="D15" s="924">
        <v>0</v>
      </c>
      <c r="E15" s="1518">
        <f>IF(I14&lt;=0,0,I14)</f>
        <v>40661671.875</v>
      </c>
      <c r="F15" s="1518">
        <f>E15*$F$11</f>
        <v>4066167.1875</v>
      </c>
      <c r="G15" s="1518">
        <f t="shared" ref="G15:G33" si="0">E15+F15</f>
        <v>44727839.0625</v>
      </c>
      <c r="H15" s="1518">
        <f>H14</f>
        <v>0</v>
      </c>
      <c r="I15" s="1518">
        <f t="shared" ref="I15:I33" si="1">G15-H15</f>
        <v>44727839.0625</v>
      </c>
      <c r="J15" s="924"/>
      <c r="K15" s="924">
        <f t="shared" ref="K15:K63" si="2">C15</f>
        <v>-1</v>
      </c>
      <c r="L15" s="924">
        <v>0</v>
      </c>
      <c r="M15" s="1518">
        <f>IF(Q14&lt;=0,0,Q14)</f>
        <v>40474500</v>
      </c>
      <c r="N15" s="1518">
        <f>M15*$N$11</f>
        <v>4047450</v>
      </c>
      <c r="O15" s="1518">
        <f t="shared" ref="O15:O63" si="3">M15+N15</f>
        <v>44521950</v>
      </c>
      <c r="P15" s="1518">
        <f>$P$11</f>
        <v>0</v>
      </c>
      <c r="Q15" s="1518">
        <f t="shared" ref="Q15:Q63" si="4">O15-P15</f>
        <v>44521950</v>
      </c>
      <c r="R15" s="924"/>
      <c r="S15" s="924">
        <f t="shared" ref="S15:S63" si="5">K15</f>
        <v>-1</v>
      </c>
      <c r="T15" s="924">
        <v>0</v>
      </c>
      <c r="U15" s="1518">
        <f t="shared" ref="U15:U63" si="6">IF(Y14&lt;=0,0,Y14)</f>
        <v>40661671.875</v>
      </c>
      <c r="V15" s="1518">
        <f>U15*V$11</f>
        <v>4066167.1875</v>
      </c>
      <c r="W15" s="1518">
        <f t="shared" ref="W15:W63" si="7">U15+V15</f>
        <v>44727839.0625</v>
      </c>
      <c r="X15" s="1518">
        <f>H$11</f>
        <v>0</v>
      </c>
      <c r="Y15" s="1518">
        <f t="shared" ref="Y15:Y63" si="8">W15-X15</f>
        <v>44727839.0625</v>
      </c>
      <c r="AA15" s="924">
        <f t="shared" ref="AA15:AA63" si="9">S15</f>
        <v>-1</v>
      </c>
      <c r="AB15" s="924">
        <v>0</v>
      </c>
      <c r="AC15" s="1518">
        <f t="shared" ref="AC15:AC63" si="10">IF(AG14&lt;=0,0,AG14)</f>
        <v>49458750.000000007</v>
      </c>
      <c r="AD15" s="1518">
        <f>AC15*AD$11</f>
        <v>4945875.0000000009</v>
      </c>
      <c r="AE15" s="1518">
        <f t="shared" ref="AE15:AE63" si="11">AC15+AD15</f>
        <v>54404625.000000007</v>
      </c>
      <c r="AF15" s="1518">
        <f>P$11</f>
        <v>0</v>
      </c>
      <c r="AG15" s="1518">
        <f t="shared" ref="AG15:AG63" si="12">AE15-AF15</f>
        <v>54404625.000000007</v>
      </c>
      <c r="AI15" s="924">
        <f t="shared" ref="AI15:AI63" si="13">AA15</f>
        <v>-1</v>
      </c>
      <c r="AJ15" s="924">
        <v>0</v>
      </c>
      <c r="AK15" s="1518">
        <f t="shared" ref="AK15:AK63" si="14">IF(AO14&lt;=0,0,AO14)</f>
        <v>78910906.25</v>
      </c>
      <c r="AL15" s="1518">
        <f>AK15*AL$11</f>
        <v>7891090.625</v>
      </c>
      <c r="AM15" s="1518">
        <f t="shared" ref="AM15:AM63" si="15">AK15+AL15</f>
        <v>86801996.875</v>
      </c>
      <c r="AN15" s="1518">
        <f>X$11</f>
        <v>0</v>
      </c>
      <c r="AO15" s="1518">
        <f t="shared" ref="AO15:AO63" si="16">AM15-AN15</f>
        <v>86801996.875</v>
      </c>
      <c r="AQ15" s="924">
        <f t="shared" ref="AQ15:AQ63" si="17">AI15</f>
        <v>-1</v>
      </c>
      <c r="AR15" s="924">
        <v>0</v>
      </c>
      <c r="AS15" s="1518">
        <f t="shared" ref="AS15:AS63" si="18">IF(AW14&lt;=0,0,AW14)</f>
        <v>39725812.499999993</v>
      </c>
      <c r="AT15" s="1518">
        <f>AS15*AT$11</f>
        <v>3972581.2499999995</v>
      </c>
      <c r="AU15" s="1518">
        <f t="shared" ref="AU15:AU63" si="19">AS15+AT15</f>
        <v>43698393.749999993</v>
      </c>
      <c r="AV15" s="1518">
        <f>AF$11</f>
        <v>0</v>
      </c>
      <c r="AW15" s="1518">
        <f t="shared" ref="AW15:AW63" si="20">AU15-AV15</f>
        <v>43698393.749999993</v>
      </c>
      <c r="AY15" s="924">
        <f t="shared" ref="AY15:AY63" si="21">AQ15</f>
        <v>-1</v>
      </c>
      <c r="AZ15" s="924">
        <v>0</v>
      </c>
      <c r="BA15" s="1518">
        <f t="shared" ref="BA15:BA63" si="22">IF(BE14&lt;=0,0,BE14)</f>
        <v>40474500</v>
      </c>
      <c r="BB15" s="1518">
        <f>BA15*BB$11</f>
        <v>4047450</v>
      </c>
      <c r="BC15" s="1518">
        <f t="shared" ref="BC15:BC63" si="23">BA15+BB15</f>
        <v>44521950</v>
      </c>
      <c r="BD15" s="1518">
        <f>AN$11</f>
        <v>0</v>
      </c>
      <c r="BE15" s="1518">
        <f t="shared" ref="BE15:BE63" si="24">BC15-BD15</f>
        <v>44521950</v>
      </c>
      <c r="BG15" s="924">
        <f t="shared" ref="BG15:BG63" si="25">AY15</f>
        <v>-1</v>
      </c>
      <c r="BH15" s="924">
        <v>0</v>
      </c>
      <c r="BI15" s="1518">
        <f t="shared" ref="BI15:BI63" si="26">IF(BM14&lt;=0,0,BM14)</f>
        <v>80221109.375</v>
      </c>
      <c r="BJ15" s="1518">
        <f>BI15*BJ$11</f>
        <v>8022110.9375</v>
      </c>
      <c r="BK15" s="1518">
        <f t="shared" ref="BK15:BK63" si="27">BI15+BJ15</f>
        <v>88243220.3125</v>
      </c>
      <c r="BL15" s="1518">
        <f>AV$11</f>
        <v>0</v>
      </c>
      <c r="BM15" s="1518">
        <f t="shared" ref="BM15:BM63" si="28">BK15-BL15</f>
        <v>88243220.3125</v>
      </c>
    </row>
    <row r="16" spans="2:65" x14ac:dyDescent="0.2">
      <c r="C16" s="924">
        <v>1</v>
      </c>
      <c r="D16" s="924">
        <v>0</v>
      </c>
      <c r="E16" s="1518">
        <f t="shared" ref="E16:E63" si="29">IF(I15&lt;=0,0,I15)</f>
        <v>44727839.0625</v>
      </c>
      <c r="F16" s="1518">
        <f>E16*$F$12</f>
        <v>2236391.953125</v>
      </c>
      <c r="G16" s="1518">
        <f t="shared" si="0"/>
        <v>46964231.015625</v>
      </c>
      <c r="H16" s="1518">
        <f>IF(ROUND(I15,2)=0,0,H$12)</f>
        <v>3002245.7380385837</v>
      </c>
      <c r="I16" s="1518">
        <f t="shared" si="1"/>
        <v>43961985.277586415</v>
      </c>
      <c r="J16" s="924"/>
      <c r="K16" s="924">
        <f t="shared" si="2"/>
        <v>1</v>
      </c>
      <c r="L16" s="924">
        <v>0</v>
      </c>
      <c r="M16" s="1518">
        <f t="shared" ref="M16:M63" si="30">IF(Q15&lt;=0,0,Q15)</f>
        <v>44521950</v>
      </c>
      <c r="N16" s="1518">
        <f>M16*$N$12</f>
        <v>2226097.5</v>
      </c>
      <c r="O16" s="1518">
        <f t="shared" si="3"/>
        <v>46748047.5</v>
      </c>
      <c r="P16" s="1518">
        <f>IF(ROUND(Q15,2)=0,0,P$12)</f>
        <v>2988425.9431780349</v>
      </c>
      <c r="Q16" s="1518">
        <f t="shared" si="4"/>
        <v>43759621.556821965</v>
      </c>
      <c r="R16" s="924"/>
      <c r="S16" s="924">
        <f t="shared" si="5"/>
        <v>1</v>
      </c>
      <c r="T16" s="924">
        <v>0</v>
      </c>
      <c r="U16" s="1518">
        <f t="shared" si="6"/>
        <v>44727839.0625</v>
      </c>
      <c r="V16" s="1518">
        <f>U16*V$12</f>
        <v>2236391.953125</v>
      </c>
      <c r="W16" s="1518">
        <f t="shared" si="7"/>
        <v>46964231.015625</v>
      </c>
      <c r="X16" s="1518">
        <f>IF(ROUND(Y15,2)=0,0,X$12)</f>
        <v>3002245.7380385837</v>
      </c>
      <c r="Y16" s="1518">
        <f t="shared" si="8"/>
        <v>43961985.277586415</v>
      </c>
      <c r="AA16" s="924">
        <f t="shared" si="9"/>
        <v>1</v>
      </c>
      <c r="AB16" s="924">
        <v>0</v>
      </c>
      <c r="AC16" s="1518">
        <f t="shared" si="10"/>
        <v>54404625.000000007</v>
      </c>
      <c r="AD16" s="1518">
        <f>AC16*AD$12</f>
        <v>2720231.2500000005</v>
      </c>
      <c r="AE16" s="1518">
        <f t="shared" si="11"/>
        <v>57124856.250000007</v>
      </c>
      <c r="AF16" s="1518">
        <f>IF(ROUND(AG15,2)=0,0,AF$12)</f>
        <v>3651776.0964843705</v>
      </c>
      <c r="AG16" s="1518">
        <f t="shared" si="12"/>
        <v>53473080.153515637</v>
      </c>
      <c r="AI16" s="924">
        <f t="shared" si="13"/>
        <v>1</v>
      </c>
      <c r="AJ16" s="924">
        <v>0</v>
      </c>
      <c r="AK16" s="1518">
        <f t="shared" si="14"/>
        <v>86801996.875</v>
      </c>
      <c r="AL16" s="1518">
        <f>AK16*AL$12</f>
        <v>4340099.84375</v>
      </c>
      <c r="AM16" s="1518">
        <f t="shared" si="15"/>
        <v>91142096.71875</v>
      </c>
      <c r="AN16" s="1518">
        <f>IF(ROUND(AO15,2)=0,0,AN$12)</f>
        <v>5826369.6756523177</v>
      </c>
      <c r="AO16" s="1518">
        <f t="shared" si="16"/>
        <v>85315727.043097675</v>
      </c>
      <c r="AQ16" s="924">
        <f t="shared" si="17"/>
        <v>1</v>
      </c>
      <c r="AR16" s="924">
        <v>0</v>
      </c>
      <c r="AS16" s="1518">
        <f t="shared" si="18"/>
        <v>43698393.749999993</v>
      </c>
      <c r="AT16" s="1518">
        <f>AS16*AT$12</f>
        <v>2184919.6874999995</v>
      </c>
      <c r="AU16" s="1518">
        <f t="shared" si="19"/>
        <v>45883313.437499993</v>
      </c>
      <c r="AV16" s="1518">
        <f>IF(ROUND(AW15,2)=0,0,AV$12)</f>
        <v>2933146.7637358401</v>
      </c>
      <c r="AW16" s="1518">
        <f t="shared" si="20"/>
        <v>42950166.673764154</v>
      </c>
      <c r="AY16" s="924">
        <f t="shared" si="21"/>
        <v>1</v>
      </c>
      <c r="AZ16" s="924">
        <v>0</v>
      </c>
      <c r="BA16" s="1518">
        <f t="shared" si="22"/>
        <v>44521950</v>
      </c>
      <c r="BB16" s="1518">
        <f>BA16*BB$12</f>
        <v>2226097.5</v>
      </c>
      <c r="BC16" s="1518">
        <f t="shared" si="23"/>
        <v>46748047.5</v>
      </c>
      <c r="BD16" s="1518">
        <f>IF(ROUND(BE15,2)=0,0,BD$12)</f>
        <v>2988425.9431780349</v>
      </c>
      <c r="BE16" s="1518">
        <f t="shared" si="24"/>
        <v>43759621.556821965</v>
      </c>
      <c r="BG16" s="924">
        <f t="shared" si="25"/>
        <v>1</v>
      </c>
      <c r="BH16" s="924">
        <v>0</v>
      </c>
      <c r="BI16" s="1518">
        <f t="shared" si="26"/>
        <v>88243220.3125</v>
      </c>
      <c r="BJ16" s="1518">
        <f>BI16*BJ$12</f>
        <v>4412161.015625</v>
      </c>
      <c r="BK16" s="1518">
        <f t="shared" si="27"/>
        <v>92655381.328125</v>
      </c>
      <c r="BL16" s="1518">
        <f>IF(ROUND(BM15,2)=0,0,BL$12)</f>
        <v>5923108.2396761589</v>
      </c>
      <c r="BM16" s="1518">
        <f t="shared" si="28"/>
        <v>86732273.088448837</v>
      </c>
    </row>
    <row r="17" spans="3:65" x14ac:dyDescent="0.2">
      <c r="C17" s="924">
        <v>2</v>
      </c>
      <c r="D17" s="924">
        <v>0</v>
      </c>
      <c r="E17" s="1518">
        <f t="shared" si="29"/>
        <v>43961985.277586415</v>
      </c>
      <c r="F17" s="1518">
        <f t="shared" ref="F17:F63" si="31">E17*$F$12</f>
        <v>2198099.263879321</v>
      </c>
      <c r="G17" s="1518">
        <f t="shared" si="0"/>
        <v>46160084.541465737</v>
      </c>
      <c r="H17" s="1518">
        <f t="shared" ref="H17:H63" si="32">IF(ROUND(I16,2)=0,0,$H$12)</f>
        <v>3002245.7380385837</v>
      </c>
      <c r="I17" s="1518">
        <f t="shared" si="1"/>
        <v>43157838.803427152</v>
      </c>
      <c r="J17" s="924"/>
      <c r="K17" s="924">
        <f t="shared" si="2"/>
        <v>2</v>
      </c>
      <c r="L17" s="924">
        <v>0</v>
      </c>
      <c r="M17" s="1518">
        <f t="shared" si="30"/>
        <v>43759621.556821965</v>
      </c>
      <c r="N17" s="1518">
        <f t="shared" ref="N17:N63" si="33">M17*$N$12</f>
        <v>2187981.0778410984</v>
      </c>
      <c r="O17" s="1518">
        <f t="shared" si="3"/>
        <v>45947602.63466306</v>
      </c>
      <c r="P17" s="1518">
        <f t="shared" ref="P17:P63" si="34">IF(ROUND(Q16,2)=0,0,P$12)</f>
        <v>2988425.9431780349</v>
      </c>
      <c r="Q17" s="1518">
        <f t="shared" si="4"/>
        <v>42959176.691485025</v>
      </c>
      <c r="R17" s="924"/>
      <c r="S17" s="924">
        <f t="shared" si="5"/>
        <v>2</v>
      </c>
      <c r="T17" s="924">
        <v>0</v>
      </c>
      <c r="U17" s="1518">
        <f t="shared" si="6"/>
        <v>43961985.277586415</v>
      </c>
      <c r="V17" s="1518">
        <f t="shared" ref="V17:V63" si="35">U17*V$12</f>
        <v>2198099.263879321</v>
      </c>
      <c r="W17" s="1518">
        <f t="shared" si="7"/>
        <v>46160084.541465737</v>
      </c>
      <c r="X17" s="1518">
        <f t="shared" ref="X17:X63" si="36">IF(ROUND(Y16,2)=0,0,X$12)</f>
        <v>3002245.7380385837</v>
      </c>
      <c r="Y17" s="1518">
        <f t="shared" si="8"/>
        <v>43157838.803427152</v>
      </c>
      <c r="AA17" s="924">
        <f t="shared" si="9"/>
        <v>2</v>
      </c>
      <c r="AB17" s="924">
        <v>0</v>
      </c>
      <c r="AC17" s="1518">
        <f t="shared" si="10"/>
        <v>53473080.153515637</v>
      </c>
      <c r="AD17" s="1518">
        <f t="shared" ref="AD17:AD63" si="37">AC17*AD$12</f>
        <v>2673654.0076757818</v>
      </c>
      <c r="AE17" s="1518">
        <f t="shared" si="11"/>
        <v>56146734.161191419</v>
      </c>
      <c r="AF17" s="1518">
        <f t="shared" ref="AF17:AF63" si="38">IF(ROUND(AG16,2)=0,0,AF$12)</f>
        <v>3651776.0964843705</v>
      </c>
      <c r="AG17" s="1518">
        <f t="shared" si="12"/>
        <v>52494958.064707048</v>
      </c>
      <c r="AI17" s="924">
        <f t="shared" si="13"/>
        <v>2</v>
      </c>
      <c r="AJ17" s="924">
        <v>0</v>
      </c>
      <c r="AK17" s="1518">
        <f t="shared" si="14"/>
        <v>85315727.043097675</v>
      </c>
      <c r="AL17" s="1518">
        <f t="shared" ref="AL17:AL63" si="39">AK17*AL$12</f>
        <v>4265786.3521548836</v>
      </c>
      <c r="AM17" s="1518">
        <f t="shared" si="15"/>
        <v>89581513.395252556</v>
      </c>
      <c r="AN17" s="1518">
        <f t="shared" ref="AN17:AN63" si="40">IF(ROUND(AO16,2)=0,0,AN$12)</f>
        <v>5826369.6756523177</v>
      </c>
      <c r="AO17" s="1518">
        <f t="shared" si="16"/>
        <v>83755143.71960023</v>
      </c>
      <c r="AQ17" s="924">
        <f t="shared" si="17"/>
        <v>2</v>
      </c>
      <c r="AR17" s="924">
        <v>0</v>
      </c>
      <c r="AS17" s="1518">
        <f t="shared" si="18"/>
        <v>42950166.673764154</v>
      </c>
      <c r="AT17" s="1518">
        <f t="shared" ref="AT17:AT63" si="41">AS17*AT$12</f>
        <v>2147508.3336882079</v>
      </c>
      <c r="AU17" s="1518">
        <f t="shared" si="19"/>
        <v>45097675.007452361</v>
      </c>
      <c r="AV17" s="1518">
        <f t="shared" ref="AV17:AV63" si="42">IF(ROUND(AW16,2)=0,0,AV$12)</f>
        <v>2933146.7637358401</v>
      </c>
      <c r="AW17" s="1518">
        <f t="shared" si="20"/>
        <v>42164528.243716523</v>
      </c>
      <c r="AY17" s="924">
        <f t="shared" si="21"/>
        <v>2</v>
      </c>
      <c r="AZ17" s="924">
        <v>0</v>
      </c>
      <c r="BA17" s="1518">
        <f t="shared" si="22"/>
        <v>43759621.556821965</v>
      </c>
      <c r="BB17" s="1518">
        <f t="shared" ref="BB17:BB63" si="43">BA17*BB$12</f>
        <v>2187981.0778410984</v>
      </c>
      <c r="BC17" s="1518">
        <f t="shared" si="23"/>
        <v>45947602.63466306</v>
      </c>
      <c r="BD17" s="1518">
        <f t="shared" ref="BD17:BD63" si="44">IF(ROUND(BE16,2)=0,0,BD$12)</f>
        <v>2988425.9431780349</v>
      </c>
      <c r="BE17" s="1518">
        <f t="shared" si="24"/>
        <v>42959176.691485025</v>
      </c>
      <c r="BG17" s="924">
        <f t="shared" si="25"/>
        <v>2</v>
      </c>
      <c r="BH17" s="924">
        <v>0</v>
      </c>
      <c r="BI17" s="1518">
        <f t="shared" si="26"/>
        <v>86732273.088448837</v>
      </c>
      <c r="BJ17" s="1518">
        <f t="shared" ref="BJ17:BJ63" si="45">BI17*BJ$12</f>
        <v>4336613.6544224424</v>
      </c>
      <c r="BK17" s="1518">
        <f t="shared" si="27"/>
        <v>91068886.742871284</v>
      </c>
      <c r="BL17" s="1518">
        <f t="shared" ref="BL17:BL63" si="46">IF(ROUND(BM16,2)=0,0,BL$12)</f>
        <v>5923108.2396761589</v>
      </c>
      <c r="BM17" s="1518">
        <f t="shared" si="28"/>
        <v>85145778.503195122</v>
      </c>
    </row>
    <row r="18" spans="3:65" x14ac:dyDescent="0.2">
      <c r="C18" s="924">
        <v>3</v>
      </c>
      <c r="D18" s="924">
        <v>0</v>
      </c>
      <c r="E18" s="1518">
        <f t="shared" si="29"/>
        <v>43157838.803427152</v>
      </c>
      <c r="F18" s="1518">
        <f t="shared" si="31"/>
        <v>2157891.9401713577</v>
      </c>
      <c r="G18" s="1518">
        <f t="shared" si="0"/>
        <v>45315730.743598513</v>
      </c>
      <c r="H18" s="1518">
        <f t="shared" si="32"/>
        <v>3002245.7380385837</v>
      </c>
      <c r="I18" s="1518">
        <f t="shared" si="1"/>
        <v>42313485.005559929</v>
      </c>
      <c r="J18" s="924"/>
      <c r="K18" s="924">
        <f t="shared" si="2"/>
        <v>3</v>
      </c>
      <c r="L18" s="924">
        <v>0</v>
      </c>
      <c r="M18" s="1518">
        <f t="shared" si="30"/>
        <v>42959176.691485025</v>
      </c>
      <c r="N18" s="1518">
        <f t="shared" si="33"/>
        <v>2147958.8345742514</v>
      </c>
      <c r="O18" s="1518">
        <f t="shared" si="3"/>
        <v>45107135.526059277</v>
      </c>
      <c r="P18" s="1518">
        <f t="shared" si="34"/>
        <v>2988425.9431780349</v>
      </c>
      <c r="Q18" s="1518">
        <f t="shared" si="4"/>
        <v>42118709.582881242</v>
      </c>
      <c r="R18" s="924"/>
      <c r="S18" s="924">
        <f t="shared" si="5"/>
        <v>3</v>
      </c>
      <c r="T18" s="924">
        <v>0</v>
      </c>
      <c r="U18" s="1518">
        <f t="shared" si="6"/>
        <v>43157838.803427152</v>
      </c>
      <c r="V18" s="1518">
        <f t="shared" si="35"/>
        <v>2157891.9401713577</v>
      </c>
      <c r="W18" s="1518">
        <f t="shared" si="7"/>
        <v>45315730.743598513</v>
      </c>
      <c r="X18" s="1518">
        <f t="shared" si="36"/>
        <v>3002245.7380385837</v>
      </c>
      <c r="Y18" s="1518">
        <f t="shared" si="8"/>
        <v>42313485.005559929</v>
      </c>
      <c r="AA18" s="924">
        <f t="shared" si="9"/>
        <v>3</v>
      </c>
      <c r="AB18" s="924">
        <v>0</v>
      </c>
      <c r="AC18" s="1518">
        <f t="shared" si="10"/>
        <v>52494958.064707048</v>
      </c>
      <c r="AD18" s="1518">
        <f t="shared" si="37"/>
        <v>2624747.9032353526</v>
      </c>
      <c r="AE18" s="1518">
        <f t="shared" si="11"/>
        <v>55119705.967942402</v>
      </c>
      <c r="AF18" s="1518">
        <f t="shared" si="38"/>
        <v>3651776.0964843705</v>
      </c>
      <c r="AG18" s="1518">
        <f t="shared" si="12"/>
        <v>51467929.871458031</v>
      </c>
      <c r="AI18" s="924">
        <f t="shared" si="13"/>
        <v>3</v>
      </c>
      <c r="AJ18" s="924">
        <v>0</v>
      </c>
      <c r="AK18" s="1518">
        <f t="shared" si="14"/>
        <v>83755143.71960023</v>
      </c>
      <c r="AL18" s="1518">
        <f t="shared" si="39"/>
        <v>4187757.1859800117</v>
      </c>
      <c r="AM18" s="1518">
        <f t="shared" si="15"/>
        <v>87942900.905580238</v>
      </c>
      <c r="AN18" s="1518">
        <f t="shared" si="40"/>
        <v>5826369.6756523177</v>
      </c>
      <c r="AO18" s="1518">
        <f t="shared" si="16"/>
        <v>82116531.229927927</v>
      </c>
      <c r="AQ18" s="924">
        <f t="shared" si="17"/>
        <v>3</v>
      </c>
      <c r="AR18" s="924">
        <v>0</v>
      </c>
      <c r="AS18" s="1518">
        <f t="shared" si="18"/>
        <v>42164528.243716523</v>
      </c>
      <c r="AT18" s="1518">
        <f t="shared" si="41"/>
        <v>2108226.4121858263</v>
      </c>
      <c r="AU18" s="1518">
        <f t="shared" si="19"/>
        <v>44272754.655902348</v>
      </c>
      <c r="AV18" s="1518">
        <f t="shared" si="42"/>
        <v>2933146.7637358401</v>
      </c>
      <c r="AW18" s="1518">
        <f t="shared" si="20"/>
        <v>41339607.89216651</v>
      </c>
      <c r="AY18" s="924">
        <f t="shared" si="21"/>
        <v>3</v>
      </c>
      <c r="AZ18" s="924">
        <v>0</v>
      </c>
      <c r="BA18" s="1518">
        <f t="shared" si="22"/>
        <v>42959176.691485025</v>
      </c>
      <c r="BB18" s="1518">
        <f t="shared" si="43"/>
        <v>2147958.8345742514</v>
      </c>
      <c r="BC18" s="1518">
        <f t="shared" si="23"/>
        <v>45107135.526059277</v>
      </c>
      <c r="BD18" s="1518">
        <f t="shared" si="44"/>
        <v>2988425.9431780349</v>
      </c>
      <c r="BE18" s="1518">
        <f t="shared" si="24"/>
        <v>42118709.582881242</v>
      </c>
      <c r="BG18" s="924">
        <f t="shared" si="25"/>
        <v>3</v>
      </c>
      <c r="BH18" s="924">
        <v>0</v>
      </c>
      <c r="BI18" s="1518">
        <f t="shared" si="26"/>
        <v>85145778.503195122</v>
      </c>
      <c r="BJ18" s="1518">
        <f t="shared" si="45"/>
        <v>4257288.9251597561</v>
      </c>
      <c r="BK18" s="1518">
        <f t="shared" si="27"/>
        <v>89403067.428354874</v>
      </c>
      <c r="BL18" s="1518">
        <f t="shared" si="46"/>
        <v>5923108.2396761589</v>
      </c>
      <c r="BM18" s="1518">
        <f t="shared" si="28"/>
        <v>83479959.188678712</v>
      </c>
    </row>
    <row r="19" spans="3:65" x14ac:dyDescent="0.2">
      <c r="C19" s="924">
        <v>4</v>
      </c>
      <c r="D19" s="924">
        <v>0</v>
      </c>
      <c r="E19" s="1518">
        <f t="shared" si="29"/>
        <v>42313485.005559929</v>
      </c>
      <c r="F19" s="1518">
        <f t="shared" si="31"/>
        <v>2115674.2502779965</v>
      </c>
      <c r="G19" s="1518">
        <f t="shared" si="0"/>
        <v>44429159.255837925</v>
      </c>
      <c r="H19" s="1518">
        <f t="shared" si="32"/>
        <v>3002245.7380385837</v>
      </c>
      <c r="I19" s="1518">
        <f t="shared" si="1"/>
        <v>41426913.51779934</v>
      </c>
      <c r="J19" s="924"/>
      <c r="K19" s="924">
        <f t="shared" si="2"/>
        <v>4</v>
      </c>
      <c r="L19" s="924">
        <v>0</v>
      </c>
      <c r="M19" s="1518">
        <f t="shared" si="30"/>
        <v>42118709.582881242</v>
      </c>
      <c r="N19" s="1518">
        <f t="shared" si="33"/>
        <v>2105935.4791440624</v>
      </c>
      <c r="O19" s="1518">
        <f t="shared" si="3"/>
        <v>44224645.062025301</v>
      </c>
      <c r="P19" s="1518">
        <f t="shared" si="34"/>
        <v>2988425.9431780349</v>
      </c>
      <c r="Q19" s="1518">
        <f t="shared" si="4"/>
        <v>41236219.118847266</v>
      </c>
      <c r="R19" s="924"/>
      <c r="S19" s="924">
        <f t="shared" si="5"/>
        <v>4</v>
      </c>
      <c r="T19" s="924">
        <v>0</v>
      </c>
      <c r="U19" s="1518">
        <f t="shared" si="6"/>
        <v>42313485.005559929</v>
      </c>
      <c r="V19" s="1518">
        <f t="shared" si="35"/>
        <v>2115674.2502779965</v>
      </c>
      <c r="W19" s="1518">
        <f t="shared" si="7"/>
        <v>44429159.255837925</v>
      </c>
      <c r="X19" s="1518">
        <f t="shared" si="36"/>
        <v>3002245.7380385837</v>
      </c>
      <c r="Y19" s="1518">
        <f t="shared" si="8"/>
        <v>41426913.51779934</v>
      </c>
      <c r="AA19" s="924">
        <f t="shared" si="9"/>
        <v>4</v>
      </c>
      <c r="AB19" s="924">
        <v>0</v>
      </c>
      <c r="AC19" s="1518">
        <f t="shared" si="10"/>
        <v>51467929.871458031</v>
      </c>
      <c r="AD19" s="1518">
        <f t="shared" si="37"/>
        <v>2573396.4935729019</v>
      </c>
      <c r="AE19" s="1518">
        <f t="shared" si="11"/>
        <v>54041326.365030929</v>
      </c>
      <c r="AF19" s="1518">
        <f t="shared" si="38"/>
        <v>3651776.0964843705</v>
      </c>
      <c r="AG19" s="1518">
        <f t="shared" si="12"/>
        <v>50389550.268546559</v>
      </c>
      <c r="AI19" s="924">
        <f t="shared" si="13"/>
        <v>4</v>
      </c>
      <c r="AJ19" s="924">
        <v>0</v>
      </c>
      <c r="AK19" s="1518">
        <f t="shared" si="14"/>
        <v>82116531.229927927</v>
      </c>
      <c r="AL19" s="1518">
        <f t="shared" si="39"/>
        <v>4105826.5614963965</v>
      </c>
      <c r="AM19" s="1518">
        <f t="shared" si="15"/>
        <v>86222357.791424319</v>
      </c>
      <c r="AN19" s="1518">
        <f t="shared" si="40"/>
        <v>5826369.6756523177</v>
      </c>
      <c r="AO19" s="1518">
        <f t="shared" si="16"/>
        <v>80395988.115772009</v>
      </c>
      <c r="AQ19" s="924">
        <f t="shared" si="17"/>
        <v>4</v>
      </c>
      <c r="AR19" s="924">
        <v>0</v>
      </c>
      <c r="AS19" s="1518">
        <f t="shared" si="18"/>
        <v>41339607.89216651</v>
      </c>
      <c r="AT19" s="1518">
        <f t="shared" si="41"/>
        <v>2066980.3946083256</v>
      </c>
      <c r="AU19" s="1518">
        <f t="shared" si="19"/>
        <v>43406588.286774836</v>
      </c>
      <c r="AV19" s="1518">
        <f t="shared" si="42"/>
        <v>2933146.7637358401</v>
      </c>
      <c r="AW19" s="1518">
        <f t="shared" si="20"/>
        <v>40473441.523038998</v>
      </c>
      <c r="AY19" s="924">
        <f t="shared" si="21"/>
        <v>4</v>
      </c>
      <c r="AZ19" s="924">
        <v>0</v>
      </c>
      <c r="BA19" s="1518">
        <f t="shared" si="22"/>
        <v>42118709.582881242</v>
      </c>
      <c r="BB19" s="1518">
        <f t="shared" si="43"/>
        <v>2105935.4791440624</v>
      </c>
      <c r="BC19" s="1518">
        <f t="shared" si="23"/>
        <v>44224645.062025301</v>
      </c>
      <c r="BD19" s="1518">
        <f t="shared" si="44"/>
        <v>2988425.9431780349</v>
      </c>
      <c r="BE19" s="1518">
        <f t="shared" si="24"/>
        <v>41236219.118847266</v>
      </c>
      <c r="BG19" s="924">
        <f t="shared" si="25"/>
        <v>4</v>
      </c>
      <c r="BH19" s="924">
        <v>0</v>
      </c>
      <c r="BI19" s="1518">
        <f t="shared" si="26"/>
        <v>83479959.188678712</v>
      </c>
      <c r="BJ19" s="1518">
        <f t="shared" si="45"/>
        <v>4173997.9594339356</v>
      </c>
      <c r="BK19" s="1518">
        <f t="shared" si="27"/>
        <v>87653957.148112655</v>
      </c>
      <c r="BL19" s="1518">
        <f t="shared" si="46"/>
        <v>5923108.2396761589</v>
      </c>
      <c r="BM19" s="1518">
        <f t="shared" si="28"/>
        <v>81730848.908436492</v>
      </c>
    </row>
    <row r="20" spans="3:65" x14ac:dyDescent="0.2">
      <c r="C20" s="924">
        <v>5</v>
      </c>
      <c r="D20" s="924">
        <v>0</v>
      </c>
      <c r="E20" s="1518">
        <f t="shared" si="29"/>
        <v>41426913.51779934</v>
      </c>
      <c r="F20" s="1518">
        <f t="shared" si="31"/>
        <v>2071345.675889967</v>
      </c>
      <c r="G20" s="1518">
        <f t="shared" si="0"/>
        <v>43498259.193689309</v>
      </c>
      <c r="H20" s="1518">
        <f t="shared" si="32"/>
        <v>3002245.7380385837</v>
      </c>
      <c r="I20" s="1518">
        <f t="shared" si="1"/>
        <v>40496013.455650724</v>
      </c>
      <c r="J20" s="924"/>
      <c r="K20" s="924">
        <f t="shared" si="2"/>
        <v>5</v>
      </c>
      <c r="L20" s="924">
        <v>0</v>
      </c>
      <c r="M20" s="1518">
        <f t="shared" si="30"/>
        <v>41236219.118847266</v>
      </c>
      <c r="N20" s="1518">
        <f t="shared" si="33"/>
        <v>2061810.9559423635</v>
      </c>
      <c r="O20" s="1518">
        <f t="shared" si="3"/>
        <v>43298030.074789628</v>
      </c>
      <c r="P20" s="1518">
        <f t="shared" si="34"/>
        <v>2988425.9431780349</v>
      </c>
      <c r="Q20" s="1518">
        <f t="shared" si="4"/>
        <v>40309604.131611593</v>
      </c>
      <c r="R20" s="924"/>
      <c r="S20" s="924">
        <f t="shared" si="5"/>
        <v>5</v>
      </c>
      <c r="T20" s="924">
        <v>0</v>
      </c>
      <c r="U20" s="1518">
        <f t="shared" si="6"/>
        <v>41426913.51779934</v>
      </c>
      <c r="V20" s="1518">
        <f t="shared" si="35"/>
        <v>2071345.675889967</v>
      </c>
      <c r="W20" s="1518">
        <f t="shared" si="7"/>
        <v>43498259.193689309</v>
      </c>
      <c r="X20" s="1518">
        <f t="shared" si="36"/>
        <v>3002245.7380385837</v>
      </c>
      <c r="Y20" s="1518">
        <f t="shared" si="8"/>
        <v>40496013.455650724</v>
      </c>
      <c r="AA20" s="924">
        <f t="shared" si="9"/>
        <v>5</v>
      </c>
      <c r="AB20" s="924">
        <v>0</v>
      </c>
      <c r="AC20" s="1518">
        <f t="shared" si="10"/>
        <v>50389550.268546559</v>
      </c>
      <c r="AD20" s="1518">
        <f t="shared" si="37"/>
        <v>2519477.5134273283</v>
      </c>
      <c r="AE20" s="1518">
        <f t="shared" si="11"/>
        <v>52909027.781973884</v>
      </c>
      <c r="AF20" s="1518">
        <f t="shared" si="38"/>
        <v>3651776.0964843705</v>
      </c>
      <c r="AG20" s="1518">
        <f t="shared" si="12"/>
        <v>49257251.685489513</v>
      </c>
      <c r="AI20" s="924">
        <f t="shared" si="13"/>
        <v>5</v>
      </c>
      <c r="AJ20" s="924">
        <v>0</v>
      </c>
      <c r="AK20" s="1518">
        <f t="shared" si="14"/>
        <v>80395988.115772009</v>
      </c>
      <c r="AL20" s="1518">
        <f t="shared" si="39"/>
        <v>4019799.4057886004</v>
      </c>
      <c r="AM20" s="1518">
        <f t="shared" si="15"/>
        <v>84415787.521560609</v>
      </c>
      <c r="AN20" s="1518">
        <f t="shared" si="40"/>
        <v>5826369.6756523177</v>
      </c>
      <c r="AO20" s="1518">
        <f t="shared" si="16"/>
        <v>78589417.845908284</v>
      </c>
      <c r="AQ20" s="924">
        <f t="shared" si="17"/>
        <v>5</v>
      </c>
      <c r="AR20" s="924">
        <v>0</v>
      </c>
      <c r="AS20" s="1518">
        <f t="shared" si="18"/>
        <v>40473441.523038998</v>
      </c>
      <c r="AT20" s="1518">
        <f t="shared" si="41"/>
        <v>2023672.0761519501</v>
      </c>
      <c r="AU20" s="1518">
        <f t="shared" si="19"/>
        <v>42497113.59919095</v>
      </c>
      <c r="AV20" s="1518">
        <f t="shared" si="42"/>
        <v>2933146.7637358401</v>
      </c>
      <c r="AW20" s="1518">
        <f t="shared" si="20"/>
        <v>39563966.835455112</v>
      </c>
      <c r="AY20" s="924">
        <f t="shared" si="21"/>
        <v>5</v>
      </c>
      <c r="AZ20" s="924">
        <v>0</v>
      </c>
      <c r="BA20" s="1518">
        <f t="shared" si="22"/>
        <v>41236219.118847266</v>
      </c>
      <c r="BB20" s="1518">
        <f t="shared" si="43"/>
        <v>2061810.9559423635</v>
      </c>
      <c r="BC20" s="1518">
        <f t="shared" si="23"/>
        <v>43298030.074789628</v>
      </c>
      <c r="BD20" s="1518">
        <f t="shared" si="44"/>
        <v>2988425.9431780349</v>
      </c>
      <c r="BE20" s="1518">
        <f t="shared" si="24"/>
        <v>40309604.131611593</v>
      </c>
      <c r="BG20" s="924">
        <f t="shared" si="25"/>
        <v>5</v>
      </c>
      <c r="BH20" s="924">
        <v>0</v>
      </c>
      <c r="BI20" s="1518">
        <f t="shared" si="26"/>
        <v>81730848.908436492</v>
      </c>
      <c r="BJ20" s="1518">
        <f t="shared" si="45"/>
        <v>4086542.4454218247</v>
      </c>
      <c r="BK20" s="1518">
        <f t="shared" si="27"/>
        <v>85817391.353858322</v>
      </c>
      <c r="BL20" s="1518">
        <f t="shared" si="46"/>
        <v>5923108.2396761589</v>
      </c>
      <c r="BM20" s="1518">
        <f t="shared" si="28"/>
        <v>79894283.114182159</v>
      </c>
    </row>
    <row r="21" spans="3:65" x14ac:dyDescent="0.2">
      <c r="C21" s="924">
        <v>6</v>
      </c>
      <c r="D21" s="924">
        <v>0</v>
      </c>
      <c r="E21" s="1518">
        <f t="shared" si="29"/>
        <v>40496013.455650724</v>
      </c>
      <c r="F21" s="1518">
        <f t="shared" si="31"/>
        <v>2024800.6727825364</v>
      </c>
      <c r="G21" s="1518">
        <f t="shared" si="0"/>
        <v>42520814.128433257</v>
      </c>
      <c r="H21" s="1518">
        <f t="shared" si="32"/>
        <v>3002245.7380385837</v>
      </c>
      <c r="I21" s="1518">
        <f t="shared" si="1"/>
        <v>39518568.390394673</v>
      </c>
      <c r="J21" s="924"/>
      <c r="K21" s="924">
        <f t="shared" si="2"/>
        <v>6</v>
      </c>
      <c r="L21" s="924">
        <v>0</v>
      </c>
      <c r="M21" s="1518">
        <f t="shared" si="30"/>
        <v>40309604.131611593</v>
      </c>
      <c r="N21" s="1518">
        <f t="shared" si="33"/>
        <v>2015480.2065805797</v>
      </c>
      <c r="O21" s="1518">
        <f t="shared" si="3"/>
        <v>42325084.338192172</v>
      </c>
      <c r="P21" s="1518">
        <f t="shared" si="34"/>
        <v>2988425.9431780349</v>
      </c>
      <c r="Q21" s="1518">
        <f t="shared" si="4"/>
        <v>39336658.395014137</v>
      </c>
      <c r="R21" s="924"/>
      <c r="S21" s="924">
        <f t="shared" si="5"/>
        <v>6</v>
      </c>
      <c r="T21" s="924">
        <v>0</v>
      </c>
      <c r="U21" s="1518">
        <f t="shared" si="6"/>
        <v>40496013.455650724</v>
      </c>
      <c r="V21" s="1518">
        <f t="shared" si="35"/>
        <v>2024800.6727825364</v>
      </c>
      <c r="W21" s="1518">
        <f t="shared" si="7"/>
        <v>42520814.128433257</v>
      </c>
      <c r="X21" s="1518">
        <f t="shared" si="36"/>
        <v>3002245.7380385837</v>
      </c>
      <c r="Y21" s="1518">
        <f t="shared" si="8"/>
        <v>39518568.390394673</v>
      </c>
      <c r="AA21" s="924">
        <f t="shared" si="9"/>
        <v>6</v>
      </c>
      <c r="AB21" s="924">
        <v>0</v>
      </c>
      <c r="AC21" s="1518">
        <f t="shared" si="10"/>
        <v>49257251.685489513</v>
      </c>
      <c r="AD21" s="1518">
        <f t="shared" si="37"/>
        <v>2462862.5842744759</v>
      </c>
      <c r="AE21" s="1518">
        <f t="shared" si="11"/>
        <v>51720114.269763991</v>
      </c>
      <c r="AF21" s="1518">
        <f t="shared" si="38"/>
        <v>3651776.0964843705</v>
      </c>
      <c r="AG21" s="1518">
        <f t="shared" si="12"/>
        <v>48068338.173279621</v>
      </c>
      <c r="AI21" s="924">
        <f t="shared" si="13"/>
        <v>6</v>
      </c>
      <c r="AJ21" s="924">
        <v>0</v>
      </c>
      <c r="AK21" s="1518">
        <f t="shared" si="14"/>
        <v>78589417.845908284</v>
      </c>
      <c r="AL21" s="1518">
        <f t="shared" si="39"/>
        <v>3929470.8922954146</v>
      </c>
      <c r="AM21" s="1518">
        <f t="shared" si="15"/>
        <v>82518888.738203704</v>
      </c>
      <c r="AN21" s="1518">
        <f t="shared" si="40"/>
        <v>5826369.6756523177</v>
      </c>
      <c r="AO21" s="1518">
        <f t="shared" si="16"/>
        <v>76692519.062551379</v>
      </c>
      <c r="AQ21" s="924">
        <f t="shared" si="17"/>
        <v>6</v>
      </c>
      <c r="AR21" s="924">
        <v>0</v>
      </c>
      <c r="AS21" s="1518">
        <f t="shared" si="18"/>
        <v>39563966.835455112</v>
      </c>
      <c r="AT21" s="1518">
        <f t="shared" si="41"/>
        <v>1978198.3417727556</v>
      </c>
      <c r="AU21" s="1518">
        <f t="shared" si="19"/>
        <v>41542165.17722787</v>
      </c>
      <c r="AV21" s="1518">
        <f t="shared" si="42"/>
        <v>2933146.7637358401</v>
      </c>
      <c r="AW21" s="1518">
        <f t="shared" si="20"/>
        <v>38609018.413492031</v>
      </c>
      <c r="AY21" s="924">
        <f t="shared" si="21"/>
        <v>6</v>
      </c>
      <c r="AZ21" s="924">
        <v>0</v>
      </c>
      <c r="BA21" s="1518">
        <f t="shared" si="22"/>
        <v>40309604.131611593</v>
      </c>
      <c r="BB21" s="1518">
        <f t="shared" si="43"/>
        <v>2015480.2065805797</v>
      </c>
      <c r="BC21" s="1518">
        <f t="shared" si="23"/>
        <v>42325084.338192172</v>
      </c>
      <c r="BD21" s="1518">
        <f t="shared" si="44"/>
        <v>2988425.9431780349</v>
      </c>
      <c r="BE21" s="1518">
        <f t="shared" si="24"/>
        <v>39336658.395014137</v>
      </c>
      <c r="BG21" s="924">
        <f t="shared" si="25"/>
        <v>6</v>
      </c>
      <c r="BH21" s="924">
        <v>0</v>
      </c>
      <c r="BI21" s="1518">
        <f t="shared" si="26"/>
        <v>79894283.114182159</v>
      </c>
      <c r="BJ21" s="1518">
        <f t="shared" si="45"/>
        <v>3994714.1557091083</v>
      </c>
      <c r="BK21" s="1518">
        <f t="shared" si="27"/>
        <v>83888997.269891262</v>
      </c>
      <c r="BL21" s="1518">
        <f t="shared" si="46"/>
        <v>5923108.2396761589</v>
      </c>
      <c r="BM21" s="1518">
        <f t="shared" si="28"/>
        <v>77965889.030215099</v>
      </c>
    </row>
    <row r="22" spans="3:65" x14ac:dyDescent="0.2">
      <c r="C22" s="924">
        <v>7</v>
      </c>
      <c r="D22" s="924">
        <v>0</v>
      </c>
      <c r="E22" s="1518">
        <f t="shared" si="29"/>
        <v>39518568.390394673</v>
      </c>
      <c r="F22" s="1518">
        <f t="shared" si="31"/>
        <v>1975928.4195197336</v>
      </c>
      <c r="G22" s="1518">
        <f t="shared" si="0"/>
        <v>41494496.80991441</v>
      </c>
      <c r="H22" s="1518">
        <f t="shared" si="32"/>
        <v>3002245.7380385837</v>
      </c>
      <c r="I22" s="1518">
        <f t="shared" si="1"/>
        <v>38492251.071875826</v>
      </c>
      <c r="J22" s="924"/>
      <c r="K22" s="924">
        <f t="shared" si="2"/>
        <v>7</v>
      </c>
      <c r="L22" s="924">
        <v>0</v>
      </c>
      <c r="M22" s="1518">
        <f t="shared" si="30"/>
        <v>39336658.395014137</v>
      </c>
      <c r="N22" s="1518">
        <f t="shared" si="33"/>
        <v>1966832.919750707</v>
      </c>
      <c r="O22" s="1518">
        <f t="shared" si="3"/>
        <v>41303491.314764842</v>
      </c>
      <c r="P22" s="1518">
        <f t="shared" si="34"/>
        <v>2988425.9431780349</v>
      </c>
      <c r="Q22" s="1518">
        <f t="shared" si="4"/>
        <v>38315065.371586807</v>
      </c>
      <c r="R22" s="924"/>
      <c r="S22" s="924">
        <f t="shared" si="5"/>
        <v>7</v>
      </c>
      <c r="T22" s="924">
        <v>0</v>
      </c>
      <c r="U22" s="1518">
        <f t="shared" si="6"/>
        <v>39518568.390394673</v>
      </c>
      <c r="V22" s="1518">
        <f t="shared" si="35"/>
        <v>1975928.4195197336</v>
      </c>
      <c r="W22" s="1518">
        <f t="shared" si="7"/>
        <v>41494496.80991441</v>
      </c>
      <c r="X22" s="1518">
        <f t="shared" si="36"/>
        <v>3002245.7380385837</v>
      </c>
      <c r="Y22" s="1518">
        <f t="shared" si="8"/>
        <v>38492251.071875826</v>
      </c>
      <c r="AA22" s="924">
        <f t="shared" si="9"/>
        <v>7</v>
      </c>
      <c r="AB22" s="924">
        <v>0</v>
      </c>
      <c r="AC22" s="1518">
        <f t="shared" si="10"/>
        <v>48068338.173279621</v>
      </c>
      <c r="AD22" s="1518">
        <f t="shared" si="37"/>
        <v>2403416.9086639811</v>
      </c>
      <c r="AE22" s="1518">
        <f t="shared" si="11"/>
        <v>50471755.081943601</v>
      </c>
      <c r="AF22" s="1518">
        <f t="shared" si="38"/>
        <v>3651776.0964843705</v>
      </c>
      <c r="AG22" s="1518">
        <f t="shared" si="12"/>
        <v>46819978.985459231</v>
      </c>
      <c r="AI22" s="924">
        <f t="shared" si="13"/>
        <v>7</v>
      </c>
      <c r="AJ22" s="924">
        <v>0</v>
      </c>
      <c r="AK22" s="1518">
        <f t="shared" si="14"/>
        <v>76692519.062551379</v>
      </c>
      <c r="AL22" s="1518">
        <f t="shared" si="39"/>
        <v>3834625.9531275691</v>
      </c>
      <c r="AM22" s="1518">
        <f t="shared" si="15"/>
        <v>80527145.015678942</v>
      </c>
      <c r="AN22" s="1518">
        <f t="shared" si="40"/>
        <v>5826369.6756523177</v>
      </c>
      <c r="AO22" s="1518">
        <f t="shared" si="16"/>
        <v>74700775.340026617</v>
      </c>
      <c r="AQ22" s="924">
        <f t="shared" si="17"/>
        <v>7</v>
      </c>
      <c r="AR22" s="924">
        <v>0</v>
      </c>
      <c r="AS22" s="1518">
        <f t="shared" si="18"/>
        <v>38609018.413492031</v>
      </c>
      <c r="AT22" s="1518">
        <f t="shared" si="41"/>
        <v>1930450.9206746016</v>
      </c>
      <c r="AU22" s="1518">
        <f t="shared" si="19"/>
        <v>40539469.334166631</v>
      </c>
      <c r="AV22" s="1518">
        <f t="shared" si="42"/>
        <v>2933146.7637358401</v>
      </c>
      <c r="AW22" s="1518">
        <f t="shared" si="20"/>
        <v>37606322.570430793</v>
      </c>
      <c r="AY22" s="924">
        <f t="shared" si="21"/>
        <v>7</v>
      </c>
      <c r="AZ22" s="924">
        <v>0</v>
      </c>
      <c r="BA22" s="1518">
        <f t="shared" si="22"/>
        <v>39336658.395014137</v>
      </c>
      <c r="BB22" s="1518">
        <f t="shared" si="43"/>
        <v>1966832.919750707</v>
      </c>
      <c r="BC22" s="1518">
        <f t="shared" si="23"/>
        <v>41303491.314764842</v>
      </c>
      <c r="BD22" s="1518">
        <f t="shared" si="44"/>
        <v>2988425.9431780349</v>
      </c>
      <c r="BE22" s="1518">
        <f t="shared" si="24"/>
        <v>38315065.371586807</v>
      </c>
      <c r="BG22" s="924">
        <f t="shared" si="25"/>
        <v>7</v>
      </c>
      <c r="BH22" s="924">
        <v>0</v>
      </c>
      <c r="BI22" s="1518">
        <f t="shared" si="26"/>
        <v>77965889.030215099</v>
      </c>
      <c r="BJ22" s="1518">
        <f t="shared" si="45"/>
        <v>3898294.4515107553</v>
      </c>
      <c r="BK22" s="1518">
        <f t="shared" si="27"/>
        <v>81864183.481725857</v>
      </c>
      <c r="BL22" s="1518">
        <f t="shared" si="46"/>
        <v>5923108.2396761589</v>
      </c>
      <c r="BM22" s="1518">
        <f t="shared" si="28"/>
        <v>75941075.242049694</v>
      </c>
    </row>
    <row r="23" spans="3:65" x14ac:dyDescent="0.2">
      <c r="C23" s="924">
        <v>8</v>
      </c>
      <c r="D23" s="924">
        <v>0</v>
      </c>
      <c r="E23" s="1518">
        <f t="shared" si="29"/>
        <v>38492251.071875826</v>
      </c>
      <c r="F23" s="1518">
        <f t="shared" si="31"/>
        <v>1924612.5535937913</v>
      </c>
      <c r="G23" s="1518">
        <f t="shared" si="0"/>
        <v>40416863.625469618</v>
      </c>
      <c r="H23" s="1518">
        <f t="shared" si="32"/>
        <v>3002245.7380385837</v>
      </c>
      <c r="I23" s="1518">
        <f t="shared" si="1"/>
        <v>37414617.887431033</v>
      </c>
      <c r="J23" s="924"/>
      <c r="K23" s="924">
        <f t="shared" si="2"/>
        <v>8</v>
      </c>
      <c r="L23" s="924">
        <v>0</v>
      </c>
      <c r="M23" s="1518">
        <f t="shared" si="30"/>
        <v>38315065.371586807</v>
      </c>
      <c r="N23" s="1518">
        <f t="shared" si="33"/>
        <v>1915753.2685793405</v>
      </c>
      <c r="O23" s="1518">
        <f t="shared" si="3"/>
        <v>40230818.640166149</v>
      </c>
      <c r="P23" s="1518">
        <f t="shared" si="34"/>
        <v>2988425.9431780349</v>
      </c>
      <c r="Q23" s="1518">
        <f t="shared" si="4"/>
        <v>37242392.696988113</v>
      </c>
      <c r="R23" s="924"/>
      <c r="S23" s="924">
        <f t="shared" si="5"/>
        <v>8</v>
      </c>
      <c r="T23" s="924">
        <v>0</v>
      </c>
      <c r="U23" s="1518">
        <f t="shared" si="6"/>
        <v>38492251.071875826</v>
      </c>
      <c r="V23" s="1518">
        <f t="shared" si="35"/>
        <v>1924612.5535937913</v>
      </c>
      <c r="W23" s="1518">
        <f t="shared" si="7"/>
        <v>40416863.625469618</v>
      </c>
      <c r="X23" s="1518">
        <f t="shared" si="36"/>
        <v>3002245.7380385837</v>
      </c>
      <c r="Y23" s="1518">
        <f t="shared" si="8"/>
        <v>37414617.887431033</v>
      </c>
      <c r="AA23" s="924">
        <f t="shared" si="9"/>
        <v>8</v>
      </c>
      <c r="AB23" s="924">
        <v>0</v>
      </c>
      <c r="AC23" s="1518">
        <f t="shared" si="10"/>
        <v>46819978.985459231</v>
      </c>
      <c r="AD23" s="1518">
        <f t="shared" si="37"/>
        <v>2340998.9492729618</v>
      </c>
      <c r="AE23" s="1518">
        <f t="shared" si="11"/>
        <v>49160977.934732191</v>
      </c>
      <c r="AF23" s="1518">
        <f t="shared" si="38"/>
        <v>3651776.0964843705</v>
      </c>
      <c r="AG23" s="1518">
        <f t="shared" si="12"/>
        <v>45509201.838247821</v>
      </c>
      <c r="AI23" s="924">
        <f t="shared" si="13"/>
        <v>8</v>
      </c>
      <c r="AJ23" s="924">
        <v>0</v>
      </c>
      <c r="AK23" s="1518">
        <f t="shared" si="14"/>
        <v>74700775.340026617</v>
      </c>
      <c r="AL23" s="1518">
        <f t="shared" si="39"/>
        <v>3735038.7670013309</v>
      </c>
      <c r="AM23" s="1518">
        <f t="shared" si="15"/>
        <v>78435814.107027948</v>
      </c>
      <c r="AN23" s="1518">
        <f t="shared" si="40"/>
        <v>5826369.6756523177</v>
      </c>
      <c r="AO23" s="1518">
        <f t="shared" si="16"/>
        <v>72609444.431375623</v>
      </c>
      <c r="AQ23" s="924">
        <f t="shared" si="17"/>
        <v>8</v>
      </c>
      <c r="AR23" s="924">
        <v>0</v>
      </c>
      <c r="AS23" s="1518">
        <f t="shared" si="18"/>
        <v>37606322.570430793</v>
      </c>
      <c r="AT23" s="1518">
        <f t="shared" si="41"/>
        <v>1880316.1285215397</v>
      </c>
      <c r="AU23" s="1518">
        <f t="shared" si="19"/>
        <v>39486638.698952332</v>
      </c>
      <c r="AV23" s="1518">
        <f t="shared" si="42"/>
        <v>2933146.7637358401</v>
      </c>
      <c r="AW23" s="1518">
        <f t="shared" si="20"/>
        <v>36553491.935216494</v>
      </c>
      <c r="AY23" s="924">
        <f t="shared" si="21"/>
        <v>8</v>
      </c>
      <c r="AZ23" s="924">
        <v>0</v>
      </c>
      <c r="BA23" s="1518">
        <f t="shared" si="22"/>
        <v>38315065.371586807</v>
      </c>
      <c r="BB23" s="1518">
        <f t="shared" si="43"/>
        <v>1915753.2685793405</v>
      </c>
      <c r="BC23" s="1518">
        <f t="shared" si="23"/>
        <v>40230818.640166149</v>
      </c>
      <c r="BD23" s="1518">
        <f t="shared" si="44"/>
        <v>2988425.9431780349</v>
      </c>
      <c r="BE23" s="1518">
        <f t="shared" si="24"/>
        <v>37242392.696988113</v>
      </c>
      <c r="BG23" s="924">
        <f t="shared" si="25"/>
        <v>8</v>
      </c>
      <c r="BH23" s="924">
        <v>0</v>
      </c>
      <c r="BI23" s="1518">
        <f t="shared" si="26"/>
        <v>75941075.242049694</v>
      </c>
      <c r="BJ23" s="1518">
        <f t="shared" si="45"/>
        <v>3797053.7621024847</v>
      </c>
      <c r="BK23" s="1518">
        <f t="shared" si="27"/>
        <v>79738129.004152179</v>
      </c>
      <c r="BL23" s="1518">
        <f t="shared" si="46"/>
        <v>5923108.2396761589</v>
      </c>
      <c r="BM23" s="1518">
        <f t="shared" si="28"/>
        <v>73815020.764476016</v>
      </c>
    </row>
    <row r="24" spans="3:65" x14ac:dyDescent="0.2">
      <c r="C24" s="924">
        <v>9</v>
      </c>
      <c r="D24" s="924">
        <v>0</v>
      </c>
      <c r="E24" s="1518">
        <f t="shared" si="29"/>
        <v>37414617.887431033</v>
      </c>
      <c r="F24" s="1518">
        <f t="shared" si="31"/>
        <v>1870730.8943715517</v>
      </c>
      <c r="G24" s="1518">
        <f t="shared" si="0"/>
        <v>39285348.781802587</v>
      </c>
      <c r="H24" s="1518">
        <f t="shared" si="32"/>
        <v>3002245.7380385837</v>
      </c>
      <c r="I24" s="1518">
        <f t="shared" si="1"/>
        <v>36283103.043764003</v>
      </c>
      <c r="J24" s="924"/>
      <c r="K24" s="924">
        <f t="shared" si="2"/>
        <v>9</v>
      </c>
      <c r="L24" s="924">
        <v>0</v>
      </c>
      <c r="M24" s="1518">
        <f t="shared" si="30"/>
        <v>37242392.696988113</v>
      </c>
      <c r="N24" s="1518">
        <f t="shared" si="33"/>
        <v>1862119.6348494058</v>
      </c>
      <c r="O24" s="1518">
        <f t="shared" si="3"/>
        <v>39104512.33183752</v>
      </c>
      <c r="P24" s="1518">
        <f t="shared" si="34"/>
        <v>2988425.9431780349</v>
      </c>
      <c r="Q24" s="1518">
        <f t="shared" si="4"/>
        <v>36116086.388659485</v>
      </c>
      <c r="R24" s="924"/>
      <c r="S24" s="924">
        <f t="shared" si="5"/>
        <v>9</v>
      </c>
      <c r="T24" s="924">
        <v>0</v>
      </c>
      <c r="U24" s="1518">
        <f t="shared" si="6"/>
        <v>37414617.887431033</v>
      </c>
      <c r="V24" s="1518">
        <f t="shared" si="35"/>
        <v>1870730.8943715517</v>
      </c>
      <c r="W24" s="1518">
        <f t="shared" si="7"/>
        <v>39285348.781802587</v>
      </c>
      <c r="X24" s="1518">
        <f t="shared" si="36"/>
        <v>3002245.7380385837</v>
      </c>
      <c r="Y24" s="1518">
        <f t="shared" si="8"/>
        <v>36283103.043764003</v>
      </c>
      <c r="AA24" s="924">
        <f t="shared" si="9"/>
        <v>9</v>
      </c>
      <c r="AB24" s="924">
        <v>0</v>
      </c>
      <c r="AC24" s="1518">
        <f t="shared" si="10"/>
        <v>45509201.838247821</v>
      </c>
      <c r="AD24" s="1518">
        <f t="shared" si="37"/>
        <v>2275460.0919123911</v>
      </c>
      <c r="AE24" s="1518">
        <f t="shared" si="11"/>
        <v>47784661.93016021</v>
      </c>
      <c r="AF24" s="1518">
        <f t="shared" si="38"/>
        <v>3651776.0964843705</v>
      </c>
      <c r="AG24" s="1518">
        <f t="shared" si="12"/>
        <v>44132885.833675839</v>
      </c>
      <c r="AI24" s="924">
        <f t="shared" si="13"/>
        <v>9</v>
      </c>
      <c r="AJ24" s="924">
        <v>0</v>
      </c>
      <c r="AK24" s="1518">
        <f t="shared" si="14"/>
        <v>72609444.431375623</v>
      </c>
      <c r="AL24" s="1518">
        <f t="shared" si="39"/>
        <v>3630472.2215687814</v>
      </c>
      <c r="AM24" s="1518">
        <f t="shared" si="15"/>
        <v>76239916.652944401</v>
      </c>
      <c r="AN24" s="1518">
        <f t="shared" si="40"/>
        <v>5826369.6756523177</v>
      </c>
      <c r="AO24" s="1518">
        <f t="shared" si="16"/>
        <v>70413546.977292091</v>
      </c>
      <c r="AQ24" s="924">
        <f t="shared" si="17"/>
        <v>9</v>
      </c>
      <c r="AR24" s="924">
        <v>0</v>
      </c>
      <c r="AS24" s="1518">
        <f t="shared" si="18"/>
        <v>36553491.935216494</v>
      </c>
      <c r="AT24" s="1518">
        <f t="shared" si="41"/>
        <v>1827674.5967608248</v>
      </c>
      <c r="AU24" s="1518">
        <f t="shared" si="19"/>
        <v>38381166.531977318</v>
      </c>
      <c r="AV24" s="1518">
        <f t="shared" si="42"/>
        <v>2933146.7637358401</v>
      </c>
      <c r="AW24" s="1518">
        <f t="shared" si="20"/>
        <v>35448019.76824148</v>
      </c>
      <c r="AY24" s="924">
        <f t="shared" si="21"/>
        <v>9</v>
      </c>
      <c r="AZ24" s="924">
        <v>0</v>
      </c>
      <c r="BA24" s="1518">
        <f t="shared" si="22"/>
        <v>37242392.696988113</v>
      </c>
      <c r="BB24" s="1518">
        <f t="shared" si="43"/>
        <v>1862119.6348494058</v>
      </c>
      <c r="BC24" s="1518">
        <f t="shared" si="23"/>
        <v>39104512.33183752</v>
      </c>
      <c r="BD24" s="1518">
        <f t="shared" si="44"/>
        <v>2988425.9431780349</v>
      </c>
      <c r="BE24" s="1518">
        <f t="shared" si="24"/>
        <v>36116086.388659485</v>
      </c>
      <c r="BG24" s="924">
        <f t="shared" si="25"/>
        <v>9</v>
      </c>
      <c r="BH24" s="924">
        <v>0</v>
      </c>
      <c r="BI24" s="1518">
        <f t="shared" si="26"/>
        <v>73815020.764476016</v>
      </c>
      <c r="BJ24" s="1518">
        <f t="shared" si="45"/>
        <v>3690751.0382238012</v>
      </c>
      <c r="BK24" s="1518">
        <f t="shared" si="27"/>
        <v>77505771.802699819</v>
      </c>
      <c r="BL24" s="1518">
        <f t="shared" si="46"/>
        <v>5923108.2396761589</v>
      </c>
      <c r="BM24" s="1518">
        <f t="shared" si="28"/>
        <v>71582663.563023657</v>
      </c>
    </row>
    <row r="25" spans="3:65" x14ac:dyDescent="0.2">
      <c r="C25" s="924">
        <v>10</v>
      </c>
      <c r="D25" s="924">
        <v>0</v>
      </c>
      <c r="E25" s="1518">
        <f t="shared" si="29"/>
        <v>36283103.043764003</v>
      </c>
      <c r="F25" s="1518">
        <f t="shared" si="31"/>
        <v>1814155.1521882003</v>
      </c>
      <c r="G25" s="1518">
        <f t="shared" si="0"/>
        <v>38097258.195952199</v>
      </c>
      <c r="H25" s="1518">
        <f t="shared" si="32"/>
        <v>3002245.7380385837</v>
      </c>
      <c r="I25" s="1518">
        <f t="shared" si="1"/>
        <v>35095012.457913615</v>
      </c>
      <c r="J25" s="924"/>
      <c r="K25" s="924">
        <f t="shared" si="2"/>
        <v>10</v>
      </c>
      <c r="L25" s="924">
        <v>0</v>
      </c>
      <c r="M25" s="1518">
        <f t="shared" si="30"/>
        <v>36116086.388659485</v>
      </c>
      <c r="N25" s="1518">
        <f t="shared" si="33"/>
        <v>1805804.3194329743</v>
      </c>
      <c r="O25" s="1518">
        <f t="shared" si="3"/>
        <v>37921890.708092459</v>
      </c>
      <c r="P25" s="1518">
        <f t="shared" si="34"/>
        <v>2988425.9431780349</v>
      </c>
      <c r="Q25" s="1518">
        <f t="shared" si="4"/>
        <v>34933464.764914423</v>
      </c>
      <c r="R25" s="924"/>
      <c r="S25" s="924">
        <f t="shared" si="5"/>
        <v>10</v>
      </c>
      <c r="T25" s="924">
        <v>0</v>
      </c>
      <c r="U25" s="1518">
        <f t="shared" si="6"/>
        <v>36283103.043764003</v>
      </c>
      <c r="V25" s="1518">
        <f t="shared" si="35"/>
        <v>1814155.1521882003</v>
      </c>
      <c r="W25" s="1518">
        <f t="shared" si="7"/>
        <v>38097258.195952199</v>
      </c>
      <c r="X25" s="1518">
        <f t="shared" si="36"/>
        <v>3002245.7380385837</v>
      </c>
      <c r="Y25" s="1518">
        <f t="shared" si="8"/>
        <v>35095012.457913615</v>
      </c>
      <c r="AA25" s="924">
        <f t="shared" si="9"/>
        <v>10</v>
      </c>
      <c r="AB25" s="924">
        <v>0</v>
      </c>
      <c r="AC25" s="1518">
        <f t="shared" si="10"/>
        <v>44132885.833675839</v>
      </c>
      <c r="AD25" s="1518">
        <f t="shared" si="37"/>
        <v>2206644.2916837921</v>
      </c>
      <c r="AE25" s="1518">
        <f t="shared" si="11"/>
        <v>46339530.125359632</v>
      </c>
      <c r="AF25" s="1518">
        <f t="shared" si="38"/>
        <v>3651776.0964843705</v>
      </c>
      <c r="AG25" s="1518">
        <f t="shared" si="12"/>
        <v>42687754.028875262</v>
      </c>
      <c r="AI25" s="924">
        <f t="shared" si="13"/>
        <v>10</v>
      </c>
      <c r="AJ25" s="924">
        <v>0</v>
      </c>
      <c r="AK25" s="1518">
        <f t="shared" si="14"/>
        <v>70413546.977292091</v>
      </c>
      <c r="AL25" s="1518">
        <f t="shared" si="39"/>
        <v>3520677.3488646047</v>
      </c>
      <c r="AM25" s="1518">
        <f t="shared" si="15"/>
        <v>73934224.326156691</v>
      </c>
      <c r="AN25" s="1518">
        <f t="shared" si="40"/>
        <v>5826369.6756523177</v>
      </c>
      <c r="AO25" s="1518">
        <f t="shared" si="16"/>
        <v>68107854.65050438</v>
      </c>
      <c r="AQ25" s="924">
        <f t="shared" si="17"/>
        <v>10</v>
      </c>
      <c r="AR25" s="924">
        <v>0</v>
      </c>
      <c r="AS25" s="1518">
        <f t="shared" si="18"/>
        <v>35448019.76824148</v>
      </c>
      <c r="AT25" s="1518">
        <f t="shared" si="41"/>
        <v>1772400.988412074</v>
      </c>
      <c r="AU25" s="1518">
        <f t="shared" si="19"/>
        <v>37220420.756653555</v>
      </c>
      <c r="AV25" s="1518">
        <f t="shared" si="42"/>
        <v>2933146.7637358401</v>
      </c>
      <c r="AW25" s="1518">
        <f t="shared" si="20"/>
        <v>34287273.992917717</v>
      </c>
      <c r="AY25" s="924">
        <f t="shared" si="21"/>
        <v>10</v>
      </c>
      <c r="AZ25" s="924">
        <v>0</v>
      </c>
      <c r="BA25" s="1518">
        <f t="shared" si="22"/>
        <v>36116086.388659485</v>
      </c>
      <c r="BB25" s="1518">
        <f t="shared" si="43"/>
        <v>1805804.3194329743</v>
      </c>
      <c r="BC25" s="1518">
        <f t="shared" si="23"/>
        <v>37921890.708092459</v>
      </c>
      <c r="BD25" s="1518">
        <f t="shared" si="44"/>
        <v>2988425.9431780349</v>
      </c>
      <c r="BE25" s="1518">
        <f t="shared" si="24"/>
        <v>34933464.764914423</v>
      </c>
      <c r="BG25" s="924">
        <f t="shared" si="25"/>
        <v>10</v>
      </c>
      <c r="BH25" s="924">
        <v>0</v>
      </c>
      <c r="BI25" s="1518">
        <f t="shared" si="26"/>
        <v>71582663.563023657</v>
      </c>
      <c r="BJ25" s="1518">
        <f t="shared" si="45"/>
        <v>3579133.1781511828</v>
      </c>
      <c r="BK25" s="1518">
        <f t="shared" si="27"/>
        <v>75161796.741174847</v>
      </c>
      <c r="BL25" s="1518">
        <f t="shared" si="46"/>
        <v>5923108.2396761589</v>
      </c>
      <c r="BM25" s="1518">
        <f t="shared" si="28"/>
        <v>69238688.501498684</v>
      </c>
    </row>
    <row r="26" spans="3:65" x14ac:dyDescent="0.2">
      <c r="C26" s="924">
        <v>11</v>
      </c>
      <c r="D26" s="924">
        <v>0</v>
      </c>
      <c r="E26" s="1518">
        <f t="shared" si="29"/>
        <v>35095012.457913615</v>
      </c>
      <c r="F26" s="1518">
        <f t="shared" si="31"/>
        <v>1754750.6228956808</v>
      </c>
      <c r="G26" s="1518">
        <f t="shared" si="0"/>
        <v>36849763.080809295</v>
      </c>
      <c r="H26" s="1518">
        <f t="shared" si="32"/>
        <v>3002245.7380385837</v>
      </c>
      <c r="I26" s="1518">
        <f t="shared" si="1"/>
        <v>33847517.342770711</v>
      </c>
      <c r="J26" s="924"/>
      <c r="K26" s="924">
        <f t="shared" si="2"/>
        <v>11</v>
      </c>
      <c r="L26" s="924">
        <v>0</v>
      </c>
      <c r="M26" s="1518">
        <f t="shared" si="30"/>
        <v>34933464.764914423</v>
      </c>
      <c r="N26" s="1518">
        <f t="shared" si="33"/>
        <v>1746673.2382457212</v>
      </c>
      <c r="O26" s="1518">
        <f t="shared" si="3"/>
        <v>36680138.003160141</v>
      </c>
      <c r="P26" s="1518">
        <f t="shared" si="34"/>
        <v>2988425.9431780349</v>
      </c>
      <c r="Q26" s="1518">
        <f t="shared" si="4"/>
        <v>33691712.059982106</v>
      </c>
      <c r="R26" s="924"/>
      <c r="S26" s="924">
        <f t="shared" si="5"/>
        <v>11</v>
      </c>
      <c r="T26" s="924">
        <v>0</v>
      </c>
      <c r="U26" s="1518">
        <f t="shared" si="6"/>
        <v>35095012.457913615</v>
      </c>
      <c r="V26" s="1518">
        <f t="shared" si="35"/>
        <v>1754750.6228956808</v>
      </c>
      <c r="W26" s="1518">
        <f t="shared" si="7"/>
        <v>36849763.080809295</v>
      </c>
      <c r="X26" s="1518">
        <f t="shared" si="36"/>
        <v>3002245.7380385837</v>
      </c>
      <c r="Y26" s="1518">
        <f t="shared" si="8"/>
        <v>33847517.342770711</v>
      </c>
      <c r="AA26" s="924">
        <f t="shared" si="9"/>
        <v>11</v>
      </c>
      <c r="AB26" s="924">
        <v>0</v>
      </c>
      <c r="AC26" s="1518">
        <f t="shared" si="10"/>
        <v>42687754.028875262</v>
      </c>
      <c r="AD26" s="1518">
        <f t="shared" si="37"/>
        <v>2134387.701443763</v>
      </c>
      <c r="AE26" s="1518">
        <f t="shared" si="11"/>
        <v>44822141.730319023</v>
      </c>
      <c r="AF26" s="1518">
        <f t="shared" si="38"/>
        <v>3651776.0964843705</v>
      </c>
      <c r="AG26" s="1518">
        <f t="shared" si="12"/>
        <v>41170365.633834653</v>
      </c>
      <c r="AI26" s="924">
        <f t="shared" si="13"/>
        <v>11</v>
      </c>
      <c r="AJ26" s="924">
        <v>0</v>
      </c>
      <c r="AK26" s="1518">
        <f t="shared" si="14"/>
        <v>68107854.65050438</v>
      </c>
      <c r="AL26" s="1518">
        <f t="shared" si="39"/>
        <v>3405392.7325252192</v>
      </c>
      <c r="AM26" s="1518">
        <f t="shared" si="15"/>
        <v>71513247.383029595</v>
      </c>
      <c r="AN26" s="1518">
        <f t="shared" si="40"/>
        <v>5826369.6756523177</v>
      </c>
      <c r="AO26" s="1518">
        <f t="shared" si="16"/>
        <v>65686877.707377277</v>
      </c>
      <c r="AQ26" s="924">
        <f t="shared" si="17"/>
        <v>11</v>
      </c>
      <c r="AR26" s="924">
        <v>0</v>
      </c>
      <c r="AS26" s="1518">
        <f t="shared" si="18"/>
        <v>34287273.992917717</v>
      </c>
      <c r="AT26" s="1518">
        <f t="shared" si="41"/>
        <v>1714363.699645886</v>
      </c>
      <c r="AU26" s="1518">
        <f t="shared" si="19"/>
        <v>36001637.692563601</v>
      </c>
      <c r="AV26" s="1518">
        <f t="shared" si="42"/>
        <v>2933146.7637358401</v>
      </c>
      <c r="AW26" s="1518">
        <f t="shared" si="20"/>
        <v>33068490.928827763</v>
      </c>
      <c r="AY26" s="924">
        <f t="shared" si="21"/>
        <v>11</v>
      </c>
      <c r="AZ26" s="924">
        <v>0</v>
      </c>
      <c r="BA26" s="1518">
        <f t="shared" si="22"/>
        <v>34933464.764914423</v>
      </c>
      <c r="BB26" s="1518">
        <f t="shared" si="43"/>
        <v>1746673.2382457212</v>
      </c>
      <c r="BC26" s="1518">
        <f t="shared" si="23"/>
        <v>36680138.003160141</v>
      </c>
      <c r="BD26" s="1518">
        <f t="shared" si="44"/>
        <v>2988425.9431780349</v>
      </c>
      <c r="BE26" s="1518">
        <f t="shared" si="24"/>
        <v>33691712.059982106</v>
      </c>
      <c r="BG26" s="924">
        <f t="shared" si="25"/>
        <v>11</v>
      </c>
      <c r="BH26" s="924">
        <v>0</v>
      </c>
      <c r="BI26" s="1518">
        <f t="shared" si="26"/>
        <v>69238688.501498684</v>
      </c>
      <c r="BJ26" s="1518">
        <f t="shared" si="45"/>
        <v>3461934.4250749345</v>
      </c>
      <c r="BK26" s="1518">
        <f t="shared" si="27"/>
        <v>72700622.926573619</v>
      </c>
      <c r="BL26" s="1518">
        <f t="shared" si="46"/>
        <v>5923108.2396761589</v>
      </c>
      <c r="BM26" s="1518">
        <f t="shared" si="28"/>
        <v>66777514.686897457</v>
      </c>
    </row>
    <row r="27" spans="3:65" x14ac:dyDescent="0.2">
      <c r="C27" s="924">
        <v>12</v>
      </c>
      <c r="D27" s="924">
        <v>0</v>
      </c>
      <c r="E27" s="1518">
        <f t="shared" si="29"/>
        <v>33847517.342770711</v>
      </c>
      <c r="F27" s="1518">
        <f t="shared" si="31"/>
        <v>1692375.8671385357</v>
      </c>
      <c r="G27" s="1518">
        <f t="shared" si="0"/>
        <v>35539893.209909245</v>
      </c>
      <c r="H27" s="1518">
        <f t="shared" si="32"/>
        <v>3002245.7380385837</v>
      </c>
      <c r="I27" s="1518">
        <f t="shared" si="1"/>
        <v>32537647.471870661</v>
      </c>
      <c r="J27" s="924"/>
      <c r="K27" s="924">
        <f t="shared" si="2"/>
        <v>12</v>
      </c>
      <c r="L27" s="924">
        <v>0</v>
      </c>
      <c r="M27" s="1518">
        <f t="shared" si="30"/>
        <v>33691712.059982106</v>
      </c>
      <c r="N27" s="1518">
        <f t="shared" si="33"/>
        <v>1684585.6029991054</v>
      </c>
      <c r="O27" s="1518">
        <f t="shared" si="3"/>
        <v>35376297.662981212</v>
      </c>
      <c r="P27" s="1518">
        <f t="shared" si="34"/>
        <v>2988425.9431780349</v>
      </c>
      <c r="Q27" s="1518">
        <f t="shared" si="4"/>
        <v>32387871.719803177</v>
      </c>
      <c r="R27" s="924"/>
      <c r="S27" s="924">
        <f t="shared" si="5"/>
        <v>12</v>
      </c>
      <c r="T27" s="924">
        <v>0</v>
      </c>
      <c r="U27" s="1518">
        <f t="shared" si="6"/>
        <v>33847517.342770711</v>
      </c>
      <c r="V27" s="1518">
        <f t="shared" si="35"/>
        <v>1692375.8671385357</v>
      </c>
      <c r="W27" s="1518">
        <f t="shared" si="7"/>
        <v>35539893.209909245</v>
      </c>
      <c r="X27" s="1518">
        <f t="shared" si="36"/>
        <v>3002245.7380385837</v>
      </c>
      <c r="Y27" s="1518">
        <f t="shared" si="8"/>
        <v>32537647.471870661</v>
      </c>
      <c r="AA27" s="924">
        <f t="shared" si="9"/>
        <v>12</v>
      </c>
      <c r="AB27" s="924">
        <v>0</v>
      </c>
      <c r="AC27" s="1518">
        <f t="shared" si="10"/>
        <v>41170365.633834653</v>
      </c>
      <c r="AD27" s="1518">
        <f t="shared" si="37"/>
        <v>2058518.2816917328</v>
      </c>
      <c r="AE27" s="1518">
        <f t="shared" si="11"/>
        <v>43228883.915526383</v>
      </c>
      <c r="AF27" s="1518">
        <f t="shared" si="38"/>
        <v>3651776.0964843705</v>
      </c>
      <c r="AG27" s="1518">
        <f t="shared" si="12"/>
        <v>39577107.819042012</v>
      </c>
      <c r="AI27" s="924">
        <f t="shared" si="13"/>
        <v>12</v>
      </c>
      <c r="AJ27" s="924">
        <v>0</v>
      </c>
      <c r="AK27" s="1518">
        <f t="shared" si="14"/>
        <v>65686877.707377277</v>
      </c>
      <c r="AL27" s="1518">
        <f t="shared" si="39"/>
        <v>3284343.8853688641</v>
      </c>
      <c r="AM27" s="1518">
        <f t="shared" si="15"/>
        <v>68971221.592746139</v>
      </c>
      <c r="AN27" s="1518">
        <f t="shared" si="40"/>
        <v>5826369.6756523177</v>
      </c>
      <c r="AO27" s="1518">
        <f t="shared" si="16"/>
        <v>63144851.917093821</v>
      </c>
      <c r="AQ27" s="924">
        <f t="shared" si="17"/>
        <v>12</v>
      </c>
      <c r="AR27" s="924">
        <v>0</v>
      </c>
      <c r="AS27" s="1518">
        <f t="shared" si="18"/>
        <v>33068490.928827763</v>
      </c>
      <c r="AT27" s="1518">
        <f t="shared" si="41"/>
        <v>1653424.5464413883</v>
      </c>
      <c r="AU27" s="1518">
        <f t="shared" si="19"/>
        <v>34721915.475269154</v>
      </c>
      <c r="AV27" s="1518">
        <f t="shared" si="42"/>
        <v>2933146.7637358401</v>
      </c>
      <c r="AW27" s="1518">
        <f t="shared" si="20"/>
        <v>31788768.711533315</v>
      </c>
      <c r="AY27" s="924">
        <f t="shared" si="21"/>
        <v>12</v>
      </c>
      <c r="AZ27" s="924">
        <v>0</v>
      </c>
      <c r="BA27" s="1518">
        <f t="shared" si="22"/>
        <v>33691712.059982106</v>
      </c>
      <c r="BB27" s="1518">
        <f t="shared" si="43"/>
        <v>1684585.6029991054</v>
      </c>
      <c r="BC27" s="1518">
        <f t="shared" si="23"/>
        <v>35376297.662981212</v>
      </c>
      <c r="BD27" s="1518">
        <f t="shared" si="44"/>
        <v>2988425.9431780349</v>
      </c>
      <c r="BE27" s="1518">
        <f t="shared" si="24"/>
        <v>32387871.719803177</v>
      </c>
      <c r="BG27" s="924">
        <f t="shared" si="25"/>
        <v>12</v>
      </c>
      <c r="BH27" s="924">
        <v>0</v>
      </c>
      <c r="BI27" s="1518">
        <f t="shared" si="26"/>
        <v>66777514.686897457</v>
      </c>
      <c r="BJ27" s="1518">
        <f t="shared" si="45"/>
        <v>3338875.7343448731</v>
      </c>
      <c r="BK27" s="1518">
        <f t="shared" si="27"/>
        <v>70116390.421242326</v>
      </c>
      <c r="BL27" s="1518">
        <f t="shared" si="46"/>
        <v>5923108.2396761589</v>
      </c>
      <c r="BM27" s="1518">
        <f t="shared" si="28"/>
        <v>64193282.181566164</v>
      </c>
    </row>
    <row r="28" spans="3:65" x14ac:dyDescent="0.2">
      <c r="C28" s="924">
        <v>13</v>
      </c>
      <c r="D28" s="924">
        <v>0</v>
      </c>
      <c r="E28" s="1518">
        <f t="shared" si="29"/>
        <v>32537647.471870661</v>
      </c>
      <c r="F28" s="1518">
        <f t="shared" si="31"/>
        <v>1626882.3735935332</v>
      </c>
      <c r="G28" s="1518">
        <f t="shared" si="0"/>
        <v>34164529.845464192</v>
      </c>
      <c r="H28" s="1518">
        <f t="shared" si="32"/>
        <v>3002245.7380385837</v>
      </c>
      <c r="I28" s="1518">
        <f t="shared" si="1"/>
        <v>31162284.107425608</v>
      </c>
      <c r="J28" s="924"/>
      <c r="K28" s="924">
        <f t="shared" si="2"/>
        <v>13</v>
      </c>
      <c r="L28" s="924">
        <v>0</v>
      </c>
      <c r="M28" s="1518">
        <f t="shared" si="30"/>
        <v>32387871.719803177</v>
      </c>
      <c r="N28" s="1518">
        <f t="shared" si="33"/>
        <v>1619393.5859901588</v>
      </c>
      <c r="O28" s="1518">
        <f t="shared" si="3"/>
        <v>34007265.305793338</v>
      </c>
      <c r="P28" s="1518">
        <f t="shared" si="34"/>
        <v>2988425.9431780349</v>
      </c>
      <c r="Q28" s="1518">
        <f t="shared" si="4"/>
        <v>31018839.362615302</v>
      </c>
      <c r="R28" s="924"/>
      <c r="S28" s="924">
        <f t="shared" si="5"/>
        <v>13</v>
      </c>
      <c r="T28" s="924">
        <v>0</v>
      </c>
      <c r="U28" s="1518">
        <f t="shared" si="6"/>
        <v>32537647.471870661</v>
      </c>
      <c r="V28" s="1518">
        <f t="shared" si="35"/>
        <v>1626882.3735935332</v>
      </c>
      <c r="W28" s="1518">
        <f t="shared" si="7"/>
        <v>34164529.845464192</v>
      </c>
      <c r="X28" s="1518">
        <f t="shared" si="36"/>
        <v>3002245.7380385837</v>
      </c>
      <c r="Y28" s="1518">
        <f t="shared" si="8"/>
        <v>31162284.107425608</v>
      </c>
      <c r="AA28" s="924">
        <f t="shared" si="9"/>
        <v>13</v>
      </c>
      <c r="AB28" s="924">
        <v>0</v>
      </c>
      <c r="AC28" s="1518">
        <f t="shared" si="10"/>
        <v>39577107.819042012</v>
      </c>
      <c r="AD28" s="1518">
        <f t="shared" si="37"/>
        <v>1978855.3909521007</v>
      </c>
      <c r="AE28" s="1518">
        <f t="shared" si="11"/>
        <v>41555963.209994115</v>
      </c>
      <c r="AF28" s="1518">
        <f t="shared" si="38"/>
        <v>3651776.0964843705</v>
      </c>
      <c r="AG28" s="1518">
        <f t="shared" si="12"/>
        <v>37904187.113509744</v>
      </c>
      <c r="AI28" s="924">
        <f t="shared" si="13"/>
        <v>13</v>
      </c>
      <c r="AJ28" s="924">
        <v>0</v>
      </c>
      <c r="AK28" s="1518">
        <f t="shared" si="14"/>
        <v>63144851.917093821</v>
      </c>
      <c r="AL28" s="1518">
        <f t="shared" si="39"/>
        <v>3157242.5958546912</v>
      </c>
      <c r="AM28" s="1518">
        <f t="shared" si="15"/>
        <v>66302094.512948513</v>
      </c>
      <c r="AN28" s="1518">
        <f t="shared" si="40"/>
        <v>5826369.6756523177</v>
      </c>
      <c r="AO28" s="1518">
        <f t="shared" si="16"/>
        <v>60475724.837296195</v>
      </c>
      <c r="AQ28" s="924">
        <f t="shared" si="17"/>
        <v>13</v>
      </c>
      <c r="AR28" s="924">
        <v>0</v>
      </c>
      <c r="AS28" s="1518">
        <f t="shared" si="18"/>
        <v>31788768.711533315</v>
      </c>
      <c r="AT28" s="1518">
        <f t="shared" si="41"/>
        <v>1589438.4355766659</v>
      </c>
      <c r="AU28" s="1518">
        <f t="shared" si="19"/>
        <v>33378207.147109982</v>
      </c>
      <c r="AV28" s="1518">
        <f t="shared" si="42"/>
        <v>2933146.7637358401</v>
      </c>
      <c r="AW28" s="1518">
        <f t="shared" si="20"/>
        <v>30445060.38337414</v>
      </c>
      <c r="AY28" s="924">
        <f t="shared" si="21"/>
        <v>13</v>
      </c>
      <c r="AZ28" s="924">
        <v>0</v>
      </c>
      <c r="BA28" s="1518">
        <f t="shared" si="22"/>
        <v>32387871.719803177</v>
      </c>
      <c r="BB28" s="1518">
        <f t="shared" si="43"/>
        <v>1619393.5859901588</v>
      </c>
      <c r="BC28" s="1518">
        <f t="shared" si="23"/>
        <v>34007265.305793338</v>
      </c>
      <c r="BD28" s="1518">
        <f t="shared" si="44"/>
        <v>2988425.9431780349</v>
      </c>
      <c r="BE28" s="1518">
        <f t="shared" si="24"/>
        <v>31018839.362615302</v>
      </c>
      <c r="BG28" s="924">
        <f t="shared" si="25"/>
        <v>13</v>
      </c>
      <c r="BH28" s="924">
        <v>0</v>
      </c>
      <c r="BI28" s="1518">
        <f t="shared" si="26"/>
        <v>64193282.181566164</v>
      </c>
      <c r="BJ28" s="1518">
        <f t="shared" si="45"/>
        <v>3209664.1090783086</v>
      </c>
      <c r="BK28" s="1518">
        <f t="shared" si="27"/>
        <v>67402946.290644467</v>
      </c>
      <c r="BL28" s="1518">
        <f t="shared" si="46"/>
        <v>5923108.2396761589</v>
      </c>
      <c r="BM28" s="1518">
        <f t="shared" si="28"/>
        <v>61479838.050968304</v>
      </c>
    </row>
    <row r="29" spans="3:65" x14ac:dyDescent="0.2">
      <c r="C29" s="924">
        <v>14</v>
      </c>
      <c r="D29" s="924">
        <v>0</v>
      </c>
      <c r="E29" s="1518">
        <f t="shared" si="29"/>
        <v>31162284.107425608</v>
      </c>
      <c r="F29" s="1518">
        <f t="shared" si="31"/>
        <v>1558114.2053712804</v>
      </c>
      <c r="G29" s="1518">
        <f t="shared" si="0"/>
        <v>32720398.312796887</v>
      </c>
      <c r="H29" s="1518">
        <f t="shared" si="32"/>
        <v>3002245.7380385837</v>
      </c>
      <c r="I29" s="1518">
        <f t="shared" si="1"/>
        <v>29718152.574758302</v>
      </c>
      <c r="J29" s="924"/>
      <c r="K29" s="924">
        <f t="shared" si="2"/>
        <v>14</v>
      </c>
      <c r="L29" s="924">
        <v>0</v>
      </c>
      <c r="M29" s="1518">
        <f t="shared" si="30"/>
        <v>31018839.362615302</v>
      </c>
      <c r="N29" s="1518">
        <f t="shared" si="33"/>
        <v>1550941.9681307652</v>
      </c>
      <c r="O29" s="1518">
        <f t="shared" si="3"/>
        <v>32569781.330746066</v>
      </c>
      <c r="P29" s="1518">
        <f t="shared" si="34"/>
        <v>2988425.9431780349</v>
      </c>
      <c r="Q29" s="1518">
        <f t="shared" si="4"/>
        <v>29581355.387568031</v>
      </c>
      <c r="R29" s="924"/>
      <c r="S29" s="924">
        <f t="shared" si="5"/>
        <v>14</v>
      </c>
      <c r="T29" s="924">
        <v>0</v>
      </c>
      <c r="U29" s="1518">
        <f t="shared" si="6"/>
        <v>31162284.107425608</v>
      </c>
      <c r="V29" s="1518">
        <f t="shared" si="35"/>
        <v>1558114.2053712804</v>
      </c>
      <c r="W29" s="1518">
        <f t="shared" si="7"/>
        <v>32720398.312796887</v>
      </c>
      <c r="X29" s="1518">
        <f t="shared" si="36"/>
        <v>3002245.7380385837</v>
      </c>
      <c r="Y29" s="1518">
        <f t="shared" si="8"/>
        <v>29718152.574758302</v>
      </c>
      <c r="AA29" s="924">
        <f t="shared" si="9"/>
        <v>14</v>
      </c>
      <c r="AB29" s="924">
        <v>0</v>
      </c>
      <c r="AC29" s="1518">
        <f t="shared" si="10"/>
        <v>37904187.113509744</v>
      </c>
      <c r="AD29" s="1518">
        <f t="shared" si="37"/>
        <v>1895209.3556754873</v>
      </c>
      <c r="AE29" s="1518">
        <f t="shared" si="11"/>
        <v>39799396.469185233</v>
      </c>
      <c r="AF29" s="1518">
        <f t="shared" si="38"/>
        <v>3651776.0964843705</v>
      </c>
      <c r="AG29" s="1518">
        <f t="shared" si="12"/>
        <v>36147620.372700863</v>
      </c>
      <c r="AI29" s="924">
        <f t="shared" si="13"/>
        <v>14</v>
      </c>
      <c r="AJ29" s="924">
        <v>0</v>
      </c>
      <c r="AK29" s="1518">
        <f t="shared" si="14"/>
        <v>60475724.837296195</v>
      </c>
      <c r="AL29" s="1518">
        <f t="shared" si="39"/>
        <v>3023786.2418648098</v>
      </c>
      <c r="AM29" s="1518">
        <f t="shared" si="15"/>
        <v>63499511.079161003</v>
      </c>
      <c r="AN29" s="1518">
        <f t="shared" si="40"/>
        <v>5826369.6756523177</v>
      </c>
      <c r="AO29" s="1518">
        <f t="shared" si="16"/>
        <v>57673141.403508686</v>
      </c>
      <c r="AQ29" s="924">
        <f t="shared" si="17"/>
        <v>14</v>
      </c>
      <c r="AR29" s="924">
        <v>0</v>
      </c>
      <c r="AS29" s="1518">
        <f t="shared" si="18"/>
        <v>30445060.38337414</v>
      </c>
      <c r="AT29" s="1518">
        <f t="shared" si="41"/>
        <v>1522253.0191687071</v>
      </c>
      <c r="AU29" s="1518">
        <f t="shared" si="19"/>
        <v>31967313.402542848</v>
      </c>
      <c r="AV29" s="1518">
        <f t="shared" si="42"/>
        <v>2933146.7637358401</v>
      </c>
      <c r="AW29" s="1518">
        <f t="shared" si="20"/>
        <v>29034166.638807006</v>
      </c>
      <c r="AY29" s="924">
        <f t="shared" si="21"/>
        <v>14</v>
      </c>
      <c r="AZ29" s="924">
        <v>0</v>
      </c>
      <c r="BA29" s="1518">
        <f t="shared" si="22"/>
        <v>31018839.362615302</v>
      </c>
      <c r="BB29" s="1518">
        <f t="shared" si="43"/>
        <v>1550941.9681307652</v>
      </c>
      <c r="BC29" s="1518">
        <f t="shared" si="23"/>
        <v>32569781.330746066</v>
      </c>
      <c r="BD29" s="1518">
        <f t="shared" si="44"/>
        <v>2988425.9431780349</v>
      </c>
      <c r="BE29" s="1518">
        <f t="shared" si="24"/>
        <v>29581355.387568031</v>
      </c>
      <c r="BG29" s="924">
        <f t="shared" si="25"/>
        <v>14</v>
      </c>
      <c r="BH29" s="924">
        <v>0</v>
      </c>
      <c r="BI29" s="1518">
        <f t="shared" si="26"/>
        <v>61479838.050968304</v>
      </c>
      <c r="BJ29" s="1518">
        <f t="shared" si="45"/>
        <v>3073991.9025484156</v>
      </c>
      <c r="BK29" s="1518">
        <f t="shared" si="27"/>
        <v>64553829.953516722</v>
      </c>
      <c r="BL29" s="1518">
        <f t="shared" si="46"/>
        <v>5923108.2396761589</v>
      </c>
      <c r="BM29" s="1518">
        <f t="shared" si="28"/>
        <v>58630721.713840559</v>
      </c>
    </row>
    <row r="30" spans="3:65" x14ac:dyDescent="0.2">
      <c r="C30" s="924">
        <v>15</v>
      </c>
      <c r="D30" s="924">
        <v>0</v>
      </c>
      <c r="E30" s="1518">
        <f t="shared" si="29"/>
        <v>29718152.574758302</v>
      </c>
      <c r="F30" s="1518">
        <f t="shared" si="31"/>
        <v>1485907.6287379153</v>
      </c>
      <c r="G30" s="1518">
        <f t="shared" si="0"/>
        <v>31204060.203496218</v>
      </c>
      <c r="H30" s="1518">
        <f t="shared" si="32"/>
        <v>3002245.7380385837</v>
      </c>
      <c r="I30" s="1518">
        <f t="shared" si="1"/>
        <v>28201814.465457633</v>
      </c>
      <c r="J30" s="924"/>
      <c r="K30" s="924">
        <f t="shared" si="2"/>
        <v>15</v>
      </c>
      <c r="L30" s="924">
        <v>0</v>
      </c>
      <c r="M30" s="1518">
        <f t="shared" si="30"/>
        <v>29581355.387568031</v>
      </c>
      <c r="N30" s="1518">
        <f t="shared" si="33"/>
        <v>1479067.7693784016</v>
      </c>
      <c r="O30" s="1518">
        <f t="shared" si="3"/>
        <v>31060423.156946432</v>
      </c>
      <c r="P30" s="1518">
        <f t="shared" si="34"/>
        <v>2988425.9431780349</v>
      </c>
      <c r="Q30" s="1518">
        <f t="shared" si="4"/>
        <v>28071997.213768397</v>
      </c>
      <c r="R30" s="924"/>
      <c r="S30" s="924">
        <f t="shared" si="5"/>
        <v>15</v>
      </c>
      <c r="T30" s="924">
        <v>0</v>
      </c>
      <c r="U30" s="1518">
        <f t="shared" si="6"/>
        <v>29718152.574758302</v>
      </c>
      <c r="V30" s="1518">
        <f t="shared" si="35"/>
        <v>1485907.6287379153</v>
      </c>
      <c r="W30" s="1518">
        <f t="shared" si="7"/>
        <v>31204060.203496218</v>
      </c>
      <c r="X30" s="1518">
        <f t="shared" si="36"/>
        <v>3002245.7380385837</v>
      </c>
      <c r="Y30" s="1518">
        <f t="shared" si="8"/>
        <v>28201814.465457633</v>
      </c>
      <c r="AA30" s="924">
        <f t="shared" si="9"/>
        <v>15</v>
      </c>
      <c r="AB30" s="924">
        <v>0</v>
      </c>
      <c r="AC30" s="1518">
        <f t="shared" si="10"/>
        <v>36147620.372700863</v>
      </c>
      <c r="AD30" s="1518">
        <f t="shared" si="37"/>
        <v>1807381.0186350432</v>
      </c>
      <c r="AE30" s="1518">
        <f t="shared" si="11"/>
        <v>37955001.391335905</v>
      </c>
      <c r="AF30" s="1518">
        <f t="shared" si="38"/>
        <v>3651776.0964843705</v>
      </c>
      <c r="AG30" s="1518">
        <f t="shared" si="12"/>
        <v>34303225.294851534</v>
      </c>
      <c r="AI30" s="924">
        <f t="shared" si="13"/>
        <v>15</v>
      </c>
      <c r="AJ30" s="924">
        <v>0</v>
      </c>
      <c r="AK30" s="1518">
        <f t="shared" si="14"/>
        <v>57673141.403508686</v>
      </c>
      <c r="AL30" s="1518">
        <f t="shared" si="39"/>
        <v>2883657.0701754345</v>
      </c>
      <c r="AM30" s="1518">
        <f t="shared" si="15"/>
        <v>60556798.473684117</v>
      </c>
      <c r="AN30" s="1518">
        <f t="shared" si="40"/>
        <v>5826369.6756523177</v>
      </c>
      <c r="AO30" s="1518">
        <f t="shared" si="16"/>
        <v>54730428.798031799</v>
      </c>
      <c r="AQ30" s="924">
        <f t="shared" si="17"/>
        <v>15</v>
      </c>
      <c r="AR30" s="924">
        <v>0</v>
      </c>
      <c r="AS30" s="1518">
        <f t="shared" si="18"/>
        <v>29034166.638807006</v>
      </c>
      <c r="AT30" s="1518">
        <f t="shared" si="41"/>
        <v>1451708.3319403504</v>
      </c>
      <c r="AU30" s="1518">
        <f t="shared" si="19"/>
        <v>30485874.970747355</v>
      </c>
      <c r="AV30" s="1518">
        <f t="shared" si="42"/>
        <v>2933146.7637358401</v>
      </c>
      <c r="AW30" s="1518">
        <f t="shared" si="20"/>
        <v>27552728.207011513</v>
      </c>
      <c r="AY30" s="924">
        <f t="shared" si="21"/>
        <v>15</v>
      </c>
      <c r="AZ30" s="924">
        <v>0</v>
      </c>
      <c r="BA30" s="1518">
        <f t="shared" si="22"/>
        <v>29581355.387568031</v>
      </c>
      <c r="BB30" s="1518">
        <f t="shared" si="43"/>
        <v>1479067.7693784016</v>
      </c>
      <c r="BC30" s="1518">
        <f t="shared" si="23"/>
        <v>31060423.156946432</v>
      </c>
      <c r="BD30" s="1518">
        <f t="shared" si="44"/>
        <v>2988425.9431780349</v>
      </c>
      <c r="BE30" s="1518">
        <f t="shared" si="24"/>
        <v>28071997.213768397</v>
      </c>
      <c r="BG30" s="924">
        <f t="shared" si="25"/>
        <v>15</v>
      </c>
      <c r="BH30" s="924">
        <v>0</v>
      </c>
      <c r="BI30" s="1518">
        <f t="shared" si="26"/>
        <v>58630721.713840559</v>
      </c>
      <c r="BJ30" s="1518">
        <f t="shared" si="45"/>
        <v>2931536.085692028</v>
      </c>
      <c r="BK30" s="1518">
        <f t="shared" si="27"/>
        <v>61562257.799532585</v>
      </c>
      <c r="BL30" s="1518">
        <f t="shared" si="46"/>
        <v>5923108.2396761589</v>
      </c>
      <c r="BM30" s="1518">
        <f t="shared" si="28"/>
        <v>55639149.55985643</v>
      </c>
    </row>
    <row r="31" spans="3:65" x14ac:dyDescent="0.2">
      <c r="C31" s="924">
        <v>16</v>
      </c>
      <c r="D31" s="924">
        <v>0</v>
      </c>
      <c r="E31" s="1518">
        <f t="shared" si="29"/>
        <v>28201814.465457633</v>
      </c>
      <c r="F31" s="1518">
        <f t="shared" si="31"/>
        <v>1410090.7232728817</v>
      </c>
      <c r="G31" s="1518">
        <f t="shared" si="0"/>
        <v>29611905.188730516</v>
      </c>
      <c r="H31" s="1518">
        <f t="shared" si="32"/>
        <v>3002245.7380385837</v>
      </c>
      <c r="I31" s="1518">
        <f t="shared" si="1"/>
        <v>26609659.450691931</v>
      </c>
      <c r="J31" s="924"/>
      <c r="K31" s="924">
        <f t="shared" si="2"/>
        <v>16</v>
      </c>
      <c r="L31" s="924">
        <v>0</v>
      </c>
      <c r="M31" s="1518">
        <f t="shared" si="30"/>
        <v>28071997.213768397</v>
      </c>
      <c r="N31" s="1518">
        <f t="shared" si="33"/>
        <v>1403599.86068842</v>
      </c>
      <c r="O31" s="1518">
        <f t="shared" si="3"/>
        <v>29475597.074456818</v>
      </c>
      <c r="P31" s="1518">
        <f t="shared" si="34"/>
        <v>2988425.9431780349</v>
      </c>
      <c r="Q31" s="1518">
        <f t="shared" si="4"/>
        <v>26487171.131278783</v>
      </c>
      <c r="R31" s="924"/>
      <c r="S31" s="924">
        <f t="shared" si="5"/>
        <v>16</v>
      </c>
      <c r="T31" s="924">
        <v>0</v>
      </c>
      <c r="U31" s="1518">
        <f t="shared" si="6"/>
        <v>28201814.465457633</v>
      </c>
      <c r="V31" s="1518">
        <f t="shared" si="35"/>
        <v>1410090.7232728817</v>
      </c>
      <c r="W31" s="1518">
        <f t="shared" si="7"/>
        <v>29611905.188730516</v>
      </c>
      <c r="X31" s="1518">
        <f t="shared" si="36"/>
        <v>3002245.7380385837</v>
      </c>
      <c r="Y31" s="1518">
        <f t="shared" si="8"/>
        <v>26609659.450691931</v>
      </c>
      <c r="AA31" s="924">
        <f t="shared" si="9"/>
        <v>16</v>
      </c>
      <c r="AB31" s="924">
        <v>0</v>
      </c>
      <c r="AC31" s="1518">
        <f t="shared" si="10"/>
        <v>34303225.294851534</v>
      </c>
      <c r="AD31" s="1518">
        <f t="shared" si="37"/>
        <v>1715161.2647425767</v>
      </c>
      <c r="AE31" s="1518">
        <f t="shared" si="11"/>
        <v>36018386.55959411</v>
      </c>
      <c r="AF31" s="1518">
        <f t="shared" si="38"/>
        <v>3651776.0964843705</v>
      </c>
      <c r="AG31" s="1518">
        <f t="shared" si="12"/>
        <v>32366610.463109739</v>
      </c>
      <c r="AI31" s="924">
        <f t="shared" si="13"/>
        <v>16</v>
      </c>
      <c r="AJ31" s="924">
        <v>0</v>
      </c>
      <c r="AK31" s="1518">
        <f t="shared" si="14"/>
        <v>54730428.798031799</v>
      </c>
      <c r="AL31" s="1518">
        <f t="shared" si="39"/>
        <v>2736521.4399015903</v>
      </c>
      <c r="AM31" s="1518">
        <f t="shared" si="15"/>
        <v>57466950.23793339</v>
      </c>
      <c r="AN31" s="1518">
        <f t="shared" si="40"/>
        <v>5826369.6756523177</v>
      </c>
      <c r="AO31" s="1518">
        <f t="shared" si="16"/>
        <v>51640580.562281072</v>
      </c>
      <c r="AQ31" s="924">
        <f t="shared" si="17"/>
        <v>16</v>
      </c>
      <c r="AR31" s="924">
        <v>0</v>
      </c>
      <c r="AS31" s="1518">
        <f t="shared" si="18"/>
        <v>27552728.207011513</v>
      </c>
      <c r="AT31" s="1518">
        <f t="shared" si="41"/>
        <v>1377636.4103505758</v>
      </c>
      <c r="AU31" s="1518">
        <f t="shared" si="19"/>
        <v>28930364.617362089</v>
      </c>
      <c r="AV31" s="1518">
        <f t="shared" si="42"/>
        <v>2933146.7637358401</v>
      </c>
      <c r="AW31" s="1518">
        <f t="shared" si="20"/>
        <v>25997217.853626251</v>
      </c>
      <c r="AY31" s="924">
        <f t="shared" si="21"/>
        <v>16</v>
      </c>
      <c r="AZ31" s="924">
        <v>0</v>
      </c>
      <c r="BA31" s="1518">
        <f t="shared" si="22"/>
        <v>28071997.213768397</v>
      </c>
      <c r="BB31" s="1518">
        <f t="shared" si="43"/>
        <v>1403599.86068842</v>
      </c>
      <c r="BC31" s="1518">
        <f t="shared" si="23"/>
        <v>29475597.074456818</v>
      </c>
      <c r="BD31" s="1518">
        <f t="shared" si="44"/>
        <v>2988425.9431780349</v>
      </c>
      <c r="BE31" s="1518">
        <f t="shared" si="24"/>
        <v>26487171.131278783</v>
      </c>
      <c r="BG31" s="924">
        <f t="shared" si="25"/>
        <v>16</v>
      </c>
      <c r="BH31" s="924">
        <v>0</v>
      </c>
      <c r="BI31" s="1518">
        <f t="shared" si="26"/>
        <v>55639149.55985643</v>
      </c>
      <c r="BJ31" s="1518">
        <f t="shared" si="45"/>
        <v>2781957.4779928215</v>
      </c>
      <c r="BK31" s="1518">
        <f t="shared" si="27"/>
        <v>58421107.037849247</v>
      </c>
      <c r="BL31" s="1518">
        <f t="shared" si="46"/>
        <v>5923108.2396761589</v>
      </c>
      <c r="BM31" s="1518">
        <f t="shared" si="28"/>
        <v>52497998.798173085</v>
      </c>
    </row>
    <row r="32" spans="3:65" x14ac:dyDescent="0.2">
      <c r="C32" s="924">
        <v>17</v>
      </c>
      <c r="D32" s="924">
        <v>0</v>
      </c>
      <c r="E32" s="1518">
        <f t="shared" si="29"/>
        <v>26609659.450691931</v>
      </c>
      <c r="F32" s="1518">
        <f t="shared" si="31"/>
        <v>1330482.9725345967</v>
      </c>
      <c r="G32" s="1518">
        <f t="shared" si="0"/>
        <v>27940142.423226528</v>
      </c>
      <c r="H32" s="1518">
        <f t="shared" si="32"/>
        <v>3002245.7380385837</v>
      </c>
      <c r="I32" s="1518">
        <f t="shared" si="1"/>
        <v>24937896.685187943</v>
      </c>
      <c r="J32" s="924"/>
      <c r="K32" s="924">
        <f t="shared" si="2"/>
        <v>17</v>
      </c>
      <c r="L32" s="924">
        <v>0</v>
      </c>
      <c r="M32" s="1518">
        <f t="shared" si="30"/>
        <v>26487171.131278783</v>
      </c>
      <c r="N32" s="1518">
        <f t="shared" si="33"/>
        <v>1324358.5565639392</v>
      </c>
      <c r="O32" s="1518">
        <f t="shared" si="3"/>
        <v>27811529.687842723</v>
      </c>
      <c r="P32" s="1518">
        <f t="shared" si="34"/>
        <v>2988425.9431780349</v>
      </c>
      <c r="Q32" s="1518">
        <f t="shared" si="4"/>
        <v>24823103.744664688</v>
      </c>
      <c r="R32" s="924"/>
      <c r="S32" s="924">
        <f t="shared" si="5"/>
        <v>17</v>
      </c>
      <c r="T32" s="924">
        <v>0</v>
      </c>
      <c r="U32" s="1518">
        <f t="shared" si="6"/>
        <v>26609659.450691931</v>
      </c>
      <c r="V32" s="1518">
        <f t="shared" si="35"/>
        <v>1330482.9725345967</v>
      </c>
      <c r="W32" s="1518">
        <f t="shared" si="7"/>
        <v>27940142.423226528</v>
      </c>
      <c r="X32" s="1518">
        <f t="shared" si="36"/>
        <v>3002245.7380385837</v>
      </c>
      <c r="Y32" s="1518">
        <f t="shared" si="8"/>
        <v>24937896.685187943</v>
      </c>
      <c r="AA32" s="924">
        <f t="shared" si="9"/>
        <v>17</v>
      </c>
      <c r="AB32" s="924">
        <v>0</v>
      </c>
      <c r="AC32" s="1518">
        <f t="shared" si="10"/>
        <v>32366610.463109739</v>
      </c>
      <c r="AD32" s="1518">
        <f t="shared" si="37"/>
        <v>1618330.5231554871</v>
      </c>
      <c r="AE32" s="1518">
        <f t="shared" si="11"/>
        <v>33984940.986265227</v>
      </c>
      <c r="AF32" s="1518">
        <f t="shared" si="38"/>
        <v>3651776.0964843705</v>
      </c>
      <c r="AG32" s="1518">
        <f t="shared" si="12"/>
        <v>30333164.889780857</v>
      </c>
      <c r="AI32" s="924">
        <f t="shared" si="13"/>
        <v>17</v>
      </c>
      <c r="AJ32" s="924">
        <v>0</v>
      </c>
      <c r="AK32" s="1518">
        <f t="shared" si="14"/>
        <v>51640580.562281072</v>
      </c>
      <c r="AL32" s="1518">
        <f t="shared" si="39"/>
        <v>2582029.0281140539</v>
      </c>
      <c r="AM32" s="1518">
        <f t="shared" si="15"/>
        <v>54222609.590395123</v>
      </c>
      <c r="AN32" s="1518">
        <f t="shared" si="40"/>
        <v>5826369.6756523177</v>
      </c>
      <c r="AO32" s="1518">
        <f t="shared" si="16"/>
        <v>48396239.914742805</v>
      </c>
      <c r="AQ32" s="924">
        <f t="shared" si="17"/>
        <v>17</v>
      </c>
      <c r="AR32" s="924">
        <v>0</v>
      </c>
      <c r="AS32" s="1518">
        <f t="shared" si="18"/>
        <v>25997217.853626251</v>
      </c>
      <c r="AT32" s="1518">
        <f t="shared" si="41"/>
        <v>1299860.8926813127</v>
      </c>
      <c r="AU32" s="1518">
        <f t="shared" si="19"/>
        <v>27297078.746307563</v>
      </c>
      <c r="AV32" s="1518">
        <f t="shared" si="42"/>
        <v>2933146.7637358401</v>
      </c>
      <c r="AW32" s="1518">
        <f t="shared" si="20"/>
        <v>24363931.982571721</v>
      </c>
      <c r="AY32" s="924">
        <f t="shared" si="21"/>
        <v>17</v>
      </c>
      <c r="AZ32" s="924">
        <v>0</v>
      </c>
      <c r="BA32" s="1518">
        <f t="shared" si="22"/>
        <v>26487171.131278783</v>
      </c>
      <c r="BB32" s="1518">
        <f t="shared" si="43"/>
        <v>1324358.5565639392</v>
      </c>
      <c r="BC32" s="1518">
        <f t="shared" si="23"/>
        <v>27811529.687842723</v>
      </c>
      <c r="BD32" s="1518">
        <f t="shared" si="44"/>
        <v>2988425.9431780349</v>
      </c>
      <c r="BE32" s="1518">
        <f t="shared" si="24"/>
        <v>24823103.744664688</v>
      </c>
      <c r="BG32" s="924">
        <f t="shared" si="25"/>
        <v>17</v>
      </c>
      <c r="BH32" s="924">
        <v>0</v>
      </c>
      <c r="BI32" s="1518">
        <f t="shared" si="26"/>
        <v>52497998.798173085</v>
      </c>
      <c r="BJ32" s="1518">
        <f t="shared" si="45"/>
        <v>2624899.9399086544</v>
      </c>
      <c r="BK32" s="1518">
        <f t="shared" si="27"/>
        <v>55122898.738081738</v>
      </c>
      <c r="BL32" s="1518">
        <f t="shared" si="46"/>
        <v>5923108.2396761589</v>
      </c>
      <c r="BM32" s="1518">
        <f t="shared" si="28"/>
        <v>49199790.498405576</v>
      </c>
    </row>
    <row r="33" spans="3:65" x14ac:dyDescent="0.2">
      <c r="C33" s="924">
        <v>18</v>
      </c>
      <c r="D33" s="924">
        <v>0</v>
      </c>
      <c r="E33" s="1518">
        <f t="shared" si="29"/>
        <v>24937896.685187943</v>
      </c>
      <c r="F33" s="1518">
        <f t="shared" si="31"/>
        <v>1246894.8342593971</v>
      </c>
      <c r="G33" s="1518">
        <f t="shared" si="0"/>
        <v>26184791.519447342</v>
      </c>
      <c r="H33" s="1518">
        <f t="shared" si="32"/>
        <v>3002245.7380385837</v>
      </c>
      <c r="I33" s="1518">
        <f t="shared" si="1"/>
        <v>23182545.781408757</v>
      </c>
      <c r="J33" s="924"/>
      <c r="K33" s="924">
        <f t="shared" si="2"/>
        <v>18</v>
      </c>
      <c r="L33" s="924">
        <v>0</v>
      </c>
      <c r="M33" s="1518">
        <f t="shared" si="30"/>
        <v>24823103.744664688</v>
      </c>
      <c r="N33" s="1518">
        <f t="shared" si="33"/>
        <v>1241155.1872332345</v>
      </c>
      <c r="O33" s="1518">
        <f t="shared" si="3"/>
        <v>26064258.931897923</v>
      </c>
      <c r="P33" s="1518">
        <f t="shared" si="34"/>
        <v>2988425.9431780349</v>
      </c>
      <c r="Q33" s="1518">
        <f t="shared" si="4"/>
        <v>23075832.988719888</v>
      </c>
      <c r="R33" s="924"/>
      <c r="S33" s="924">
        <f t="shared" si="5"/>
        <v>18</v>
      </c>
      <c r="T33" s="924">
        <v>0</v>
      </c>
      <c r="U33" s="1518">
        <f t="shared" si="6"/>
        <v>24937896.685187943</v>
      </c>
      <c r="V33" s="1518">
        <f t="shared" si="35"/>
        <v>1246894.8342593971</v>
      </c>
      <c r="W33" s="1518">
        <f t="shared" si="7"/>
        <v>26184791.519447342</v>
      </c>
      <c r="X33" s="1518">
        <f t="shared" si="36"/>
        <v>3002245.7380385837</v>
      </c>
      <c r="Y33" s="1518">
        <f t="shared" si="8"/>
        <v>23182545.781408757</v>
      </c>
      <c r="AA33" s="924">
        <f t="shared" si="9"/>
        <v>18</v>
      </c>
      <c r="AB33" s="924">
        <v>0</v>
      </c>
      <c r="AC33" s="1518">
        <f t="shared" si="10"/>
        <v>30333164.889780857</v>
      </c>
      <c r="AD33" s="1518">
        <f t="shared" si="37"/>
        <v>1516658.244489043</v>
      </c>
      <c r="AE33" s="1518">
        <f t="shared" si="11"/>
        <v>31849823.134269901</v>
      </c>
      <c r="AF33" s="1518">
        <f t="shared" si="38"/>
        <v>3651776.0964843705</v>
      </c>
      <c r="AG33" s="1518">
        <f t="shared" si="12"/>
        <v>28198047.03778553</v>
      </c>
      <c r="AI33" s="924">
        <f t="shared" si="13"/>
        <v>18</v>
      </c>
      <c r="AJ33" s="924">
        <v>0</v>
      </c>
      <c r="AK33" s="1518">
        <f t="shared" si="14"/>
        <v>48396239.914742805</v>
      </c>
      <c r="AL33" s="1518">
        <f t="shared" si="39"/>
        <v>2419811.9957371405</v>
      </c>
      <c r="AM33" s="1518">
        <f t="shared" si="15"/>
        <v>50816051.910479948</v>
      </c>
      <c r="AN33" s="1518">
        <f t="shared" si="40"/>
        <v>5826369.6756523177</v>
      </c>
      <c r="AO33" s="1518">
        <f t="shared" si="16"/>
        <v>44989682.23482763</v>
      </c>
      <c r="AQ33" s="924">
        <f t="shared" si="17"/>
        <v>18</v>
      </c>
      <c r="AR33" s="924">
        <v>0</v>
      </c>
      <c r="AS33" s="1518">
        <f t="shared" si="18"/>
        <v>24363931.982571721</v>
      </c>
      <c r="AT33" s="1518">
        <f t="shared" si="41"/>
        <v>1218196.599128586</v>
      </c>
      <c r="AU33" s="1518">
        <f t="shared" si="19"/>
        <v>25582128.581700306</v>
      </c>
      <c r="AV33" s="1518">
        <f t="shared" si="42"/>
        <v>2933146.7637358401</v>
      </c>
      <c r="AW33" s="1518">
        <f t="shared" si="20"/>
        <v>22648981.817964464</v>
      </c>
      <c r="AY33" s="924">
        <f t="shared" si="21"/>
        <v>18</v>
      </c>
      <c r="AZ33" s="924">
        <v>0</v>
      </c>
      <c r="BA33" s="1518">
        <f t="shared" si="22"/>
        <v>24823103.744664688</v>
      </c>
      <c r="BB33" s="1518">
        <f t="shared" si="43"/>
        <v>1241155.1872332345</v>
      </c>
      <c r="BC33" s="1518">
        <f t="shared" si="23"/>
        <v>26064258.931897923</v>
      </c>
      <c r="BD33" s="1518">
        <f t="shared" si="44"/>
        <v>2988425.9431780349</v>
      </c>
      <c r="BE33" s="1518">
        <f t="shared" si="24"/>
        <v>23075832.988719888</v>
      </c>
      <c r="BG33" s="924">
        <f t="shared" si="25"/>
        <v>18</v>
      </c>
      <c r="BH33" s="924">
        <v>0</v>
      </c>
      <c r="BI33" s="1518">
        <f t="shared" si="26"/>
        <v>49199790.498405576</v>
      </c>
      <c r="BJ33" s="1518">
        <f t="shared" si="45"/>
        <v>2459989.5249202787</v>
      </c>
      <c r="BK33" s="1518">
        <f t="shared" si="27"/>
        <v>51659780.023325853</v>
      </c>
      <c r="BL33" s="1518">
        <f t="shared" si="46"/>
        <v>5923108.2396761589</v>
      </c>
      <c r="BM33" s="1518">
        <f t="shared" si="28"/>
        <v>45736671.783649698</v>
      </c>
    </row>
    <row r="34" spans="3:65" x14ac:dyDescent="0.2">
      <c r="C34" s="924">
        <v>19</v>
      </c>
      <c r="D34" s="924">
        <v>0</v>
      </c>
      <c r="E34" s="1518">
        <f t="shared" si="29"/>
        <v>23182545.781408757</v>
      </c>
      <c r="F34" s="1518">
        <f t="shared" si="31"/>
        <v>1159127.2890704379</v>
      </c>
      <c r="G34" s="1518">
        <f t="shared" ref="G34:G63" si="47">E34+F34</f>
        <v>24341673.070479196</v>
      </c>
      <c r="H34" s="1518">
        <f t="shared" si="32"/>
        <v>3002245.7380385837</v>
      </c>
      <c r="I34" s="1518">
        <f t="shared" ref="I34:I63" si="48">G34-H34</f>
        <v>21339427.332440611</v>
      </c>
      <c r="J34" s="924"/>
      <c r="K34" s="924">
        <f t="shared" si="2"/>
        <v>19</v>
      </c>
      <c r="L34" s="924">
        <v>0</v>
      </c>
      <c r="M34" s="1518">
        <f t="shared" si="30"/>
        <v>23075832.988719888</v>
      </c>
      <c r="N34" s="1518">
        <f t="shared" si="33"/>
        <v>1153791.6494359944</v>
      </c>
      <c r="O34" s="1518">
        <f t="shared" si="3"/>
        <v>24229624.638155881</v>
      </c>
      <c r="P34" s="1518">
        <f t="shared" si="34"/>
        <v>2988425.9431780349</v>
      </c>
      <c r="Q34" s="1518">
        <f t="shared" si="4"/>
        <v>21241198.694977846</v>
      </c>
      <c r="R34" s="924"/>
      <c r="S34" s="924">
        <f t="shared" si="5"/>
        <v>19</v>
      </c>
      <c r="T34" s="924">
        <v>0</v>
      </c>
      <c r="U34" s="1518">
        <f t="shared" si="6"/>
        <v>23182545.781408757</v>
      </c>
      <c r="V34" s="1518">
        <f t="shared" si="35"/>
        <v>1159127.2890704379</v>
      </c>
      <c r="W34" s="1518">
        <f t="shared" si="7"/>
        <v>24341673.070479196</v>
      </c>
      <c r="X34" s="1518">
        <f t="shared" si="36"/>
        <v>3002245.7380385837</v>
      </c>
      <c r="Y34" s="1518">
        <f t="shared" si="8"/>
        <v>21339427.332440611</v>
      </c>
      <c r="AA34" s="924">
        <f t="shared" si="9"/>
        <v>19</v>
      </c>
      <c r="AB34" s="924">
        <v>0</v>
      </c>
      <c r="AC34" s="1518">
        <f t="shared" si="10"/>
        <v>28198047.03778553</v>
      </c>
      <c r="AD34" s="1518">
        <f t="shared" si="37"/>
        <v>1409902.3518892766</v>
      </c>
      <c r="AE34" s="1518">
        <f t="shared" si="11"/>
        <v>29607949.389674805</v>
      </c>
      <c r="AF34" s="1518">
        <f t="shared" si="38"/>
        <v>3651776.0964843705</v>
      </c>
      <c r="AG34" s="1518">
        <f t="shared" si="12"/>
        <v>25956173.293190435</v>
      </c>
      <c r="AI34" s="924">
        <f t="shared" si="13"/>
        <v>19</v>
      </c>
      <c r="AJ34" s="924">
        <v>0</v>
      </c>
      <c r="AK34" s="1518">
        <f t="shared" si="14"/>
        <v>44989682.23482763</v>
      </c>
      <c r="AL34" s="1518">
        <f t="shared" si="39"/>
        <v>2249484.1117413817</v>
      </c>
      <c r="AM34" s="1518">
        <f t="shared" si="15"/>
        <v>47239166.346569009</v>
      </c>
      <c r="AN34" s="1518">
        <f t="shared" si="40"/>
        <v>5826369.6756523177</v>
      </c>
      <c r="AO34" s="1518">
        <f t="shared" si="16"/>
        <v>41412796.670916691</v>
      </c>
      <c r="AQ34" s="924">
        <f t="shared" si="17"/>
        <v>19</v>
      </c>
      <c r="AR34" s="924">
        <v>0</v>
      </c>
      <c r="AS34" s="1518">
        <f t="shared" si="18"/>
        <v>22648981.817964464</v>
      </c>
      <c r="AT34" s="1518">
        <f t="shared" si="41"/>
        <v>1132449.0908982232</v>
      </c>
      <c r="AU34" s="1518">
        <f t="shared" si="19"/>
        <v>23781430.908862688</v>
      </c>
      <c r="AV34" s="1518">
        <f t="shared" si="42"/>
        <v>2933146.7637358401</v>
      </c>
      <c r="AW34" s="1518">
        <f t="shared" si="20"/>
        <v>20848284.145126849</v>
      </c>
      <c r="AY34" s="924">
        <f t="shared" si="21"/>
        <v>19</v>
      </c>
      <c r="AZ34" s="924">
        <v>0</v>
      </c>
      <c r="BA34" s="1518">
        <f t="shared" si="22"/>
        <v>23075832.988719888</v>
      </c>
      <c r="BB34" s="1518">
        <f t="shared" si="43"/>
        <v>1153791.6494359944</v>
      </c>
      <c r="BC34" s="1518">
        <f t="shared" si="23"/>
        <v>24229624.638155881</v>
      </c>
      <c r="BD34" s="1518">
        <f t="shared" si="44"/>
        <v>2988425.9431780349</v>
      </c>
      <c r="BE34" s="1518">
        <f t="shared" si="24"/>
        <v>21241198.694977846</v>
      </c>
      <c r="BG34" s="924">
        <f t="shared" si="25"/>
        <v>19</v>
      </c>
      <c r="BH34" s="924">
        <v>0</v>
      </c>
      <c r="BI34" s="1518">
        <f t="shared" si="26"/>
        <v>45736671.783649698</v>
      </c>
      <c r="BJ34" s="1518">
        <f t="shared" si="45"/>
        <v>2286833.5891824849</v>
      </c>
      <c r="BK34" s="1518">
        <f t="shared" si="27"/>
        <v>48023505.372832179</v>
      </c>
      <c r="BL34" s="1518">
        <f t="shared" si="46"/>
        <v>5923108.2396761589</v>
      </c>
      <c r="BM34" s="1518">
        <f t="shared" si="28"/>
        <v>42100397.133156016</v>
      </c>
    </row>
    <row r="35" spans="3:65" x14ac:dyDescent="0.2">
      <c r="C35" s="924">
        <v>20</v>
      </c>
      <c r="D35" s="924">
        <v>0</v>
      </c>
      <c r="E35" s="1518">
        <f t="shared" si="29"/>
        <v>21339427.332440611</v>
      </c>
      <c r="F35" s="1518">
        <f t="shared" si="31"/>
        <v>1066971.3666220305</v>
      </c>
      <c r="G35" s="1518">
        <f t="shared" si="47"/>
        <v>22406398.699062642</v>
      </c>
      <c r="H35" s="1518">
        <f t="shared" si="32"/>
        <v>3002245.7380385837</v>
      </c>
      <c r="I35" s="1518">
        <f t="shared" si="48"/>
        <v>19404152.961024057</v>
      </c>
      <c r="J35" s="924"/>
      <c r="K35" s="924">
        <f t="shared" si="2"/>
        <v>20</v>
      </c>
      <c r="L35" s="924">
        <v>0</v>
      </c>
      <c r="M35" s="1518">
        <f t="shared" si="30"/>
        <v>21241198.694977846</v>
      </c>
      <c r="N35" s="1518">
        <f t="shared" si="33"/>
        <v>1062059.9347488924</v>
      </c>
      <c r="O35" s="1518">
        <f t="shared" si="3"/>
        <v>22303258.629726738</v>
      </c>
      <c r="P35" s="1518">
        <f t="shared" si="34"/>
        <v>2988425.9431780349</v>
      </c>
      <c r="Q35" s="1518">
        <f t="shared" si="4"/>
        <v>19314832.686548702</v>
      </c>
      <c r="R35" s="924"/>
      <c r="S35" s="924">
        <f t="shared" si="5"/>
        <v>20</v>
      </c>
      <c r="T35" s="924">
        <v>0</v>
      </c>
      <c r="U35" s="1518">
        <f t="shared" si="6"/>
        <v>21339427.332440611</v>
      </c>
      <c r="V35" s="1518">
        <f t="shared" si="35"/>
        <v>1066971.3666220305</v>
      </c>
      <c r="W35" s="1518">
        <f t="shared" si="7"/>
        <v>22406398.699062642</v>
      </c>
      <c r="X35" s="1518">
        <f t="shared" si="36"/>
        <v>3002245.7380385837</v>
      </c>
      <c r="Y35" s="1518">
        <f t="shared" si="8"/>
        <v>19404152.961024057</v>
      </c>
      <c r="AA35" s="924">
        <f t="shared" si="9"/>
        <v>20</v>
      </c>
      <c r="AB35" s="924">
        <v>0</v>
      </c>
      <c r="AC35" s="1518">
        <f t="shared" si="10"/>
        <v>25956173.293190435</v>
      </c>
      <c r="AD35" s="1518">
        <f t="shared" si="37"/>
        <v>1297808.6646595218</v>
      </c>
      <c r="AE35" s="1518">
        <f t="shared" si="11"/>
        <v>27253981.957849957</v>
      </c>
      <c r="AF35" s="1518">
        <f t="shared" si="38"/>
        <v>3651776.0964843705</v>
      </c>
      <c r="AG35" s="1518">
        <f t="shared" si="12"/>
        <v>23602205.861365587</v>
      </c>
      <c r="AI35" s="924">
        <f t="shared" si="13"/>
        <v>20</v>
      </c>
      <c r="AJ35" s="924">
        <v>0</v>
      </c>
      <c r="AK35" s="1518">
        <f t="shared" si="14"/>
        <v>41412796.670916691</v>
      </c>
      <c r="AL35" s="1518">
        <f t="shared" si="39"/>
        <v>2070639.8335458348</v>
      </c>
      <c r="AM35" s="1518">
        <f t="shared" si="15"/>
        <v>43483436.504462525</v>
      </c>
      <c r="AN35" s="1518">
        <f t="shared" si="40"/>
        <v>5826369.6756523177</v>
      </c>
      <c r="AO35" s="1518">
        <f t="shared" si="16"/>
        <v>37657066.828810208</v>
      </c>
      <c r="AQ35" s="924">
        <f t="shared" si="17"/>
        <v>20</v>
      </c>
      <c r="AR35" s="924">
        <v>0</v>
      </c>
      <c r="AS35" s="1518">
        <f t="shared" si="18"/>
        <v>20848284.145126849</v>
      </c>
      <c r="AT35" s="1518">
        <f t="shared" si="41"/>
        <v>1042414.2072563425</v>
      </c>
      <c r="AU35" s="1518">
        <f t="shared" si="19"/>
        <v>21890698.352383193</v>
      </c>
      <c r="AV35" s="1518">
        <f t="shared" si="42"/>
        <v>2933146.7637358401</v>
      </c>
      <c r="AW35" s="1518">
        <f t="shared" si="20"/>
        <v>18957551.588647351</v>
      </c>
      <c r="AY35" s="924">
        <f t="shared" si="21"/>
        <v>20</v>
      </c>
      <c r="AZ35" s="924">
        <v>0</v>
      </c>
      <c r="BA35" s="1518">
        <f t="shared" si="22"/>
        <v>21241198.694977846</v>
      </c>
      <c r="BB35" s="1518">
        <f t="shared" si="43"/>
        <v>1062059.9347488924</v>
      </c>
      <c r="BC35" s="1518">
        <f t="shared" si="23"/>
        <v>22303258.629726738</v>
      </c>
      <c r="BD35" s="1518">
        <f t="shared" si="44"/>
        <v>2988425.9431780349</v>
      </c>
      <c r="BE35" s="1518">
        <f t="shared" si="24"/>
        <v>19314832.686548702</v>
      </c>
      <c r="BG35" s="924">
        <f t="shared" si="25"/>
        <v>20</v>
      </c>
      <c r="BH35" s="924">
        <v>0</v>
      </c>
      <c r="BI35" s="1518">
        <f t="shared" si="26"/>
        <v>42100397.133156016</v>
      </c>
      <c r="BJ35" s="1518">
        <f t="shared" si="45"/>
        <v>2105019.8566578007</v>
      </c>
      <c r="BK35" s="1518">
        <f t="shared" si="27"/>
        <v>44205416.98981382</v>
      </c>
      <c r="BL35" s="1518">
        <f t="shared" si="46"/>
        <v>5923108.2396761589</v>
      </c>
      <c r="BM35" s="1518">
        <f t="shared" si="28"/>
        <v>38282308.750137657</v>
      </c>
    </row>
    <row r="36" spans="3:65" x14ac:dyDescent="0.2">
      <c r="C36" s="924">
        <v>21</v>
      </c>
      <c r="D36" s="924">
        <v>0</v>
      </c>
      <c r="E36" s="1518">
        <f t="shared" si="29"/>
        <v>19404152.961024057</v>
      </c>
      <c r="F36" s="1518">
        <f t="shared" si="31"/>
        <v>970207.64805120288</v>
      </c>
      <c r="G36" s="1518">
        <f t="shared" si="47"/>
        <v>20374360.609075259</v>
      </c>
      <c r="H36" s="1518">
        <f t="shared" si="32"/>
        <v>3002245.7380385837</v>
      </c>
      <c r="I36" s="1518">
        <f t="shared" si="48"/>
        <v>17372114.871036675</v>
      </c>
      <c r="J36" s="924"/>
      <c r="K36" s="924">
        <f t="shared" si="2"/>
        <v>21</v>
      </c>
      <c r="L36" s="924">
        <v>0</v>
      </c>
      <c r="M36" s="1518">
        <f t="shared" si="30"/>
        <v>19314832.686548702</v>
      </c>
      <c r="N36" s="1518">
        <f t="shared" si="33"/>
        <v>965741.63432743517</v>
      </c>
      <c r="O36" s="1518">
        <f t="shared" si="3"/>
        <v>20280574.320876136</v>
      </c>
      <c r="P36" s="1518">
        <f t="shared" si="34"/>
        <v>2988425.9431780349</v>
      </c>
      <c r="Q36" s="1518">
        <f t="shared" si="4"/>
        <v>17292148.377698101</v>
      </c>
      <c r="R36" s="924"/>
      <c r="S36" s="924">
        <f t="shared" si="5"/>
        <v>21</v>
      </c>
      <c r="T36" s="924">
        <v>0</v>
      </c>
      <c r="U36" s="1518">
        <f t="shared" si="6"/>
        <v>19404152.961024057</v>
      </c>
      <c r="V36" s="1518">
        <f t="shared" si="35"/>
        <v>970207.64805120288</v>
      </c>
      <c r="W36" s="1518">
        <f t="shared" si="7"/>
        <v>20374360.609075259</v>
      </c>
      <c r="X36" s="1518">
        <f t="shared" si="36"/>
        <v>3002245.7380385837</v>
      </c>
      <c r="Y36" s="1518">
        <f t="shared" si="8"/>
        <v>17372114.871036675</v>
      </c>
      <c r="AA36" s="924">
        <f t="shared" si="9"/>
        <v>21</v>
      </c>
      <c r="AB36" s="924">
        <v>0</v>
      </c>
      <c r="AC36" s="1518">
        <f t="shared" si="10"/>
        <v>23602205.861365587</v>
      </c>
      <c r="AD36" s="1518">
        <f t="shared" si="37"/>
        <v>1180110.2930682793</v>
      </c>
      <c r="AE36" s="1518">
        <f t="shared" si="11"/>
        <v>24782316.154433865</v>
      </c>
      <c r="AF36" s="1518">
        <f t="shared" si="38"/>
        <v>3651776.0964843705</v>
      </c>
      <c r="AG36" s="1518">
        <f t="shared" si="12"/>
        <v>21130540.057949495</v>
      </c>
      <c r="AI36" s="924">
        <f t="shared" si="13"/>
        <v>21</v>
      </c>
      <c r="AJ36" s="924">
        <v>0</v>
      </c>
      <c r="AK36" s="1518">
        <f t="shared" si="14"/>
        <v>37657066.828810208</v>
      </c>
      <c r="AL36" s="1518">
        <f t="shared" si="39"/>
        <v>1882853.3414405105</v>
      </c>
      <c r="AM36" s="1518">
        <f t="shared" si="15"/>
        <v>39539920.170250721</v>
      </c>
      <c r="AN36" s="1518">
        <f t="shared" si="40"/>
        <v>5826369.6756523177</v>
      </c>
      <c r="AO36" s="1518">
        <f t="shared" si="16"/>
        <v>33713550.494598404</v>
      </c>
      <c r="AQ36" s="924">
        <f t="shared" si="17"/>
        <v>21</v>
      </c>
      <c r="AR36" s="924">
        <v>0</v>
      </c>
      <c r="AS36" s="1518">
        <f t="shared" si="18"/>
        <v>18957551.588647351</v>
      </c>
      <c r="AT36" s="1518">
        <f t="shared" si="41"/>
        <v>947877.57943236758</v>
      </c>
      <c r="AU36" s="1518">
        <f t="shared" si="19"/>
        <v>19905429.168079719</v>
      </c>
      <c r="AV36" s="1518">
        <f t="shared" si="42"/>
        <v>2933146.7637358401</v>
      </c>
      <c r="AW36" s="1518">
        <f t="shared" si="20"/>
        <v>16972282.404343881</v>
      </c>
      <c r="AY36" s="924">
        <f t="shared" si="21"/>
        <v>21</v>
      </c>
      <c r="AZ36" s="924">
        <v>0</v>
      </c>
      <c r="BA36" s="1518">
        <f t="shared" si="22"/>
        <v>19314832.686548702</v>
      </c>
      <c r="BB36" s="1518">
        <f t="shared" si="43"/>
        <v>965741.63432743517</v>
      </c>
      <c r="BC36" s="1518">
        <f t="shared" si="23"/>
        <v>20280574.320876136</v>
      </c>
      <c r="BD36" s="1518">
        <f t="shared" si="44"/>
        <v>2988425.9431780349</v>
      </c>
      <c r="BE36" s="1518">
        <f t="shared" si="24"/>
        <v>17292148.377698101</v>
      </c>
      <c r="BG36" s="924">
        <f t="shared" si="25"/>
        <v>21</v>
      </c>
      <c r="BH36" s="924">
        <v>0</v>
      </c>
      <c r="BI36" s="1518">
        <f t="shared" si="26"/>
        <v>38282308.750137657</v>
      </c>
      <c r="BJ36" s="1518">
        <f t="shared" si="45"/>
        <v>1914115.4375068829</v>
      </c>
      <c r="BK36" s="1518">
        <f t="shared" si="27"/>
        <v>40196424.187644541</v>
      </c>
      <c r="BL36" s="1518">
        <f t="shared" si="46"/>
        <v>5923108.2396761589</v>
      </c>
      <c r="BM36" s="1518">
        <f t="shared" si="28"/>
        <v>34273315.947968379</v>
      </c>
    </row>
    <row r="37" spans="3:65" x14ac:dyDescent="0.2">
      <c r="C37" s="924">
        <v>22</v>
      </c>
      <c r="D37" s="924">
        <v>0</v>
      </c>
      <c r="E37" s="1518">
        <f t="shared" si="29"/>
        <v>17372114.871036675</v>
      </c>
      <c r="F37" s="1518">
        <f t="shared" si="31"/>
        <v>868605.74355183379</v>
      </c>
      <c r="G37" s="1518">
        <f t="shared" si="47"/>
        <v>18240720.61458851</v>
      </c>
      <c r="H37" s="1518">
        <f t="shared" si="32"/>
        <v>3002245.7380385837</v>
      </c>
      <c r="I37" s="1518">
        <f t="shared" si="48"/>
        <v>15238474.876549926</v>
      </c>
      <c r="J37" s="924"/>
      <c r="K37" s="924">
        <f t="shared" si="2"/>
        <v>22</v>
      </c>
      <c r="L37" s="924">
        <v>0</v>
      </c>
      <c r="M37" s="1518">
        <f t="shared" si="30"/>
        <v>17292148.377698101</v>
      </c>
      <c r="N37" s="1518">
        <f t="shared" si="33"/>
        <v>864607.41888490506</v>
      </c>
      <c r="O37" s="1518">
        <f t="shared" si="3"/>
        <v>18156755.796583004</v>
      </c>
      <c r="P37" s="1518">
        <f t="shared" si="34"/>
        <v>2988425.9431780349</v>
      </c>
      <c r="Q37" s="1518">
        <f t="shared" si="4"/>
        <v>15168329.853404969</v>
      </c>
      <c r="R37" s="924"/>
      <c r="S37" s="924">
        <f t="shared" si="5"/>
        <v>22</v>
      </c>
      <c r="T37" s="924">
        <v>0</v>
      </c>
      <c r="U37" s="1518">
        <f t="shared" si="6"/>
        <v>17372114.871036675</v>
      </c>
      <c r="V37" s="1518">
        <f t="shared" si="35"/>
        <v>868605.74355183379</v>
      </c>
      <c r="W37" s="1518">
        <f t="shared" si="7"/>
        <v>18240720.61458851</v>
      </c>
      <c r="X37" s="1518">
        <f t="shared" si="36"/>
        <v>3002245.7380385837</v>
      </c>
      <c r="Y37" s="1518">
        <f t="shared" si="8"/>
        <v>15238474.876549926</v>
      </c>
      <c r="AA37" s="924">
        <f t="shared" si="9"/>
        <v>22</v>
      </c>
      <c r="AB37" s="924">
        <v>0</v>
      </c>
      <c r="AC37" s="1518">
        <f t="shared" si="10"/>
        <v>21130540.057949495</v>
      </c>
      <c r="AD37" s="1518">
        <f t="shared" si="37"/>
        <v>1056527.0028974747</v>
      </c>
      <c r="AE37" s="1518">
        <f t="shared" si="11"/>
        <v>22187067.060846969</v>
      </c>
      <c r="AF37" s="1518">
        <f t="shared" si="38"/>
        <v>3651776.0964843705</v>
      </c>
      <c r="AG37" s="1518">
        <f t="shared" si="12"/>
        <v>18535290.964362599</v>
      </c>
      <c r="AI37" s="924">
        <f t="shared" si="13"/>
        <v>22</v>
      </c>
      <c r="AJ37" s="924">
        <v>0</v>
      </c>
      <c r="AK37" s="1518">
        <f t="shared" si="14"/>
        <v>33713550.494598404</v>
      </c>
      <c r="AL37" s="1518">
        <f t="shared" si="39"/>
        <v>1685677.5247299203</v>
      </c>
      <c r="AM37" s="1518">
        <f t="shared" si="15"/>
        <v>35399228.019328326</v>
      </c>
      <c r="AN37" s="1518">
        <f t="shared" si="40"/>
        <v>5826369.6756523177</v>
      </c>
      <c r="AO37" s="1518">
        <f t="shared" si="16"/>
        <v>29572858.343676008</v>
      </c>
      <c r="AQ37" s="924">
        <f t="shared" si="17"/>
        <v>22</v>
      </c>
      <c r="AR37" s="924">
        <v>0</v>
      </c>
      <c r="AS37" s="1518">
        <f t="shared" si="18"/>
        <v>16972282.404343881</v>
      </c>
      <c r="AT37" s="1518">
        <f t="shared" si="41"/>
        <v>848614.12021719408</v>
      </c>
      <c r="AU37" s="1518">
        <f t="shared" si="19"/>
        <v>17820896.524561074</v>
      </c>
      <c r="AV37" s="1518">
        <f t="shared" si="42"/>
        <v>2933146.7637358401</v>
      </c>
      <c r="AW37" s="1518">
        <f t="shared" si="20"/>
        <v>14887749.760825234</v>
      </c>
      <c r="AY37" s="924">
        <f t="shared" si="21"/>
        <v>22</v>
      </c>
      <c r="AZ37" s="924">
        <v>0</v>
      </c>
      <c r="BA37" s="1518">
        <f t="shared" si="22"/>
        <v>17292148.377698101</v>
      </c>
      <c r="BB37" s="1518">
        <f t="shared" si="43"/>
        <v>864607.41888490506</v>
      </c>
      <c r="BC37" s="1518">
        <f t="shared" si="23"/>
        <v>18156755.796583004</v>
      </c>
      <c r="BD37" s="1518">
        <f t="shared" si="44"/>
        <v>2988425.9431780349</v>
      </c>
      <c r="BE37" s="1518">
        <f t="shared" si="24"/>
        <v>15168329.853404969</v>
      </c>
      <c r="BG37" s="924">
        <f t="shared" si="25"/>
        <v>22</v>
      </c>
      <c r="BH37" s="924">
        <v>0</v>
      </c>
      <c r="BI37" s="1518">
        <f t="shared" si="26"/>
        <v>34273315.947968379</v>
      </c>
      <c r="BJ37" s="1518">
        <f t="shared" si="45"/>
        <v>1713665.7973984191</v>
      </c>
      <c r="BK37" s="1518">
        <f t="shared" si="27"/>
        <v>35986981.745366797</v>
      </c>
      <c r="BL37" s="1518">
        <f t="shared" si="46"/>
        <v>5923108.2396761589</v>
      </c>
      <c r="BM37" s="1518">
        <f t="shared" si="28"/>
        <v>30063873.505690638</v>
      </c>
    </row>
    <row r="38" spans="3:65" x14ac:dyDescent="0.2">
      <c r="C38" s="924">
        <v>23</v>
      </c>
      <c r="D38" s="924">
        <v>0</v>
      </c>
      <c r="E38" s="1518">
        <f t="shared" si="29"/>
        <v>15238474.876549926</v>
      </c>
      <c r="F38" s="1518">
        <f t="shared" si="31"/>
        <v>761923.74382749631</v>
      </c>
      <c r="G38" s="1518">
        <f t="shared" si="47"/>
        <v>16000398.620377421</v>
      </c>
      <c r="H38" s="1518">
        <f t="shared" si="32"/>
        <v>3002245.7380385837</v>
      </c>
      <c r="I38" s="1518">
        <f t="shared" si="48"/>
        <v>12998152.882338837</v>
      </c>
      <c r="J38" s="924"/>
      <c r="K38" s="924">
        <f t="shared" si="2"/>
        <v>23</v>
      </c>
      <c r="L38" s="924">
        <v>0</v>
      </c>
      <c r="M38" s="1518">
        <f t="shared" si="30"/>
        <v>15168329.853404969</v>
      </c>
      <c r="N38" s="1518">
        <f t="shared" si="33"/>
        <v>758416.4926702485</v>
      </c>
      <c r="O38" s="1518">
        <f t="shared" si="3"/>
        <v>15926746.346075218</v>
      </c>
      <c r="P38" s="1518">
        <f t="shared" si="34"/>
        <v>2988425.9431780349</v>
      </c>
      <c r="Q38" s="1518">
        <f t="shared" si="4"/>
        <v>12938320.402897183</v>
      </c>
      <c r="R38" s="924"/>
      <c r="S38" s="924">
        <f t="shared" si="5"/>
        <v>23</v>
      </c>
      <c r="T38" s="924">
        <v>0</v>
      </c>
      <c r="U38" s="1518">
        <f t="shared" si="6"/>
        <v>15238474.876549926</v>
      </c>
      <c r="V38" s="1518">
        <f t="shared" si="35"/>
        <v>761923.74382749631</v>
      </c>
      <c r="W38" s="1518">
        <f t="shared" si="7"/>
        <v>16000398.620377421</v>
      </c>
      <c r="X38" s="1518">
        <f t="shared" si="36"/>
        <v>3002245.7380385837</v>
      </c>
      <c r="Y38" s="1518">
        <f t="shared" si="8"/>
        <v>12998152.882338837</v>
      </c>
      <c r="AA38" s="924">
        <f t="shared" si="9"/>
        <v>23</v>
      </c>
      <c r="AB38" s="924">
        <v>0</v>
      </c>
      <c r="AC38" s="1518">
        <f t="shared" si="10"/>
        <v>18535290.964362599</v>
      </c>
      <c r="AD38" s="1518">
        <f t="shared" si="37"/>
        <v>926764.54821813002</v>
      </c>
      <c r="AE38" s="1518">
        <f t="shared" si="11"/>
        <v>19462055.51258073</v>
      </c>
      <c r="AF38" s="1518">
        <f t="shared" si="38"/>
        <v>3651776.0964843705</v>
      </c>
      <c r="AG38" s="1518">
        <f t="shared" si="12"/>
        <v>15810279.416096359</v>
      </c>
      <c r="AI38" s="924">
        <f t="shared" si="13"/>
        <v>23</v>
      </c>
      <c r="AJ38" s="924">
        <v>0</v>
      </c>
      <c r="AK38" s="1518">
        <f t="shared" si="14"/>
        <v>29572858.343676008</v>
      </c>
      <c r="AL38" s="1518">
        <f t="shared" si="39"/>
        <v>1478642.9171838006</v>
      </c>
      <c r="AM38" s="1518">
        <f t="shared" si="15"/>
        <v>31051501.26085981</v>
      </c>
      <c r="AN38" s="1518">
        <f t="shared" si="40"/>
        <v>5826369.6756523177</v>
      </c>
      <c r="AO38" s="1518">
        <f t="shared" si="16"/>
        <v>25225131.585207492</v>
      </c>
      <c r="AQ38" s="924">
        <f t="shared" si="17"/>
        <v>23</v>
      </c>
      <c r="AR38" s="924">
        <v>0</v>
      </c>
      <c r="AS38" s="1518">
        <f t="shared" si="18"/>
        <v>14887749.760825234</v>
      </c>
      <c r="AT38" s="1518">
        <f t="shared" si="41"/>
        <v>744387.48804126168</v>
      </c>
      <c r="AU38" s="1518">
        <f t="shared" si="19"/>
        <v>15632137.248866495</v>
      </c>
      <c r="AV38" s="1518">
        <f t="shared" si="42"/>
        <v>2933146.7637358401</v>
      </c>
      <c r="AW38" s="1518">
        <f t="shared" si="20"/>
        <v>12698990.485130655</v>
      </c>
      <c r="AY38" s="924">
        <f t="shared" si="21"/>
        <v>23</v>
      </c>
      <c r="AZ38" s="924">
        <v>0</v>
      </c>
      <c r="BA38" s="1518">
        <f t="shared" si="22"/>
        <v>15168329.853404969</v>
      </c>
      <c r="BB38" s="1518">
        <f t="shared" si="43"/>
        <v>758416.4926702485</v>
      </c>
      <c r="BC38" s="1518">
        <f t="shared" si="23"/>
        <v>15926746.346075218</v>
      </c>
      <c r="BD38" s="1518">
        <f t="shared" si="44"/>
        <v>2988425.9431780349</v>
      </c>
      <c r="BE38" s="1518">
        <f t="shared" si="24"/>
        <v>12938320.402897183</v>
      </c>
      <c r="BG38" s="924">
        <f t="shared" si="25"/>
        <v>23</v>
      </c>
      <c r="BH38" s="924">
        <v>0</v>
      </c>
      <c r="BI38" s="1518">
        <f t="shared" si="26"/>
        <v>30063873.505690638</v>
      </c>
      <c r="BJ38" s="1518">
        <f t="shared" si="45"/>
        <v>1503193.6752845319</v>
      </c>
      <c r="BK38" s="1518">
        <f t="shared" si="27"/>
        <v>31567067.180975169</v>
      </c>
      <c r="BL38" s="1518">
        <f t="shared" si="46"/>
        <v>5923108.2396761589</v>
      </c>
      <c r="BM38" s="1518">
        <f t="shared" si="28"/>
        <v>25643958.94129901</v>
      </c>
    </row>
    <row r="39" spans="3:65" x14ac:dyDescent="0.2">
      <c r="C39" s="924">
        <v>24</v>
      </c>
      <c r="D39" s="924">
        <v>0</v>
      </c>
      <c r="E39" s="1518">
        <f t="shared" si="29"/>
        <v>12998152.882338837</v>
      </c>
      <c r="F39" s="1518">
        <f t="shared" si="31"/>
        <v>649907.64411694184</v>
      </c>
      <c r="G39" s="1518">
        <f t="shared" si="47"/>
        <v>13648060.526455779</v>
      </c>
      <c r="H39" s="1518">
        <f t="shared" si="32"/>
        <v>3002245.7380385837</v>
      </c>
      <c r="I39" s="1518">
        <f t="shared" si="48"/>
        <v>10645814.788417194</v>
      </c>
      <c r="J39" s="924"/>
      <c r="K39" s="924">
        <f t="shared" si="2"/>
        <v>24</v>
      </c>
      <c r="L39" s="924">
        <v>0</v>
      </c>
      <c r="M39" s="1518">
        <f t="shared" si="30"/>
        <v>12938320.402897183</v>
      </c>
      <c r="N39" s="1518">
        <f t="shared" si="33"/>
        <v>646916.02014485921</v>
      </c>
      <c r="O39" s="1518">
        <f t="shared" si="3"/>
        <v>13585236.423042042</v>
      </c>
      <c r="P39" s="1518">
        <f t="shared" si="34"/>
        <v>2988425.9431780349</v>
      </c>
      <c r="Q39" s="1518">
        <f t="shared" si="4"/>
        <v>10596810.479864007</v>
      </c>
      <c r="R39" s="924"/>
      <c r="S39" s="924">
        <f t="shared" si="5"/>
        <v>24</v>
      </c>
      <c r="T39" s="924">
        <v>0</v>
      </c>
      <c r="U39" s="1518">
        <f t="shared" si="6"/>
        <v>12998152.882338837</v>
      </c>
      <c r="V39" s="1518">
        <f t="shared" si="35"/>
        <v>649907.64411694184</v>
      </c>
      <c r="W39" s="1518">
        <f t="shared" si="7"/>
        <v>13648060.526455779</v>
      </c>
      <c r="X39" s="1518">
        <f t="shared" si="36"/>
        <v>3002245.7380385837</v>
      </c>
      <c r="Y39" s="1518">
        <f t="shared" si="8"/>
        <v>10645814.788417194</v>
      </c>
      <c r="AA39" s="924">
        <f t="shared" si="9"/>
        <v>24</v>
      </c>
      <c r="AB39" s="924">
        <v>0</v>
      </c>
      <c r="AC39" s="1518">
        <f t="shared" si="10"/>
        <v>15810279.416096359</v>
      </c>
      <c r="AD39" s="1518">
        <f t="shared" si="37"/>
        <v>790513.97080481797</v>
      </c>
      <c r="AE39" s="1518">
        <f t="shared" si="11"/>
        <v>16600793.386901177</v>
      </c>
      <c r="AF39" s="1518">
        <f t="shared" si="38"/>
        <v>3651776.0964843705</v>
      </c>
      <c r="AG39" s="1518">
        <f t="shared" si="12"/>
        <v>12949017.290416807</v>
      </c>
      <c r="AI39" s="924">
        <f t="shared" si="13"/>
        <v>24</v>
      </c>
      <c r="AJ39" s="924">
        <v>0</v>
      </c>
      <c r="AK39" s="1518">
        <f t="shared" si="14"/>
        <v>25225131.585207492</v>
      </c>
      <c r="AL39" s="1518">
        <f t="shared" si="39"/>
        <v>1261256.5792603747</v>
      </c>
      <c r="AM39" s="1518">
        <f t="shared" si="15"/>
        <v>26486388.164467867</v>
      </c>
      <c r="AN39" s="1518">
        <f t="shared" si="40"/>
        <v>5826369.6756523177</v>
      </c>
      <c r="AO39" s="1518">
        <f t="shared" si="16"/>
        <v>20660018.48881555</v>
      </c>
      <c r="AQ39" s="924">
        <f t="shared" si="17"/>
        <v>24</v>
      </c>
      <c r="AR39" s="924">
        <v>0</v>
      </c>
      <c r="AS39" s="1518">
        <f t="shared" si="18"/>
        <v>12698990.485130655</v>
      </c>
      <c r="AT39" s="1518">
        <f t="shared" si="41"/>
        <v>634949.52425653278</v>
      </c>
      <c r="AU39" s="1518">
        <f t="shared" si="19"/>
        <v>13333940.009387188</v>
      </c>
      <c r="AV39" s="1518">
        <f t="shared" si="42"/>
        <v>2933146.7637358401</v>
      </c>
      <c r="AW39" s="1518">
        <f t="shared" si="20"/>
        <v>10400793.245651348</v>
      </c>
      <c r="AY39" s="924">
        <f t="shared" si="21"/>
        <v>24</v>
      </c>
      <c r="AZ39" s="924">
        <v>0</v>
      </c>
      <c r="BA39" s="1518">
        <f t="shared" si="22"/>
        <v>12938320.402897183</v>
      </c>
      <c r="BB39" s="1518">
        <f t="shared" si="43"/>
        <v>646916.02014485921</v>
      </c>
      <c r="BC39" s="1518">
        <f t="shared" si="23"/>
        <v>13585236.423042042</v>
      </c>
      <c r="BD39" s="1518">
        <f t="shared" si="44"/>
        <v>2988425.9431780349</v>
      </c>
      <c r="BE39" s="1518">
        <f t="shared" si="24"/>
        <v>10596810.479864007</v>
      </c>
      <c r="BG39" s="924">
        <f t="shared" si="25"/>
        <v>24</v>
      </c>
      <c r="BH39" s="924">
        <v>0</v>
      </c>
      <c r="BI39" s="1518">
        <f t="shared" si="26"/>
        <v>25643958.94129901</v>
      </c>
      <c r="BJ39" s="1518">
        <f t="shared" si="45"/>
        <v>1282197.9470649506</v>
      </c>
      <c r="BK39" s="1518">
        <f t="shared" si="27"/>
        <v>26926156.888363961</v>
      </c>
      <c r="BL39" s="1518">
        <f t="shared" si="46"/>
        <v>5923108.2396761589</v>
      </c>
      <c r="BM39" s="1518">
        <f t="shared" si="28"/>
        <v>21003048.648687802</v>
      </c>
    </row>
    <row r="40" spans="3:65" x14ac:dyDescent="0.2">
      <c r="C40" s="924">
        <v>25</v>
      </c>
      <c r="D40" s="924">
        <v>0</v>
      </c>
      <c r="E40" s="1518">
        <f t="shared" si="29"/>
        <v>10645814.788417194</v>
      </c>
      <c r="F40" s="1518">
        <f t="shared" si="31"/>
        <v>532290.73942085973</v>
      </c>
      <c r="G40" s="1518">
        <f t="shared" si="47"/>
        <v>11178105.527838053</v>
      </c>
      <c r="H40" s="1518">
        <f t="shared" si="32"/>
        <v>3002245.7380385837</v>
      </c>
      <c r="I40" s="1518">
        <f t="shared" si="48"/>
        <v>8175859.7897994695</v>
      </c>
      <c r="J40" s="924"/>
      <c r="K40" s="924">
        <f t="shared" si="2"/>
        <v>25</v>
      </c>
      <c r="L40" s="924">
        <v>0</v>
      </c>
      <c r="M40" s="1518">
        <f t="shared" si="30"/>
        <v>10596810.479864007</v>
      </c>
      <c r="N40" s="1518">
        <f t="shared" si="33"/>
        <v>529840.52399320039</v>
      </c>
      <c r="O40" s="1518">
        <f t="shared" si="3"/>
        <v>11126651.003857207</v>
      </c>
      <c r="P40" s="1518">
        <f t="shared" si="34"/>
        <v>2988425.9431780349</v>
      </c>
      <c r="Q40" s="1518">
        <f t="shared" si="4"/>
        <v>8138225.0606791712</v>
      </c>
      <c r="R40" s="924"/>
      <c r="S40" s="924">
        <f t="shared" si="5"/>
        <v>25</v>
      </c>
      <c r="T40" s="924">
        <v>0</v>
      </c>
      <c r="U40" s="1518">
        <f t="shared" si="6"/>
        <v>10645814.788417194</v>
      </c>
      <c r="V40" s="1518">
        <f t="shared" si="35"/>
        <v>532290.73942085973</v>
      </c>
      <c r="W40" s="1518">
        <f t="shared" si="7"/>
        <v>11178105.527838053</v>
      </c>
      <c r="X40" s="1518">
        <f t="shared" si="36"/>
        <v>3002245.7380385837</v>
      </c>
      <c r="Y40" s="1518">
        <f t="shared" si="8"/>
        <v>8175859.7897994695</v>
      </c>
      <c r="AA40" s="924">
        <f t="shared" si="9"/>
        <v>25</v>
      </c>
      <c r="AB40" s="924">
        <v>0</v>
      </c>
      <c r="AC40" s="1518">
        <f t="shared" si="10"/>
        <v>12949017.290416807</v>
      </c>
      <c r="AD40" s="1518">
        <f t="shared" si="37"/>
        <v>647450.86452084035</v>
      </c>
      <c r="AE40" s="1518">
        <f t="shared" si="11"/>
        <v>13596468.154937647</v>
      </c>
      <c r="AF40" s="1518">
        <f t="shared" si="38"/>
        <v>3651776.0964843705</v>
      </c>
      <c r="AG40" s="1518">
        <f t="shared" si="12"/>
        <v>9944692.0584532768</v>
      </c>
      <c r="AI40" s="924">
        <f t="shared" si="13"/>
        <v>25</v>
      </c>
      <c r="AJ40" s="924">
        <v>0</v>
      </c>
      <c r="AK40" s="1518">
        <f t="shared" si="14"/>
        <v>20660018.48881555</v>
      </c>
      <c r="AL40" s="1518">
        <f t="shared" si="39"/>
        <v>1033000.9244407775</v>
      </c>
      <c r="AM40" s="1518">
        <f t="shared" si="15"/>
        <v>21693019.413256329</v>
      </c>
      <c r="AN40" s="1518">
        <f t="shared" si="40"/>
        <v>5826369.6756523177</v>
      </c>
      <c r="AO40" s="1518">
        <f t="shared" si="16"/>
        <v>15866649.737604011</v>
      </c>
      <c r="AQ40" s="924">
        <f t="shared" si="17"/>
        <v>25</v>
      </c>
      <c r="AR40" s="924">
        <v>0</v>
      </c>
      <c r="AS40" s="1518">
        <f t="shared" si="18"/>
        <v>10400793.245651348</v>
      </c>
      <c r="AT40" s="1518">
        <f t="shared" si="41"/>
        <v>520039.66228256741</v>
      </c>
      <c r="AU40" s="1518">
        <f t="shared" si="19"/>
        <v>10920832.907933915</v>
      </c>
      <c r="AV40" s="1518">
        <f t="shared" si="42"/>
        <v>2933146.7637358401</v>
      </c>
      <c r="AW40" s="1518">
        <f t="shared" si="20"/>
        <v>7987686.1441980749</v>
      </c>
      <c r="AY40" s="924">
        <f t="shared" si="21"/>
        <v>25</v>
      </c>
      <c r="AZ40" s="924">
        <v>0</v>
      </c>
      <c r="BA40" s="1518">
        <f t="shared" si="22"/>
        <v>10596810.479864007</v>
      </c>
      <c r="BB40" s="1518">
        <f t="shared" si="43"/>
        <v>529840.52399320039</v>
      </c>
      <c r="BC40" s="1518">
        <f t="shared" si="23"/>
        <v>11126651.003857207</v>
      </c>
      <c r="BD40" s="1518">
        <f t="shared" si="44"/>
        <v>2988425.9431780349</v>
      </c>
      <c r="BE40" s="1518">
        <f t="shared" si="24"/>
        <v>8138225.0606791712</v>
      </c>
      <c r="BG40" s="924">
        <f t="shared" si="25"/>
        <v>25</v>
      </c>
      <c r="BH40" s="924">
        <v>0</v>
      </c>
      <c r="BI40" s="1518">
        <f t="shared" si="26"/>
        <v>21003048.648687802</v>
      </c>
      <c r="BJ40" s="1518">
        <f t="shared" si="45"/>
        <v>1050152.4324343901</v>
      </c>
      <c r="BK40" s="1518">
        <f t="shared" si="27"/>
        <v>22053201.081122193</v>
      </c>
      <c r="BL40" s="1518">
        <f t="shared" si="46"/>
        <v>5923108.2396761589</v>
      </c>
      <c r="BM40" s="1518">
        <f t="shared" si="28"/>
        <v>16130092.841446035</v>
      </c>
    </row>
    <row r="41" spans="3:65" x14ac:dyDescent="0.2">
      <c r="C41" s="924">
        <v>26</v>
      </c>
      <c r="D41" s="924">
        <v>0</v>
      </c>
      <c r="E41" s="1518">
        <f t="shared" si="29"/>
        <v>8175859.7897994695</v>
      </c>
      <c r="F41" s="1518">
        <f t="shared" si="31"/>
        <v>408792.98948997352</v>
      </c>
      <c r="G41" s="1518">
        <f t="shared" si="47"/>
        <v>8584652.779289443</v>
      </c>
      <c r="H41" s="1518">
        <f t="shared" si="32"/>
        <v>3002245.7380385837</v>
      </c>
      <c r="I41" s="1518">
        <f t="shared" si="48"/>
        <v>5582407.0412508594</v>
      </c>
      <c r="J41" s="924"/>
      <c r="K41" s="924">
        <f t="shared" si="2"/>
        <v>26</v>
      </c>
      <c r="L41" s="924">
        <v>0</v>
      </c>
      <c r="M41" s="1518">
        <f t="shared" si="30"/>
        <v>8138225.0606791712</v>
      </c>
      <c r="N41" s="1518">
        <f t="shared" si="33"/>
        <v>406911.25303395861</v>
      </c>
      <c r="O41" s="1518">
        <f t="shared" si="3"/>
        <v>8545136.3137131296</v>
      </c>
      <c r="P41" s="1518">
        <f t="shared" si="34"/>
        <v>2988425.9431780349</v>
      </c>
      <c r="Q41" s="1518">
        <f t="shared" si="4"/>
        <v>5556710.3705350943</v>
      </c>
      <c r="R41" s="924"/>
      <c r="S41" s="924">
        <f t="shared" si="5"/>
        <v>26</v>
      </c>
      <c r="T41" s="924">
        <v>0</v>
      </c>
      <c r="U41" s="1518">
        <f t="shared" si="6"/>
        <v>8175859.7897994695</v>
      </c>
      <c r="V41" s="1518">
        <f t="shared" si="35"/>
        <v>408792.98948997352</v>
      </c>
      <c r="W41" s="1518">
        <f t="shared" si="7"/>
        <v>8584652.779289443</v>
      </c>
      <c r="X41" s="1518">
        <f t="shared" si="36"/>
        <v>3002245.7380385837</v>
      </c>
      <c r="Y41" s="1518">
        <f t="shared" si="8"/>
        <v>5582407.0412508594</v>
      </c>
      <c r="AA41" s="924">
        <f t="shared" si="9"/>
        <v>26</v>
      </c>
      <c r="AB41" s="924">
        <v>0</v>
      </c>
      <c r="AC41" s="1518">
        <f t="shared" si="10"/>
        <v>9944692.0584532768</v>
      </c>
      <c r="AD41" s="1518">
        <f t="shared" si="37"/>
        <v>497234.60292266385</v>
      </c>
      <c r="AE41" s="1518">
        <f t="shared" si="11"/>
        <v>10441926.66137594</v>
      </c>
      <c r="AF41" s="1518">
        <f t="shared" si="38"/>
        <v>3651776.0964843705</v>
      </c>
      <c r="AG41" s="1518">
        <f t="shared" si="12"/>
        <v>6790150.5648915693</v>
      </c>
      <c r="AI41" s="924">
        <f t="shared" si="13"/>
        <v>26</v>
      </c>
      <c r="AJ41" s="924">
        <v>0</v>
      </c>
      <c r="AK41" s="1518">
        <f t="shared" si="14"/>
        <v>15866649.737604011</v>
      </c>
      <c r="AL41" s="1518">
        <f t="shared" si="39"/>
        <v>793332.48688020057</v>
      </c>
      <c r="AM41" s="1518">
        <f t="shared" si="15"/>
        <v>16659982.224484211</v>
      </c>
      <c r="AN41" s="1518">
        <f t="shared" si="40"/>
        <v>5826369.6756523177</v>
      </c>
      <c r="AO41" s="1518">
        <f t="shared" si="16"/>
        <v>10833612.548831893</v>
      </c>
      <c r="AQ41" s="924">
        <f t="shared" si="17"/>
        <v>26</v>
      </c>
      <c r="AR41" s="924">
        <v>0</v>
      </c>
      <c r="AS41" s="1518">
        <f t="shared" si="18"/>
        <v>7987686.1441980749</v>
      </c>
      <c r="AT41" s="1518">
        <f t="shared" si="41"/>
        <v>399384.30720990378</v>
      </c>
      <c r="AU41" s="1518">
        <f t="shared" si="19"/>
        <v>8387070.4514079783</v>
      </c>
      <c r="AV41" s="1518">
        <f t="shared" si="42"/>
        <v>2933146.7637358401</v>
      </c>
      <c r="AW41" s="1518">
        <f t="shared" si="20"/>
        <v>5453923.6876721382</v>
      </c>
      <c r="AY41" s="924">
        <f t="shared" si="21"/>
        <v>26</v>
      </c>
      <c r="AZ41" s="924">
        <v>0</v>
      </c>
      <c r="BA41" s="1518">
        <f t="shared" si="22"/>
        <v>8138225.0606791712</v>
      </c>
      <c r="BB41" s="1518">
        <f t="shared" si="43"/>
        <v>406911.25303395861</v>
      </c>
      <c r="BC41" s="1518">
        <f t="shared" si="23"/>
        <v>8545136.3137131296</v>
      </c>
      <c r="BD41" s="1518">
        <f t="shared" si="44"/>
        <v>2988425.9431780349</v>
      </c>
      <c r="BE41" s="1518">
        <f t="shared" si="24"/>
        <v>5556710.3705350943</v>
      </c>
      <c r="BG41" s="924">
        <f t="shared" si="25"/>
        <v>26</v>
      </c>
      <c r="BH41" s="924">
        <v>0</v>
      </c>
      <c r="BI41" s="1518">
        <f t="shared" si="26"/>
        <v>16130092.841446035</v>
      </c>
      <c r="BJ41" s="1518">
        <f t="shared" si="45"/>
        <v>806504.64207230182</v>
      </c>
      <c r="BK41" s="1518">
        <f t="shared" si="27"/>
        <v>16936597.483518336</v>
      </c>
      <c r="BL41" s="1518">
        <f t="shared" si="46"/>
        <v>5923108.2396761589</v>
      </c>
      <c r="BM41" s="1518">
        <f t="shared" si="28"/>
        <v>11013489.243842177</v>
      </c>
    </row>
    <row r="42" spans="3:65" x14ac:dyDescent="0.2">
      <c r="C42" s="924">
        <v>27</v>
      </c>
      <c r="D42" s="924">
        <v>0</v>
      </c>
      <c r="E42" s="1518">
        <f t="shared" si="29"/>
        <v>5582407.0412508594</v>
      </c>
      <c r="F42" s="1518">
        <f t="shared" si="31"/>
        <v>279120.35206254298</v>
      </c>
      <c r="G42" s="1518">
        <f t="shared" si="47"/>
        <v>5861527.3933134023</v>
      </c>
      <c r="H42" s="1518">
        <f t="shared" si="32"/>
        <v>3002245.7380385837</v>
      </c>
      <c r="I42" s="1518">
        <f t="shared" si="48"/>
        <v>2859281.6552748187</v>
      </c>
      <c r="J42" s="924"/>
      <c r="K42" s="924">
        <f t="shared" si="2"/>
        <v>27</v>
      </c>
      <c r="L42" s="924">
        <v>0</v>
      </c>
      <c r="M42" s="1518">
        <f t="shared" si="30"/>
        <v>5556710.3705350943</v>
      </c>
      <c r="N42" s="1518">
        <f t="shared" si="33"/>
        <v>277835.51852675475</v>
      </c>
      <c r="O42" s="1518">
        <f t="shared" si="3"/>
        <v>5834545.8890618486</v>
      </c>
      <c r="P42" s="1518">
        <f t="shared" si="34"/>
        <v>2988425.9431780349</v>
      </c>
      <c r="Q42" s="1518">
        <f t="shared" si="4"/>
        <v>2846119.9458838138</v>
      </c>
      <c r="R42" s="924"/>
      <c r="S42" s="924">
        <f t="shared" si="5"/>
        <v>27</v>
      </c>
      <c r="T42" s="924">
        <v>0</v>
      </c>
      <c r="U42" s="1518">
        <f t="shared" si="6"/>
        <v>5582407.0412508594</v>
      </c>
      <c r="V42" s="1518">
        <f t="shared" si="35"/>
        <v>279120.35206254298</v>
      </c>
      <c r="W42" s="1518">
        <f t="shared" si="7"/>
        <v>5861527.3933134023</v>
      </c>
      <c r="X42" s="1518">
        <f t="shared" si="36"/>
        <v>3002245.7380385837</v>
      </c>
      <c r="Y42" s="1518">
        <f t="shared" si="8"/>
        <v>2859281.6552748187</v>
      </c>
      <c r="AA42" s="924">
        <f t="shared" si="9"/>
        <v>27</v>
      </c>
      <c r="AB42" s="924">
        <v>0</v>
      </c>
      <c r="AC42" s="1518">
        <f t="shared" si="10"/>
        <v>6790150.5648915693</v>
      </c>
      <c r="AD42" s="1518">
        <f t="shared" si="37"/>
        <v>339507.52824457851</v>
      </c>
      <c r="AE42" s="1518">
        <f t="shared" si="11"/>
        <v>7129658.0931361476</v>
      </c>
      <c r="AF42" s="1518">
        <f t="shared" si="38"/>
        <v>3651776.0964843705</v>
      </c>
      <c r="AG42" s="1518">
        <f t="shared" si="12"/>
        <v>3477881.9966517771</v>
      </c>
      <c r="AI42" s="924">
        <f t="shared" si="13"/>
        <v>27</v>
      </c>
      <c r="AJ42" s="924">
        <v>0</v>
      </c>
      <c r="AK42" s="1518">
        <f t="shared" si="14"/>
        <v>10833612.548831893</v>
      </c>
      <c r="AL42" s="1518">
        <f t="shared" si="39"/>
        <v>541680.62744159473</v>
      </c>
      <c r="AM42" s="1518">
        <f t="shared" si="15"/>
        <v>11375293.176273488</v>
      </c>
      <c r="AN42" s="1518">
        <f t="shared" si="40"/>
        <v>5826369.6756523177</v>
      </c>
      <c r="AO42" s="1518">
        <f t="shared" si="16"/>
        <v>5548923.5006211698</v>
      </c>
      <c r="AQ42" s="924">
        <f t="shared" si="17"/>
        <v>27</v>
      </c>
      <c r="AR42" s="924">
        <v>0</v>
      </c>
      <c r="AS42" s="1518">
        <f t="shared" si="18"/>
        <v>5453923.6876721382</v>
      </c>
      <c r="AT42" s="1518">
        <f t="shared" si="41"/>
        <v>272696.18438360695</v>
      </c>
      <c r="AU42" s="1518">
        <f t="shared" si="19"/>
        <v>5726619.8720557448</v>
      </c>
      <c r="AV42" s="1518">
        <f t="shared" si="42"/>
        <v>2933146.7637358401</v>
      </c>
      <c r="AW42" s="1518">
        <f t="shared" si="20"/>
        <v>2793473.1083199047</v>
      </c>
      <c r="AY42" s="924">
        <f t="shared" si="21"/>
        <v>27</v>
      </c>
      <c r="AZ42" s="924">
        <v>0</v>
      </c>
      <c r="BA42" s="1518">
        <f t="shared" si="22"/>
        <v>5556710.3705350943</v>
      </c>
      <c r="BB42" s="1518">
        <f t="shared" si="43"/>
        <v>277835.51852675475</v>
      </c>
      <c r="BC42" s="1518">
        <f t="shared" si="23"/>
        <v>5834545.8890618486</v>
      </c>
      <c r="BD42" s="1518">
        <f t="shared" si="44"/>
        <v>2988425.9431780349</v>
      </c>
      <c r="BE42" s="1518">
        <f t="shared" si="24"/>
        <v>2846119.9458838138</v>
      </c>
      <c r="BG42" s="924">
        <f t="shared" si="25"/>
        <v>27</v>
      </c>
      <c r="BH42" s="924">
        <v>0</v>
      </c>
      <c r="BI42" s="1518">
        <f t="shared" si="26"/>
        <v>11013489.243842177</v>
      </c>
      <c r="BJ42" s="1518">
        <f t="shared" si="45"/>
        <v>550674.46219210885</v>
      </c>
      <c r="BK42" s="1518">
        <f t="shared" si="27"/>
        <v>11564163.706034286</v>
      </c>
      <c r="BL42" s="1518">
        <f t="shared" si="46"/>
        <v>5923108.2396761589</v>
      </c>
      <c r="BM42" s="1518">
        <f t="shared" si="28"/>
        <v>5641055.4663581271</v>
      </c>
    </row>
    <row r="43" spans="3:65" x14ac:dyDescent="0.2">
      <c r="C43" s="924">
        <v>28</v>
      </c>
      <c r="D43" s="924">
        <v>0</v>
      </c>
      <c r="E43" s="1518">
        <f t="shared" si="29"/>
        <v>2859281.6552748187</v>
      </c>
      <c r="F43" s="1518">
        <f t="shared" si="31"/>
        <v>142964.08276374094</v>
      </c>
      <c r="G43" s="1518">
        <f t="shared" si="47"/>
        <v>3002245.7380385594</v>
      </c>
      <c r="H43" s="1518">
        <f t="shared" si="32"/>
        <v>3002245.7380385837</v>
      </c>
      <c r="I43" s="1518">
        <f t="shared" si="48"/>
        <v>-2.4214386940002441E-8</v>
      </c>
      <c r="J43" s="924"/>
      <c r="K43" s="924">
        <f t="shared" si="2"/>
        <v>28</v>
      </c>
      <c r="L43" s="924">
        <v>0</v>
      </c>
      <c r="M43" s="1518">
        <f t="shared" si="30"/>
        <v>2846119.9458838138</v>
      </c>
      <c r="N43" s="1518">
        <f t="shared" si="33"/>
        <v>142305.99729419069</v>
      </c>
      <c r="O43" s="1518">
        <f t="shared" si="3"/>
        <v>2988425.9431780046</v>
      </c>
      <c r="P43" s="1518">
        <f t="shared" si="34"/>
        <v>2988425.9431780349</v>
      </c>
      <c r="Q43" s="1518">
        <f t="shared" si="4"/>
        <v>-3.0267983675003052E-8</v>
      </c>
      <c r="R43" s="924"/>
      <c r="S43" s="924">
        <f t="shared" si="5"/>
        <v>28</v>
      </c>
      <c r="T43" s="924">
        <v>0</v>
      </c>
      <c r="U43" s="1518">
        <f t="shared" si="6"/>
        <v>2859281.6552748187</v>
      </c>
      <c r="V43" s="1518">
        <f t="shared" si="35"/>
        <v>142964.08276374094</v>
      </c>
      <c r="W43" s="1518">
        <f t="shared" si="7"/>
        <v>3002245.7380385594</v>
      </c>
      <c r="X43" s="1518">
        <f t="shared" si="36"/>
        <v>3002245.7380385837</v>
      </c>
      <c r="Y43" s="1518">
        <f t="shared" si="8"/>
        <v>-2.4214386940002441E-8</v>
      </c>
      <c r="AA43" s="924">
        <f t="shared" si="9"/>
        <v>28</v>
      </c>
      <c r="AB43" s="924">
        <v>0</v>
      </c>
      <c r="AC43" s="1518">
        <f t="shared" si="10"/>
        <v>3477881.9966517771</v>
      </c>
      <c r="AD43" s="1518">
        <f t="shared" si="37"/>
        <v>173894.09983258886</v>
      </c>
      <c r="AE43" s="1518">
        <f t="shared" si="11"/>
        <v>3651776.0964843659</v>
      </c>
      <c r="AF43" s="1518">
        <f t="shared" si="38"/>
        <v>3651776.0964843705</v>
      </c>
      <c r="AG43" s="1518">
        <f t="shared" si="12"/>
        <v>-4.6566128730773926E-9</v>
      </c>
      <c r="AI43" s="924">
        <f t="shared" si="13"/>
        <v>28</v>
      </c>
      <c r="AJ43" s="924">
        <v>0</v>
      </c>
      <c r="AK43" s="1518">
        <f t="shared" si="14"/>
        <v>5548923.5006211698</v>
      </c>
      <c r="AL43" s="1518">
        <f t="shared" si="39"/>
        <v>277446.17503105849</v>
      </c>
      <c r="AM43" s="1518">
        <f t="shared" si="15"/>
        <v>5826369.6756522283</v>
      </c>
      <c r="AN43" s="1518">
        <f t="shared" si="40"/>
        <v>5826369.6756523177</v>
      </c>
      <c r="AO43" s="1518">
        <f t="shared" si="16"/>
        <v>-8.9406967163085938E-8</v>
      </c>
      <c r="AQ43" s="924">
        <f t="shared" si="17"/>
        <v>28</v>
      </c>
      <c r="AR43" s="924">
        <v>0</v>
      </c>
      <c r="AS43" s="1518">
        <f t="shared" si="18"/>
        <v>2793473.1083199047</v>
      </c>
      <c r="AT43" s="1518">
        <f t="shared" si="41"/>
        <v>139673.65541599525</v>
      </c>
      <c r="AU43" s="1518">
        <f t="shared" si="19"/>
        <v>2933146.7637358997</v>
      </c>
      <c r="AV43" s="1518">
        <f t="shared" si="42"/>
        <v>2933146.7637358401</v>
      </c>
      <c r="AW43" s="1518">
        <f t="shared" si="20"/>
        <v>5.9604644775390625E-8</v>
      </c>
      <c r="AY43" s="924">
        <f t="shared" si="21"/>
        <v>28</v>
      </c>
      <c r="AZ43" s="924">
        <v>0</v>
      </c>
      <c r="BA43" s="1518">
        <f t="shared" si="22"/>
        <v>2846119.9458838138</v>
      </c>
      <c r="BB43" s="1518">
        <f t="shared" si="43"/>
        <v>142305.99729419069</v>
      </c>
      <c r="BC43" s="1518">
        <f t="shared" si="23"/>
        <v>2988425.9431780046</v>
      </c>
      <c r="BD43" s="1518">
        <f t="shared" si="44"/>
        <v>2988425.9431780349</v>
      </c>
      <c r="BE43" s="1518">
        <f t="shared" si="24"/>
        <v>-3.0267983675003052E-8</v>
      </c>
      <c r="BG43" s="924">
        <f t="shared" si="25"/>
        <v>28</v>
      </c>
      <c r="BH43" s="924">
        <v>0</v>
      </c>
      <c r="BI43" s="1518">
        <f t="shared" si="26"/>
        <v>5641055.4663581271</v>
      </c>
      <c r="BJ43" s="1518">
        <f t="shared" si="45"/>
        <v>282052.77331790637</v>
      </c>
      <c r="BK43" s="1518">
        <f t="shared" si="27"/>
        <v>5923108.2396760331</v>
      </c>
      <c r="BL43" s="1518">
        <f t="shared" si="46"/>
        <v>5923108.2396761589</v>
      </c>
      <c r="BM43" s="1518">
        <f t="shared" si="28"/>
        <v>-1.257285475730896E-7</v>
      </c>
    </row>
    <row r="44" spans="3:65" x14ac:dyDescent="0.2">
      <c r="C44" s="924">
        <v>29</v>
      </c>
      <c r="D44" s="924">
        <v>0</v>
      </c>
      <c r="E44" s="1518">
        <f t="shared" si="29"/>
        <v>0</v>
      </c>
      <c r="F44" s="1518">
        <f t="shared" si="31"/>
        <v>0</v>
      </c>
      <c r="G44" s="1518">
        <f t="shared" si="47"/>
        <v>0</v>
      </c>
      <c r="H44" s="1519">
        <f t="shared" si="32"/>
        <v>0</v>
      </c>
      <c r="I44" s="1518">
        <f t="shared" si="48"/>
        <v>0</v>
      </c>
      <c r="J44" s="924"/>
      <c r="K44" s="924">
        <f t="shared" si="2"/>
        <v>29</v>
      </c>
      <c r="L44" s="924">
        <v>0</v>
      </c>
      <c r="M44" s="1518">
        <f t="shared" si="30"/>
        <v>0</v>
      </c>
      <c r="N44" s="1518">
        <f t="shared" si="33"/>
        <v>0</v>
      </c>
      <c r="O44" s="1518">
        <f t="shared" si="3"/>
        <v>0</v>
      </c>
      <c r="P44" s="1518">
        <f t="shared" si="34"/>
        <v>0</v>
      </c>
      <c r="Q44" s="1518">
        <f t="shared" si="4"/>
        <v>0</v>
      </c>
      <c r="R44" s="924"/>
      <c r="S44" s="924">
        <f t="shared" si="5"/>
        <v>29</v>
      </c>
      <c r="T44" s="924">
        <v>0</v>
      </c>
      <c r="U44" s="1518">
        <f t="shared" si="6"/>
        <v>0</v>
      </c>
      <c r="V44" s="1518">
        <f t="shared" si="35"/>
        <v>0</v>
      </c>
      <c r="W44" s="1518">
        <f t="shared" si="7"/>
        <v>0</v>
      </c>
      <c r="X44" s="1518">
        <f t="shared" si="36"/>
        <v>0</v>
      </c>
      <c r="Y44" s="1518">
        <f t="shared" si="8"/>
        <v>0</v>
      </c>
      <c r="AA44" s="924">
        <f t="shared" si="9"/>
        <v>29</v>
      </c>
      <c r="AB44" s="924">
        <v>0</v>
      </c>
      <c r="AC44" s="1518">
        <f t="shared" si="10"/>
        <v>0</v>
      </c>
      <c r="AD44" s="1518">
        <f t="shared" si="37"/>
        <v>0</v>
      </c>
      <c r="AE44" s="1518">
        <f t="shared" si="11"/>
        <v>0</v>
      </c>
      <c r="AF44" s="1518">
        <f t="shared" si="38"/>
        <v>0</v>
      </c>
      <c r="AG44" s="1518">
        <f t="shared" si="12"/>
        <v>0</v>
      </c>
      <c r="AI44" s="924">
        <f t="shared" si="13"/>
        <v>29</v>
      </c>
      <c r="AJ44" s="924">
        <v>0</v>
      </c>
      <c r="AK44" s="1518">
        <f t="shared" si="14"/>
        <v>0</v>
      </c>
      <c r="AL44" s="1518">
        <f t="shared" si="39"/>
        <v>0</v>
      </c>
      <c r="AM44" s="1518">
        <f t="shared" si="15"/>
        <v>0</v>
      </c>
      <c r="AN44" s="1518">
        <f t="shared" si="40"/>
        <v>0</v>
      </c>
      <c r="AO44" s="1518">
        <f t="shared" si="16"/>
        <v>0</v>
      </c>
      <c r="AQ44" s="924">
        <f t="shared" si="17"/>
        <v>29</v>
      </c>
      <c r="AR44" s="924">
        <v>0</v>
      </c>
      <c r="AS44" s="1518">
        <f t="shared" si="18"/>
        <v>5.9604644775390625E-8</v>
      </c>
      <c r="AT44" s="1518">
        <f t="shared" si="41"/>
        <v>2.9802322387695314E-9</v>
      </c>
      <c r="AU44" s="1518">
        <f t="shared" si="19"/>
        <v>6.2584877014160159E-8</v>
      </c>
      <c r="AV44" s="1518">
        <f t="shared" si="42"/>
        <v>0</v>
      </c>
      <c r="AW44" s="1518">
        <f t="shared" si="20"/>
        <v>6.2584877014160159E-8</v>
      </c>
      <c r="AY44" s="924">
        <f t="shared" si="21"/>
        <v>29</v>
      </c>
      <c r="AZ44" s="924">
        <v>0</v>
      </c>
      <c r="BA44" s="1518">
        <f t="shared" si="22"/>
        <v>0</v>
      </c>
      <c r="BB44" s="1518">
        <f t="shared" si="43"/>
        <v>0</v>
      </c>
      <c r="BC44" s="1518">
        <f t="shared" si="23"/>
        <v>0</v>
      </c>
      <c r="BD44" s="1518">
        <f t="shared" si="44"/>
        <v>0</v>
      </c>
      <c r="BE44" s="1518">
        <f t="shared" si="24"/>
        <v>0</v>
      </c>
      <c r="BG44" s="924">
        <f t="shared" si="25"/>
        <v>29</v>
      </c>
      <c r="BH44" s="924">
        <v>0</v>
      </c>
      <c r="BI44" s="1518">
        <f t="shared" si="26"/>
        <v>0</v>
      </c>
      <c r="BJ44" s="1518">
        <f t="shared" si="45"/>
        <v>0</v>
      </c>
      <c r="BK44" s="1518">
        <f t="shared" si="27"/>
        <v>0</v>
      </c>
      <c r="BL44" s="1518">
        <f t="shared" si="46"/>
        <v>0</v>
      </c>
      <c r="BM44" s="1518">
        <f t="shared" si="28"/>
        <v>0</v>
      </c>
    </row>
    <row r="45" spans="3:65" x14ac:dyDescent="0.2">
      <c r="C45" s="924">
        <v>30</v>
      </c>
      <c r="D45" s="924">
        <v>0</v>
      </c>
      <c r="E45" s="1518">
        <f t="shared" si="29"/>
        <v>0</v>
      </c>
      <c r="F45" s="1518">
        <f t="shared" si="31"/>
        <v>0</v>
      </c>
      <c r="G45" s="1518">
        <f t="shared" si="47"/>
        <v>0</v>
      </c>
      <c r="H45" s="1519">
        <f t="shared" si="32"/>
        <v>0</v>
      </c>
      <c r="I45" s="1518">
        <f t="shared" si="48"/>
        <v>0</v>
      </c>
      <c r="J45" s="924"/>
      <c r="K45" s="924">
        <f t="shared" si="2"/>
        <v>30</v>
      </c>
      <c r="L45" s="924">
        <v>0</v>
      </c>
      <c r="M45" s="1518">
        <f t="shared" si="30"/>
        <v>0</v>
      </c>
      <c r="N45" s="1518">
        <f t="shared" si="33"/>
        <v>0</v>
      </c>
      <c r="O45" s="1518">
        <f t="shared" si="3"/>
        <v>0</v>
      </c>
      <c r="P45" s="1518">
        <f t="shared" si="34"/>
        <v>0</v>
      </c>
      <c r="Q45" s="1518">
        <f t="shared" si="4"/>
        <v>0</v>
      </c>
      <c r="R45" s="924"/>
      <c r="S45" s="924">
        <f t="shared" si="5"/>
        <v>30</v>
      </c>
      <c r="T45" s="924">
        <v>0</v>
      </c>
      <c r="U45" s="1518">
        <f t="shared" si="6"/>
        <v>0</v>
      </c>
      <c r="V45" s="1518">
        <f t="shared" si="35"/>
        <v>0</v>
      </c>
      <c r="W45" s="1518">
        <f t="shared" si="7"/>
        <v>0</v>
      </c>
      <c r="X45" s="1518">
        <f t="shared" si="36"/>
        <v>0</v>
      </c>
      <c r="Y45" s="1518">
        <f t="shared" si="8"/>
        <v>0</v>
      </c>
      <c r="AA45" s="924">
        <f t="shared" si="9"/>
        <v>30</v>
      </c>
      <c r="AB45" s="924">
        <v>0</v>
      </c>
      <c r="AC45" s="1518">
        <f t="shared" si="10"/>
        <v>0</v>
      </c>
      <c r="AD45" s="1518">
        <f t="shared" si="37"/>
        <v>0</v>
      </c>
      <c r="AE45" s="1518">
        <f t="shared" si="11"/>
        <v>0</v>
      </c>
      <c r="AF45" s="1518">
        <f t="shared" si="38"/>
        <v>0</v>
      </c>
      <c r="AG45" s="1518">
        <f t="shared" si="12"/>
        <v>0</v>
      </c>
      <c r="AI45" s="924">
        <f t="shared" si="13"/>
        <v>30</v>
      </c>
      <c r="AJ45" s="924">
        <v>0</v>
      </c>
      <c r="AK45" s="1518">
        <f t="shared" si="14"/>
        <v>0</v>
      </c>
      <c r="AL45" s="1518">
        <f t="shared" si="39"/>
        <v>0</v>
      </c>
      <c r="AM45" s="1518">
        <f t="shared" si="15"/>
        <v>0</v>
      </c>
      <c r="AN45" s="1518">
        <f t="shared" si="40"/>
        <v>0</v>
      </c>
      <c r="AO45" s="1518">
        <f t="shared" si="16"/>
        <v>0</v>
      </c>
      <c r="AQ45" s="924">
        <f t="shared" si="17"/>
        <v>30</v>
      </c>
      <c r="AR45" s="924">
        <v>0</v>
      </c>
      <c r="AS45" s="1518">
        <f t="shared" si="18"/>
        <v>6.2584877014160159E-8</v>
      </c>
      <c r="AT45" s="1518">
        <f t="shared" si="41"/>
        <v>3.1292438507080081E-9</v>
      </c>
      <c r="AU45" s="1518">
        <f t="shared" si="19"/>
        <v>6.5714120864868166E-8</v>
      </c>
      <c r="AV45" s="1518">
        <f t="shared" si="42"/>
        <v>0</v>
      </c>
      <c r="AW45" s="1518">
        <f t="shared" si="20"/>
        <v>6.5714120864868166E-8</v>
      </c>
      <c r="AY45" s="924">
        <f t="shared" si="21"/>
        <v>30</v>
      </c>
      <c r="AZ45" s="924">
        <v>0</v>
      </c>
      <c r="BA45" s="1518">
        <f t="shared" si="22"/>
        <v>0</v>
      </c>
      <c r="BB45" s="1518">
        <f t="shared" si="43"/>
        <v>0</v>
      </c>
      <c r="BC45" s="1518">
        <f t="shared" si="23"/>
        <v>0</v>
      </c>
      <c r="BD45" s="1518">
        <f t="shared" si="44"/>
        <v>0</v>
      </c>
      <c r="BE45" s="1518">
        <f t="shared" si="24"/>
        <v>0</v>
      </c>
      <c r="BG45" s="924">
        <f t="shared" si="25"/>
        <v>30</v>
      </c>
      <c r="BH45" s="924">
        <v>0</v>
      </c>
      <c r="BI45" s="1518">
        <f t="shared" si="26"/>
        <v>0</v>
      </c>
      <c r="BJ45" s="1518">
        <f t="shared" si="45"/>
        <v>0</v>
      </c>
      <c r="BK45" s="1518">
        <f t="shared" si="27"/>
        <v>0</v>
      </c>
      <c r="BL45" s="1518">
        <f t="shared" si="46"/>
        <v>0</v>
      </c>
      <c r="BM45" s="1518">
        <f t="shared" si="28"/>
        <v>0</v>
      </c>
    </row>
    <row r="46" spans="3:65" x14ac:dyDescent="0.2">
      <c r="C46" s="924">
        <v>31</v>
      </c>
      <c r="D46" s="924">
        <v>0</v>
      </c>
      <c r="E46" s="1518">
        <f t="shared" si="29"/>
        <v>0</v>
      </c>
      <c r="F46" s="1518">
        <f t="shared" si="31"/>
        <v>0</v>
      </c>
      <c r="G46" s="1518">
        <f t="shared" si="47"/>
        <v>0</v>
      </c>
      <c r="H46" s="1519">
        <f t="shared" si="32"/>
        <v>0</v>
      </c>
      <c r="I46" s="1518">
        <f t="shared" si="48"/>
        <v>0</v>
      </c>
      <c r="J46" s="924"/>
      <c r="K46" s="924">
        <f t="shared" si="2"/>
        <v>31</v>
      </c>
      <c r="L46" s="924">
        <v>0</v>
      </c>
      <c r="M46" s="1518">
        <f t="shared" si="30"/>
        <v>0</v>
      </c>
      <c r="N46" s="1518">
        <f t="shared" si="33"/>
        <v>0</v>
      </c>
      <c r="O46" s="1518">
        <f t="shared" si="3"/>
        <v>0</v>
      </c>
      <c r="P46" s="1518">
        <f t="shared" si="34"/>
        <v>0</v>
      </c>
      <c r="Q46" s="1518">
        <f t="shared" si="4"/>
        <v>0</v>
      </c>
      <c r="R46" s="924"/>
      <c r="S46" s="924">
        <f t="shared" si="5"/>
        <v>31</v>
      </c>
      <c r="T46" s="924">
        <v>0</v>
      </c>
      <c r="U46" s="1518">
        <f t="shared" si="6"/>
        <v>0</v>
      </c>
      <c r="V46" s="1518">
        <f t="shared" si="35"/>
        <v>0</v>
      </c>
      <c r="W46" s="1518">
        <f t="shared" si="7"/>
        <v>0</v>
      </c>
      <c r="X46" s="1518">
        <f t="shared" si="36"/>
        <v>0</v>
      </c>
      <c r="Y46" s="1518">
        <f t="shared" si="8"/>
        <v>0</v>
      </c>
      <c r="AA46" s="924">
        <f t="shared" si="9"/>
        <v>31</v>
      </c>
      <c r="AB46" s="924">
        <v>0</v>
      </c>
      <c r="AC46" s="1518">
        <f t="shared" si="10"/>
        <v>0</v>
      </c>
      <c r="AD46" s="1518">
        <f t="shared" si="37"/>
        <v>0</v>
      </c>
      <c r="AE46" s="1518">
        <f t="shared" si="11"/>
        <v>0</v>
      </c>
      <c r="AF46" s="1518">
        <f t="shared" si="38"/>
        <v>0</v>
      </c>
      <c r="AG46" s="1518">
        <f t="shared" si="12"/>
        <v>0</v>
      </c>
      <c r="AI46" s="924">
        <f t="shared" si="13"/>
        <v>31</v>
      </c>
      <c r="AJ46" s="924">
        <v>0</v>
      </c>
      <c r="AK46" s="1518">
        <f t="shared" si="14"/>
        <v>0</v>
      </c>
      <c r="AL46" s="1518">
        <f t="shared" si="39"/>
        <v>0</v>
      </c>
      <c r="AM46" s="1518">
        <f t="shared" si="15"/>
        <v>0</v>
      </c>
      <c r="AN46" s="1518">
        <f t="shared" si="40"/>
        <v>0</v>
      </c>
      <c r="AO46" s="1518">
        <f t="shared" si="16"/>
        <v>0</v>
      </c>
      <c r="AQ46" s="924">
        <f t="shared" si="17"/>
        <v>31</v>
      </c>
      <c r="AR46" s="924">
        <v>0</v>
      </c>
      <c r="AS46" s="1518">
        <f t="shared" si="18"/>
        <v>6.5714120864868166E-8</v>
      </c>
      <c r="AT46" s="1518">
        <f t="shared" si="41"/>
        <v>3.2857060432434086E-9</v>
      </c>
      <c r="AU46" s="1518">
        <f t="shared" si="19"/>
        <v>6.899982690811158E-8</v>
      </c>
      <c r="AV46" s="1518">
        <f t="shared" si="42"/>
        <v>0</v>
      </c>
      <c r="AW46" s="1518">
        <f t="shared" si="20"/>
        <v>6.899982690811158E-8</v>
      </c>
      <c r="AY46" s="924">
        <f t="shared" si="21"/>
        <v>31</v>
      </c>
      <c r="AZ46" s="924">
        <v>0</v>
      </c>
      <c r="BA46" s="1518">
        <f t="shared" si="22"/>
        <v>0</v>
      </c>
      <c r="BB46" s="1518">
        <f t="shared" si="43"/>
        <v>0</v>
      </c>
      <c r="BC46" s="1518">
        <f t="shared" si="23"/>
        <v>0</v>
      </c>
      <c r="BD46" s="1518">
        <f t="shared" si="44"/>
        <v>0</v>
      </c>
      <c r="BE46" s="1518">
        <f t="shared" si="24"/>
        <v>0</v>
      </c>
      <c r="BG46" s="924">
        <f t="shared" si="25"/>
        <v>31</v>
      </c>
      <c r="BH46" s="924">
        <v>0</v>
      </c>
      <c r="BI46" s="1518">
        <f t="shared" si="26"/>
        <v>0</v>
      </c>
      <c r="BJ46" s="1518">
        <f t="shared" si="45"/>
        <v>0</v>
      </c>
      <c r="BK46" s="1518">
        <f t="shared" si="27"/>
        <v>0</v>
      </c>
      <c r="BL46" s="1518">
        <f t="shared" si="46"/>
        <v>0</v>
      </c>
      <c r="BM46" s="1518">
        <f t="shared" si="28"/>
        <v>0</v>
      </c>
    </row>
    <row r="47" spans="3:65" x14ac:dyDescent="0.2">
      <c r="C47" s="924">
        <v>32</v>
      </c>
      <c r="D47" s="924">
        <v>0</v>
      </c>
      <c r="E47" s="1518">
        <f t="shared" si="29"/>
        <v>0</v>
      </c>
      <c r="F47" s="1518">
        <f t="shared" si="31"/>
        <v>0</v>
      </c>
      <c r="G47" s="1518">
        <f t="shared" si="47"/>
        <v>0</v>
      </c>
      <c r="H47" s="1518">
        <f t="shared" si="32"/>
        <v>0</v>
      </c>
      <c r="I47" s="1518">
        <f t="shared" si="48"/>
        <v>0</v>
      </c>
      <c r="J47" s="924"/>
      <c r="K47" s="924">
        <f t="shared" si="2"/>
        <v>32</v>
      </c>
      <c r="L47" s="924">
        <v>0</v>
      </c>
      <c r="M47" s="1518">
        <f t="shared" si="30"/>
        <v>0</v>
      </c>
      <c r="N47" s="1518">
        <f t="shared" si="33"/>
        <v>0</v>
      </c>
      <c r="O47" s="1518">
        <f t="shared" si="3"/>
        <v>0</v>
      </c>
      <c r="P47" s="1518">
        <f t="shared" si="34"/>
        <v>0</v>
      </c>
      <c r="Q47" s="1518">
        <f t="shared" si="4"/>
        <v>0</v>
      </c>
      <c r="R47" s="924"/>
      <c r="S47" s="924">
        <f t="shared" si="5"/>
        <v>32</v>
      </c>
      <c r="T47" s="924">
        <v>0</v>
      </c>
      <c r="U47" s="1518">
        <f t="shared" si="6"/>
        <v>0</v>
      </c>
      <c r="V47" s="1518">
        <f t="shared" si="35"/>
        <v>0</v>
      </c>
      <c r="W47" s="1518">
        <f t="shared" si="7"/>
        <v>0</v>
      </c>
      <c r="X47" s="1518">
        <f t="shared" si="36"/>
        <v>0</v>
      </c>
      <c r="Y47" s="1518">
        <f t="shared" si="8"/>
        <v>0</v>
      </c>
      <c r="AA47" s="924">
        <f t="shared" si="9"/>
        <v>32</v>
      </c>
      <c r="AB47" s="924">
        <v>0</v>
      </c>
      <c r="AC47" s="1518">
        <f t="shared" si="10"/>
        <v>0</v>
      </c>
      <c r="AD47" s="1518">
        <f t="shared" si="37"/>
        <v>0</v>
      </c>
      <c r="AE47" s="1518">
        <f t="shared" si="11"/>
        <v>0</v>
      </c>
      <c r="AF47" s="1518">
        <f t="shared" si="38"/>
        <v>0</v>
      </c>
      <c r="AG47" s="1518">
        <f t="shared" si="12"/>
        <v>0</v>
      </c>
      <c r="AI47" s="924">
        <f t="shared" si="13"/>
        <v>32</v>
      </c>
      <c r="AJ47" s="924">
        <v>0</v>
      </c>
      <c r="AK47" s="1518">
        <f t="shared" si="14"/>
        <v>0</v>
      </c>
      <c r="AL47" s="1518">
        <f t="shared" si="39"/>
        <v>0</v>
      </c>
      <c r="AM47" s="1518">
        <f t="shared" si="15"/>
        <v>0</v>
      </c>
      <c r="AN47" s="1518">
        <f t="shared" si="40"/>
        <v>0</v>
      </c>
      <c r="AO47" s="1518">
        <f t="shared" si="16"/>
        <v>0</v>
      </c>
      <c r="AQ47" s="924">
        <f t="shared" si="17"/>
        <v>32</v>
      </c>
      <c r="AR47" s="924">
        <v>0</v>
      </c>
      <c r="AS47" s="1518">
        <f t="shared" si="18"/>
        <v>6.899982690811158E-8</v>
      </c>
      <c r="AT47" s="1518">
        <f t="shared" si="41"/>
        <v>3.4499913454055792E-9</v>
      </c>
      <c r="AU47" s="1518">
        <f t="shared" si="19"/>
        <v>7.2449818253517165E-8</v>
      </c>
      <c r="AV47" s="1518">
        <f t="shared" si="42"/>
        <v>0</v>
      </c>
      <c r="AW47" s="1518">
        <f t="shared" si="20"/>
        <v>7.2449818253517165E-8</v>
      </c>
      <c r="AY47" s="924">
        <f t="shared" si="21"/>
        <v>32</v>
      </c>
      <c r="AZ47" s="924">
        <v>0</v>
      </c>
      <c r="BA47" s="1518">
        <f t="shared" si="22"/>
        <v>0</v>
      </c>
      <c r="BB47" s="1518">
        <f t="shared" si="43"/>
        <v>0</v>
      </c>
      <c r="BC47" s="1518">
        <f t="shared" si="23"/>
        <v>0</v>
      </c>
      <c r="BD47" s="1518">
        <f t="shared" si="44"/>
        <v>0</v>
      </c>
      <c r="BE47" s="1518">
        <f t="shared" si="24"/>
        <v>0</v>
      </c>
      <c r="BG47" s="924">
        <f t="shared" si="25"/>
        <v>32</v>
      </c>
      <c r="BH47" s="924">
        <v>0</v>
      </c>
      <c r="BI47" s="1518">
        <f t="shared" si="26"/>
        <v>0</v>
      </c>
      <c r="BJ47" s="1518">
        <f t="shared" si="45"/>
        <v>0</v>
      </c>
      <c r="BK47" s="1518">
        <f t="shared" si="27"/>
        <v>0</v>
      </c>
      <c r="BL47" s="1518">
        <f t="shared" si="46"/>
        <v>0</v>
      </c>
      <c r="BM47" s="1518">
        <f t="shared" si="28"/>
        <v>0</v>
      </c>
    </row>
    <row r="48" spans="3:65" x14ac:dyDescent="0.2">
      <c r="C48" s="924">
        <v>33</v>
      </c>
      <c r="D48" s="924">
        <v>0</v>
      </c>
      <c r="E48" s="1518">
        <f t="shared" si="29"/>
        <v>0</v>
      </c>
      <c r="F48" s="1518">
        <f t="shared" si="31"/>
        <v>0</v>
      </c>
      <c r="G48" s="1518">
        <f t="shared" si="47"/>
        <v>0</v>
      </c>
      <c r="H48" s="1518">
        <f t="shared" si="32"/>
        <v>0</v>
      </c>
      <c r="I48" s="1518">
        <f t="shared" si="48"/>
        <v>0</v>
      </c>
      <c r="J48" s="924"/>
      <c r="K48" s="924">
        <f t="shared" si="2"/>
        <v>33</v>
      </c>
      <c r="L48" s="924">
        <v>0</v>
      </c>
      <c r="M48" s="1518">
        <f t="shared" si="30"/>
        <v>0</v>
      </c>
      <c r="N48" s="1518">
        <f t="shared" si="33"/>
        <v>0</v>
      </c>
      <c r="O48" s="1518">
        <f t="shared" si="3"/>
        <v>0</v>
      </c>
      <c r="P48" s="1518">
        <f t="shared" si="34"/>
        <v>0</v>
      </c>
      <c r="Q48" s="1518">
        <f t="shared" si="4"/>
        <v>0</v>
      </c>
      <c r="R48" s="924"/>
      <c r="S48" s="924">
        <f t="shared" si="5"/>
        <v>33</v>
      </c>
      <c r="T48" s="924">
        <v>0</v>
      </c>
      <c r="U48" s="1518">
        <f t="shared" si="6"/>
        <v>0</v>
      </c>
      <c r="V48" s="1518">
        <f t="shared" si="35"/>
        <v>0</v>
      </c>
      <c r="W48" s="1518">
        <f t="shared" si="7"/>
        <v>0</v>
      </c>
      <c r="X48" s="1518">
        <f t="shared" si="36"/>
        <v>0</v>
      </c>
      <c r="Y48" s="1518">
        <f t="shared" si="8"/>
        <v>0</v>
      </c>
      <c r="AA48" s="924">
        <f t="shared" si="9"/>
        <v>33</v>
      </c>
      <c r="AB48" s="924">
        <v>0</v>
      </c>
      <c r="AC48" s="1518">
        <f t="shared" si="10"/>
        <v>0</v>
      </c>
      <c r="AD48" s="1518">
        <f t="shared" si="37"/>
        <v>0</v>
      </c>
      <c r="AE48" s="1518">
        <f t="shared" si="11"/>
        <v>0</v>
      </c>
      <c r="AF48" s="1518">
        <f t="shared" si="38"/>
        <v>0</v>
      </c>
      <c r="AG48" s="1518">
        <f t="shared" si="12"/>
        <v>0</v>
      </c>
      <c r="AI48" s="924">
        <f t="shared" si="13"/>
        <v>33</v>
      </c>
      <c r="AJ48" s="924">
        <v>0</v>
      </c>
      <c r="AK48" s="1518">
        <f t="shared" si="14"/>
        <v>0</v>
      </c>
      <c r="AL48" s="1518">
        <f t="shared" si="39"/>
        <v>0</v>
      </c>
      <c r="AM48" s="1518">
        <f t="shared" si="15"/>
        <v>0</v>
      </c>
      <c r="AN48" s="1518">
        <f t="shared" si="40"/>
        <v>0</v>
      </c>
      <c r="AO48" s="1518">
        <f t="shared" si="16"/>
        <v>0</v>
      </c>
      <c r="AQ48" s="924">
        <f t="shared" si="17"/>
        <v>33</v>
      </c>
      <c r="AR48" s="924">
        <v>0</v>
      </c>
      <c r="AS48" s="1518">
        <f t="shared" si="18"/>
        <v>7.2449818253517165E-8</v>
      </c>
      <c r="AT48" s="1518">
        <f t="shared" si="41"/>
        <v>3.6224909126758582E-9</v>
      </c>
      <c r="AU48" s="1518">
        <f t="shared" si="19"/>
        <v>7.607230916619303E-8</v>
      </c>
      <c r="AV48" s="1518">
        <f t="shared" si="42"/>
        <v>0</v>
      </c>
      <c r="AW48" s="1518">
        <f t="shared" si="20"/>
        <v>7.607230916619303E-8</v>
      </c>
      <c r="AY48" s="924">
        <f t="shared" si="21"/>
        <v>33</v>
      </c>
      <c r="AZ48" s="924">
        <v>0</v>
      </c>
      <c r="BA48" s="1518">
        <f t="shared" si="22"/>
        <v>0</v>
      </c>
      <c r="BB48" s="1518">
        <f t="shared" si="43"/>
        <v>0</v>
      </c>
      <c r="BC48" s="1518">
        <f t="shared" si="23"/>
        <v>0</v>
      </c>
      <c r="BD48" s="1518">
        <f t="shared" si="44"/>
        <v>0</v>
      </c>
      <c r="BE48" s="1518">
        <f t="shared" si="24"/>
        <v>0</v>
      </c>
      <c r="BG48" s="924">
        <f t="shared" si="25"/>
        <v>33</v>
      </c>
      <c r="BH48" s="924">
        <v>0</v>
      </c>
      <c r="BI48" s="1518">
        <f t="shared" si="26"/>
        <v>0</v>
      </c>
      <c r="BJ48" s="1518">
        <f t="shared" si="45"/>
        <v>0</v>
      </c>
      <c r="BK48" s="1518">
        <f t="shared" si="27"/>
        <v>0</v>
      </c>
      <c r="BL48" s="1518">
        <f t="shared" si="46"/>
        <v>0</v>
      </c>
      <c r="BM48" s="1518">
        <f t="shared" si="28"/>
        <v>0</v>
      </c>
    </row>
    <row r="49" spans="3:65" x14ac:dyDescent="0.2">
      <c r="C49" s="924">
        <v>34</v>
      </c>
      <c r="D49" s="924">
        <v>0</v>
      </c>
      <c r="E49" s="1518">
        <f t="shared" si="29"/>
        <v>0</v>
      </c>
      <c r="F49" s="1518">
        <f t="shared" si="31"/>
        <v>0</v>
      </c>
      <c r="G49" s="1518">
        <f t="shared" si="47"/>
        <v>0</v>
      </c>
      <c r="H49" s="1518">
        <f t="shared" si="32"/>
        <v>0</v>
      </c>
      <c r="I49" s="1518">
        <f t="shared" si="48"/>
        <v>0</v>
      </c>
      <c r="J49" s="924"/>
      <c r="K49" s="924">
        <f t="shared" si="2"/>
        <v>34</v>
      </c>
      <c r="L49" s="924">
        <v>0</v>
      </c>
      <c r="M49" s="1518">
        <f t="shared" si="30"/>
        <v>0</v>
      </c>
      <c r="N49" s="1518">
        <f t="shared" si="33"/>
        <v>0</v>
      </c>
      <c r="O49" s="1518">
        <f t="shared" si="3"/>
        <v>0</v>
      </c>
      <c r="P49" s="1518">
        <f t="shared" si="34"/>
        <v>0</v>
      </c>
      <c r="Q49" s="1518">
        <f t="shared" si="4"/>
        <v>0</v>
      </c>
      <c r="R49" s="924"/>
      <c r="S49" s="924">
        <f t="shared" si="5"/>
        <v>34</v>
      </c>
      <c r="T49" s="924">
        <v>0</v>
      </c>
      <c r="U49" s="1518">
        <f t="shared" si="6"/>
        <v>0</v>
      </c>
      <c r="V49" s="1518">
        <f t="shared" si="35"/>
        <v>0</v>
      </c>
      <c r="W49" s="1518">
        <f t="shared" si="7"/>
        <v>0</v>
      </c>
      <c r="X49" s="1518">
        <f t="shared" si="36"/>
        <v>0</v>
      </c>
      <c r="Y49" s="1518">
        <f t="shared" si="8"/>
        <v>0</v>
      </c>
      <c r="AA49" s="924">
        <f t="shared" si="9"/>
        <v>34</v>
      </c>
      <c r="AB49" s="924">
        <v>0</v>
      </c>
      <c r="AC49" s="1518">
        <f t="shared" si="10"/>
        <v>0</v>
      </c>
      <c r="AD49" s="1518">
        <f t="shared" si="37"/>
        <v>0</v>
      </c>
      <c r="AE49" s="1518">
        <f t="shared" si="11"/>
        <v>0</v>
      </c>
      <c r="AF49" s="1518">
        <f t="shared" si="38"/>
        <v>0</v>
      </c>
      <c r="AG49" s="1518">
        <f t="shared" si="12"/>
        <v>0</v>
      </c>
      <c r="AI49" s="924">
        <f t="shared" si="13"/>
        <v>34</v>
      </c>
      <c r="AJ49" s="924">
        <v>0</v>
      </c>
      <c r="AK49" s="1518">
        <f t="shared" si="14"/>
        <v>0</v>
      </c>
      <c r="AL49" s="1518">
        <f t="shared" si="39"/>
        <v>0</v>
      </c>
      <c r="AM49" s="1518">
        <f t="shared" si="15"/>
        <v>0</v>
      </c>
      <c r="AN49" s="1518">
        <f t="shared" si="40"/>
        <v>0</v>
      </c>
      <c r="AO49" s="1518">
        <f t="shared" si="16"/>
        <v>0</v>
      </c>
      <c r="AQ49" s="924">
        <f t="shared" si="17"/>
        <v>34</v>
      </c>
      <c r="AR49" s="924">
        <v>0</v>
      </c>
      <c r="AS49" s="1518">
        <f t="shared" si="18"/>
        <v>7.607230916619303E-8</v>
      </c>
      <c r="AT49" s="1518">
        <f t="shared" si="41"/>
        <v>3.8036154583096516E-9</v>
      </c>
      <c r="AU49" s="1518">
        <f t="shared" si="19"/>
        <v>7.9875924624502684E-8</v>
      </c>
      <c r="AV49" s="1518">
        <f t="shared" si="42"/>
        <v>0</v>
      </c>
      <c r="AW49" s="1518">
        <f t="shared" si="20"/>
        <v>7.9875924624502684E-8</v>
      </c>
      <c r="AY49" s="924">
        <f t="shared" si="21"/>
        <v>34</v>
      </c>
      <c r="AZ49" s="924">
        <v>0</v>
      </c>
      <c r="BA49" s="1518">
        <f t="shared" si="22"/>
        <v>0</v>
      </c>
      <c r="BB49" s="1518">
        <f t="shared" si="43"/>
        <v>0</v>
      </c>
      <c r="BC49" s="1518">
        <f t="shared" si="23"/>
        <v>0</v>
      </c>
      <c r="BD49" s="1518">
        <f t="shared" si="44"/>
        <v>0</v>
      </c>
      <c r="BE49" s="1518">
        <f t="shared" si="24"/>
        <v>0</v>
      </c>
      <c r="BG49" s="924">
        <f t="shared" si="25"/>
        <v>34</v>
      </c>
      <c r="BH49" s="924">
        <v>0</v>
      </c>
      <c r="BI49" s="1518">
        <f t="shared" si="26"/>
        <v>0</v>
      </c>
      <c r="BJ49" s="1518">
        <f t="shared" si="45"/>
        <v>0</v>
      </c>
      <c r="BK49" s="1518">
        <f t="shared" si="27"/>
        <v>0</v>
      </c>
      <c r="BL49" s="1518">
        <f t="shared" si="46"/>
        <v>0</v>
      </c>
      <c r="BM49" s="1518">
        <f t="shared" si="28"/>
        <v>0</v>
      </c>
    </row>
    <row r="50" spans="3:65" x14ac:dyDescent="0.2">
      <c r="C50" s="924">
        <v>35</v>
      </c>
      <c r="D50" s="924">
        <v>0</v>
      </c>
      <c r="E50" s="1518">
        <f t="shared" si="29"/>
        <v>0</v>
      </c>
      <c r="F50" s="1518">
        <f t="shared" si="31"/>
        <v>0</v>
      </c>
      <c r="G50" s="1518">
        <f t="shared" si="47"/>
        <v>0</v>
      </c>
      <c r="H50" s="1518">
        <f t="shared" si="32"/>
        <v>0</v>
      </c>
      <c r="I50" s="1518">
        <f t="shared" si="48"/>
        <v>0</v>
      </c>
      <c r="J50" s="924"/>
      <c r="K50" s="924">
        <f t="shared" si="2"/>
        <v>35</v>
      </c>
      <c r="L50" s="924">
        <v>0</v>
      </c>
      <c r="M50" s="1518">
        <f t="shared" si="30"/>
        <v>0</v>
      </c>
      <c r="N50" s="1518">
        <f t="shared" si="33"/>
        <v>0</v>
      </c>
      <c r="O50" s="1518">
        <f t="shared" si="3"/>
        <v>0</v>
      </c>
      <c r="P50" s="1518">
        <f t="shared" si="34"/>
        <v>0</v>
      </c>
      <c r="Q50" s="1518">
        <f t="shared" si="4"/>
        <v>0</v>
      </c>
      <c r="R50" s="924"/>
      <c r="S50" s="924">
        <f t="shared" si="5"/>
        <v>35</v>
      </c>
      <c r="T50" s="924">
        <v>0</v>
      </c>
      <c r="U50" s="1518">
        <f t="shared" si="6"/>
        <v>0</v>
      </c>
      <c r="V50" s="1518">
        <f t="shared" si="35"/>
        <v>0</v>
      </c>
      <c r="W50" s="1518">
        <f t="shared" si="7"/>
        <v>0</v>
      </c>
      <c r="X50" s="1518">
        <f t="shared" si="36"/>
        <v>0</v>
      </c>
      <c r="Y50" s="1518">
        <f t="shared" si="8"/>
        <v>0</v>
      </c>
      <c r="AA50" s="924">
        <f t="shared" si="9"/>
        <v>35</v>
      </c>
      <c r="AB50" s="924">
        <v>0</v>
      </c>
      <c r="AC50" s="1518">
        <f t="shared" si="10"/>
        <v>0</v>
      </c>
      <c r="AD50" s="1518">
        <f t="shared" si="37"/>
        <v>0</v>
      </c>
      <c r="AE50" s="1518">
        <f t="shared" si="11"/>
        <v>0</v>
      </c>
      <c r="AF50" s="1518">
        <f t="shared" si="38"/>
        <v>0</v>
      </c>
      <c r="AG50" s="1518">
        <f t="shared" si="12"/>
        <v>0</v>
      </c>
      <c r="AI50" s="924">
        <f t="shared" si="13"/>
        <v>35</v>
      </c>
      <c r="AJ50" s="924">
        <v>0</v>
      </c>
      <c r="AK50" s="1518">
        <f t="shared" si="14"/>
        <v>0</v>
      </c>
      <c r="AL50" s="1518">
        <f t="shared" si="39"/>
        <v>0</v>
      </c>
      <c r="AM50" s="1518">
        <f t="shared" si="15"/>
        <v>0</v>
      </c>
      <c r="AN50" s="1518">
        <f t="shared" si="40"/>
        <v>0</v>
      </c>
      <c r="AO50" s="1518">
        <f t="shared" si="16"/>
        <v>0</v>
      </c>
      <c r="AQ50" s="924">
        <f t="shared" si="17"/>
        <v>35</v>
      </c>
      <c r="AR50" s="924">
        <v>0</v>
      </c>
      <c r="AS50" s="1518">
        <f t="shared" si="18"/>
        <v>7.9875924624502684E-8</v>
      </c>
      <c r="AT50" s="1518">
        <f t="shared" si="41"/>
        <v>3.9937962312251347E-9</v>
      </c>
      <c r="AU50" s="1518">
        <f t="shared" si="19"/>
        <v>8.3869720855727819E-8</v>
      </c>
      <c r="AV50" s="1518">
        <f t="shared" si="42"/>
        <v>0</v>
      </c>
      <c r="AW50" s="1518">
        <f t="shared" si="20"/>
        <v>8.3869720855727819E-8</v>
      </c>
      <c r="AY50" s="924">
        <f t="shared" si="21"/>
        <v>35</v>
      </c>
      <c r="AZ50" s="924">
        <v>0</v>
      </c>
      <c r="BA50" s="1518">
        <f t="shared" si="22"/>
        <v>0</v>
      </c>
      <c r="BB50" s="1518">
        <f t="shared" si="43"/>
        <v>0</v>
      </c>
      <c r="BC50" s="1518">
        <f t="shared" si="23"/>
        <v>0</v>
      </c>
      <c r="BD50" s="1518">
        <f t="shared" si="44"/>
        <v>0</v>
      </c>
      <c r="BE50" s="1518">
        <f t="shared" si="24"/>
        <v>0</v>
      </c>
      <c r="BG50" s="924">
        <f t="shared" si="25"/>
        <v>35</v>
      </c>
      <c r="BH50" s="924">
        <v>0</v>
      </c>
      <c r="BI50" s="1518">
        <f t="shared" si="26"/>
        <v>0</v>
      </c>
      <c r="BJ50" s="1518">
        <f t="shared" si="45"/>
        <v>0</v>
      </c>
      <c r="BK50" s="1518">
        <f t="shared" si="27"/>
        <v>0</v>
      </c>
      <c r="BL50" s="1518">
        <f t="shared" si="46"/>
        <v>0</v>
      </c>
      <c r="BM50" s="1518">
        <f t="shared" si="28"/>
        <v>0</v>
      </c>
    </row>
    <row r="51" spans="3:65" x14ac:dyDescent="0.2">
      <c r="C51" s="924">
        <v>36</v>
      </c>
      <c r="D51" s="924">
        <v>0</v>
      </c>
      <c r="E51" s="1518">
        <f t="shared" si="29"/>
        <v>0</v>
      </c>
      <c r="F51" s="1518">
        <f t="shared" si="31"/>
        <v>0</v>
      </c>
      <c r="G51" s="1518">
        <f t="shared" si="47"/>
        <v>0</v>
      </c>
      <c r="H51" s="1518">
        <f t="shared" si="32"/>
        <v>0</v>
      </c>
      <c r="I51" s="1518">
        <f t="shared" si="48"/>
        <v>0</v>
      </c>
      <c r="J51" s="924"/>
      <c r="K51" s="924">
        <f t="shared" si="2"/>
        <v>36</v>
      </c>
      <c r="L51" s="924">
        <v>0</v>
      </c>
      <c r="M51" s="1518">
        <f t="shared" si="30"/>
        <v>0</v>
      </c>
      <c r="N51" s="1518">
        <f t="shared" si="33"/>
        <v>0</v>
      </c>
      <c r="O51" s="1518">
        <f t="shared" si="3"/>
        <v>0</v>
      </c>
      <c r="P51" s="1518">
        <f t="shared" si="34"/>
        <v>0</v>
      </c>
      <c r="Q51" s="1518">
        <f t="shared" si="4"/>
        <v>0</v>
      </c>
      <c r="R51" s="924"/>
      <c r="S51" s="924">
        <f t="shared" si="5"/>
        <v>36</v>
      </c>
      <c r="T51" s="924">
        <v>0</v>
      </c>
      <c r="U51" s="1518">
        <f t="shared" si="6"/>
        <v>0</v>
      </c>
      <c r="V51" s="1518">
        <f t="shared" si="35"/>
        <v>0</v>
      </c>
      <c r="W51" s="1518">
        <f t="shared" si="7"/>
        <v>0</v>
      </c>
      <c r="X51" s="1518">
        <f t="shared" si="36"/>
        <v>0</v>
      </c>
      <c r="Y51" s="1518">
        <f t="shared" si="8"/>
        <v>0</v>
      </c>
      <c r="AA51" s="924">
        <f t="shared" si="9"/>
        <v>36</v>
      </c>
      <c r="AB51" s="924">
        <v>0</v>
      </c>
      <c r="AC51" s="1518">
        <f t="shared" si="10"/>
        <v>0</v>
      </c>
      <c r="AD51" s="1518">
        <f t="shared" si="37"/>
        <v>0</v>
      </c>
      <c r="AE51" s="1518">
        <f t="shared" si="11"/>
        <v>0</v>
      </c>
      <c r="AF51" s="1518">
        <f t="shared" si="38"/>
        <v>0</v>
      </c>
      <c r="AG51" s="1518">
        <f t="shared" si="12"/>
        <v>0</v>
      </c>
      <c r="AI51" s="924">
        <f t="shared" si="13"/>
        <v>36</v>
      </c>
      <c r="AJ51" s="924">
        <v>0</v>
      </c>
      <c r="AK51" s="1518">
        <f t="shared" si="14"/>
        <v>0</v>
      </c>
      <c r="AL51" s="1518">
        <f t="shared" si="39"/>
        <v>0</v>
      </c>
      <c r="AM51" s="1518">
        <f t="shared" si="15"/>
        <v>0</v>
      </c>
      <c r="AN51" s="1518">
        <f t="shared" si="40"/>
        <v>0</v>
      </c>
      <c r="AO51" s="1518">
        <f t="shared" si="16"/>
        <v>0</v>
      </c>
      <c r="AQ51" s="924">
        <f t="shared" si="17"/>
        <v>36</v>
      </c>
      <c r="AR51" s="924">
        <v>0</v>
      </c>
      <c r="AS51" s="1518">
        <f t="shared" si="18"/>
        <v>8.3869720855727819E-8</v>
      </c>
      <c r="AT51" s="1518">
        <f t="shared" si="41"/>
        <v>4.1934860427863913E-9</v>
      </c>
      <c r="AU51" s="1518">
        <f t="shared" si="19"/>
        <v>8.8063206898514212E-8</v>
      </c>
      <c r="AV51" s="1518">
        <f t="shared" si="42"/>
        <v>0</v>
      </c>
      <c r="AW51" s="1518">
        <f t="shared" si="20"/>
        <v>8.8063206898514212E-8</v>
      </c>
      <c r="AY51" s="924">
        <f t="shared" si="21"/>
        <v>36</v>
      </c>
      <c r="AZ51" s="924">
        <v>0</v>
      </c>
      <c r="BA51" s="1518">
        <f t="shared" si="22"/>
        <v>0</v>
      </c>
      <c r="BB51" s="1518">
        <f t="shared" si="43"/>
        <v>0</v>
      </c>
      <c r="BC51" s="1518">
        <f t="shared" si="23"/>
        <v>0</v>
      </c>
      <c r="BD51" s="1518">
        <f t="shared" si="44"/>
        <v>0</v>
      </c>
      <c r="BE51" s="1518">
        <f t="shared" si="24"/>
        <v>0</v>
      </c>
      <c r="BG51" s="924">
        <f t="shared" si="25"/>
        <v>36</v>
      </c>
      <c r="BH51" s="924">
        <v>0</v>
      </c>
      <c r="BI51" s="1518">
        <f t="shared" si="26"/>
        <v>0</v>
      </c>
      <c r="BJ51" s="1518">
        <f t="shared" si="45"/>
        <v>0</v>
      </c>
      <c r="BK51" s="1518">
        <f t="shared" si="27"/>
        <v>0</v>
      </c>
      <c r="BL51" s="1518">
        <f t="shared" si="46"/>
        <v>0</v>
      </c>
      <c r="BM51" s="1518">
        <f t="shared" si="28"/>
        <v>0</v>
      </c>
    </row>
    <row r="52" spans="3:65" x14ac:dyDescent="0.2">
      <c r="C52" s="924">
        <v>37</v>
      </c>
      <c r="D52" s="924">
        <v>0</v>
      </c>
      <c r="E52" s="1518">
        <f t="shared" si="29"/>
        <v>0</v>
      </c>
      <c r="F52" s="1518">
        <f t="shared" si="31"/>
        <v>0</v>
      </c>
      <c r="G52" s="1518">
        <f t="shared" si="47"/>
        <v>0</v>
      </c>
      <c r="H52" s="1518">
        <f t="shared" si="32"/>
        <v>0</v>
      </c>
      <c r="I52" s="1518">
        <f t="shared" si="48"/>
        <v>0</v>
      </c>
      <c r="J52" s="924"/>
      <c r="K52" s="924">
        <f t="shared" si="2"/>
        <v>37</v>
      </c>
      <c r="L52" s="924">
        <v>0</v>
      </c>
      <c r="M52" s="1518">
        <f t="shared" si="30"/>
        <v>0</v>
      </c>
      <c r="N52" s="1518">
        <f t="shared" si="33"/>
        <v>0</v>
      </c>
      <c r="O52" s="1518">
        <f t="shared" si="3"/>
        <v>0</v>
      </c>
      <c r="P52" s="1518">
        <f t="shared" si="34"/>
        <v>0</v>
      </c>
      <c r="Q52" s="1518">
        <f t="shared" si="4"/>
        <v>0</v>
      </c>
      <c r="R52" s="924"/>
      <c r="S52" s="924">
        <f t="shared" si="5"/>
        <v>37</v>
      </c>
      <c r="T52" s="924">
        <v>0</v>
      </c>
      <c r="U52" s="1518">
        <f t="shared" si="6"/>
        <v>0</v>
      </c>
      <c r="V52" s="1518">
        <f t="shared" si="35"/>
        <v>0</v>
      </c>
      <c r="W52" s="1518">
        <f t="shared" si="7"/>
        <v>0</v>
      </c>
      <c r="X52" s="1518">
        <f t="shared" si="36"/>
        <v>0</v>
      </c>
      <c r="Y52" s="1518">
        <f t="shared" si="8"/>
        <v>0</v>
      </c>
      <c r="AA52" s="924">
        <f t="shared" si="9"/>
        <v>37</v>
      </c>
      <c r="AB52" s="924">
        <v>0</v>
      </c>
      <c r="AC52" s="1518">
        <f t="shared" si="10"/>
        <v>0</v>
      </c>
      <c r="AD52" s="1518">
        <f t="shared" si="37"/>
        <v>0</v>
      </c>
      <c r="AE52" s="1518">
        <f t="shared" si="11"/>
        <v>0</v>
      </c>
      <c r="AF52" s="1518">
        <f t="shared" si="38"/>
        <v>0</v>
      </c>
      <c r="AG52" s="1518">
        <f t="shared" si="12"/>
        <v>0</v>
      </c>
      <c r="AI52" s="924">
        <f t="shared" si="13"/>
        <v>37</v>
      </c>
      <c r="AJ52" s="924">
        <v>0</v>
      </c>
      <c r="AK52" s="1518">
        <f t="shared" si="14"/>
        <v>0</v>
      </c>
      <c r="AL52" s="1518">
        <f t="shared" si="39"/>
        <v>0</v>
      </c>
      <c r="AM52" s="1518">
        <f t="shared" si="15"/>
        <v>0</v>
      </c>
      <c r="AN52" s="1518">
        <f t="shared" si="40"/>
        <v>0</v>
      </c>
      <c r="AO52" s="1518">
        <f t="shared" si="16"/>
        <v>0</v>
      </c>
      <c r="AQ52" s="924">
        <f t="shared" si="17"/>
        <v>37</v>
      </c>
      <c r="AR52" s="924">
        <v>0</v>
      </c>
      <c r="AS52" s="1518">
        <f t="shared" si="18"/>
        <v>8.8063206898514212E-8</v>
      </c>
      <c r="AT52" s="1518">
        <f t="shared" si="41"/>
        <v>4.4031603449257106E-9</v>
      </c>
      <c r="AU52" s="1518">
        <f t="shared" si="19"/>
        <v>9.2466367243439926E-8</v>
      </c>
      <c r="AV52" s="1518">
        <f t="shared" si="42"/>
        <v>0</v>
      </c>
      <c r="AW52" s="1518">
        <f t="shared" si="20"/>
        <v>9.2466367243439926E-8</v>
      </c>
      <c r="AY52" s="924">
        <f t="shared" si="21"/>
        <v>37</v>
      </c>
      <c r="AZ52" s="924">
        <v>0</v>
      </c>
      <c r="BA52" s="1518">
        <f t="shared" si="22"/>
        <v>0</v>
      </c>
      <c r="BB52" s="1518">
        <f t="shared" si="43"/>
        <v>0</v>
      </c>
      <c r="BC52" s="1518">
        <f t="shared" si="23"/>
        <v>0</v>
      </c>
      <c r="BD52" s="1518">
        <f t="shared" si="44"/>
        <v>0</v>
      </c>
      <c r="BE52" s="1518">
        <f t="shared" si="24"/>
        <v>0</v>
      </c>
      <c r="BG52" s="924">
        <f t="shared" si="25"/>
        <v>37</v>
      </c>
      <c r="BH52" s="924">
        <v>0</v>
      </c>
      <c r="BI52" s="1518">
        <f t="shared" si="26"/>
        <v>0</v>
      </c>
      <c r="BJ52" s="1518">
        <f t="shared" si="45"/>
        <v>0</v>
      </c>
      <c r="BK52" s="1518">
        <f t="shared" si="27"/>
        <v>0</v>
      </c>
      <c r="BL52" s="1518">
        <f t="shared" si="46"/>
        <v>0</v>
      </c>
      <c r="BM52" s="1518">
        <f t="shared" si="28"/>
        <v>0</v>
      </c>
    </row>
    <row r="53" spans="3:65" x14ac:dyDescent="0.2">
      <c r="C53" s="924">
        <v>38</v>
      </c>
      <c r="D53" s="924">
        <v>0</v>
      </c>
      <c r="E53" s="1518">
        <f t="shared" si="29"/>
        <v>0</v>
      </c>
      <c r="F53" s="1518">
        <f t="shared" si="31"/>
        <v>0</v>
      </c>
      <c r="G53" s="1518">
        <f t="shared" si="47"/>
        <v>0</v>
      </c>
      <c r="H53" s="1518">
        <f t="shared" si="32"/>
        <v>0</v>
      </c>
      <c r="I53" s="1518">
        <f t="shared" si="48"/>
        <v>0</v>
      </c>
      <c r="J53" s="924"/>
      <c r="K53" s="924">
        <f t="shared" si="2"/>
        <v>38</v>
      </c>
      <c r="L53" s="924">
        <v>0</v>
      </c>
      <c r="M53" s="1518">
        <f t="shared" si="30"/>
        <v>0</v>
      </c>
      <c r="N53" s="1518">
        <f t="shared" si="33"/>
        <v>0</v>
      </c>
      <c r="O53" s="1518">
        <f t="shared" si="3"/>
        <v>0</v>
      </c>
      <c r="P53" s="1518">
        <f t="shared" si="34"/>
        <v>0</v>
      </c>
      <c r="Q53" s="1518">
        <f t="shared" si="4"/>
        <v>0</v>
      </c>
      <c r="R53" s="924"/>
      <c r="S53" s="924">
        <f t="shared" si="5"/>
        <v>38</v>
      </c>
      <c r="T53" s="924">
        <v>0</v>
      </c>
      <c r="U53" s="1518">
        <f t="shared" si="6"/>
        <v>0</v>
      </c>
      <c r="V53" s="1518">
        <f t="shared" si="35"/>
        <v>0</v>
      </c>
      <c r="W53" s="1518">
        <f t="shared" si="7"/>
        <v>0</v>
      </c>
      <c r="X53" s="1518">
        <f t="shared" si="36"/>
        <v>0</v>
      </c>
      <c r="Y53" s="1518">
        <f t="shared" si="8"/>
        <v>0</v>
      </c>
      <c r="AA53" s="924">
        <f t="shared" si="9"/>
        <v>38</v>
      </c>
      <c r="AB53" s="924">
        <v>0</v>
      </c>
      <c r="AC53" s="1518">
        <f t="shared" si="10"/>
        <v>0</v>
      </c>
      <c r="AD53" s="1518">
        <f t="shared" si="37"/>
        <v>0</v>
      </c>
      <c r="AE53" s="1518">
        <f t="shared" si="11"/>
        <v>0</v>
      </c>
      <c r="AF53" s="1518">
        <f t="shared" si="38"/>
        <v>0</v>
      </c>
      <c r="AG53" s="1518">
        <f t="shared" si="12"/>
        <v>0</v>
      </c>
      <c r="AI53" s="924">
        <f t="shared" si="13"/>
        <v>38</v>
      </c>
      <c r="AJ53" s="924">
        <v>0</v>
      </c>
      <c r="AK53" s="1518">
        <f t="shared" si="14"/>
        <v>0</v>
      </c>
      <c r="AL53" s="1518">
        <f t="shared" si="39"/>
        <v>0</v>
      </c>
      <c r="AM53" s="1518">
        <f t="shared" si="15"/>
        <v>0</v>
      </c>
      <c r="AN53" s="1518">
        <f t="shared" si="40"/>
        <v>0</v>
      </c>
      <c r="AO53" s="1518">
        <f t="shared" si="16"/>
        <v>0</v>
      </c>
      <c r="AQ53" s="924">
        <f t="shared" si="17"/>
        <v>38</v>
      </c>
      <c r="AR53" s="924">
        <v>0</v>
      </c>
      <c r="AS53" s="1518">
        <f t="shared" si="18"/>
        <v>9.2466367243439926E-8</v>
      </c>
      <c r="AT53" s="1518">
        <f t="shared" si="41"/>
        <v>4.6233183621719966E-9</v>
      </c>
      <c r="AU53" s="1518">
        <f t="shared" si="19"/>
        <v>9.7089685605611921E-8</v>
      </c>
      <c r="AV53" s="1518">
        <f t="shared" si="42"/>
        <v>0</v>
      </c>
      <c r="AW53" s="1518">
        <f t="shared" si="20"/>
        <v>9.7089685605611921E-8</v>
      </c>
      <c r="AY53" s="924">
        <f t="shared" si="21"/>
        <v>38</v>
      </c>
      <c r="AZ53" s="924">
        <v>0</v>
      </c>
      <c r="BA53" s="1518">
        <f t="shared" si="22"/>
        <v>0</v>
      </c>
      <c r="BB53" s="1518">
        <f t="shared" si="43"/>
        <v>0</v>
      </c>
      <c r="BC53" s="1518">
        <f t="shared" si="23"/>
        <v>0</v>
      </c>
      <c r="BD53" s="1518">
        <f t="shared" si="44"/>
        <v>0</v>
      </c>
      <c r="BE53" s="1518">
        <f t="shared" si="24"/>
        <v>0</v>
      </c>
      <c r="BG53" s="924">
        <f t="shared" si="25"/>
        <v>38</v>
      </c>
      <c r="BH53" s="924">
        <v>0</v>
      </c>
      <c r="BI53" s="1518">
        <f t="shared" si="26"/>
        <v>0</v>
      </c>
      <c r="BJ53" s="1518">
        <f t="shared" si="45"/>
        <v>0</v>
      </c>
      <c r="BK53" s="1518">
        <f t="shared" si="27"/>
        <v>0</v>
      </c>
      <c r="BL53" s="1518">
        <f t="shared" si="46"/>
        <v>0</v>
      </c>
      <c r="BM53" s="1518">
        <f t="shared" si="28"/>
        <v>0</v>
      </c>
    </row>
    <row r="54" spans="3:65" x14ac:dyDescent="0.2">
      <c r="C54" s="924">
        <v>39</v>
      </c>
      <c r="D54" s="924">
        <v>0</v>
      </c>
      <c r="E54" s="1518">
        <f t="shared" si="29"/>
        <v>0</v>
      </c>
      <c r="F54" s="1518">
        <f t="shared" si="31"/>
        <v>0</v>
      </c>
      <c r="G54" s="1518">
        <f t="shared" si="47"/>
        <v>0</v>
      </c>
      <c r="H54" s="1518">
        <f t="shared" si="32"/>
        <v>0</v>
      </c>
      <c r="I54" s="1518">
        <f t="shared" si="48"/>
        <v>0</v>
      </c>
      <c r="J54" s="924"/>
      <c r="K54" s="924">
        <f t="shared" si="2"/>
        <v>39</v>
      </c>
      <c r="L54" s="924">
        <v>0</v>
      </c>
      <c r="M54" s="1518">
        <f t="shared" si="30"/>
        <v>0</v>
      </c>
      <c r="N54" s="1518">
        <f t="shared" si="33"/>
        <v>0</v>
      </c>
      <c r="O54" s="1518">
        <f t="shared" si="3"/>
        <v>0</v>
      </c>
      <c r="P54" s="1518">
        <f t="shared" si="34"/>
        <v>0</v>
      </c>
      <c r="Q54" s="1518">
        <f t="shared" si="4"/>
        <v>0</v>
      </c>
      <c r="R54" s="924"/>
      <c r="S54" s="924">
        <f t="shared" si="5"/>
        <v>39</v>
      </c>
      <c r="T54" s="924">
        <v>0</v>
      </c>
      <c r="U54" s="1518">
        <f t="shared" si="6"/>
        <v>0</v>
      </c>
      <c r="V54" s="1518">
        <f t="shared" si="35"/>
        <v>0</v>
      </c>
      <c r="W54" s="1518">
        <f t="shared" si="7"/>
        <v>0</v>
      </c>
      <c r="X54" s="1518">
        <f t="shared" si="36"/>
        <v>0</v>
      </c>
      <c r="Y54" s="1518">
        <f t="shared" si="8"/>
        <v>0</v>
      </c>
      <c r="AA54" s="924">
        <f t="shared" si="9"/>
        <v>39</v>
      </c>
      <c r="AB54" s="924">
        <v>0</v>
      </c>
      <c r="AC54" s="1518">
        <f t="shared" si="10"/>
        <v>0</v>
      </c>
      <c r="AD54" s="1518">
        <f t="shared" si="37"/>
        <v>0</v>
      </c>
      <c r="AE54" s="1518">
        <f t="shared" si="11"/>
        <v>0</v>
      </c>
      <c r="AF54" s="1518">
        <f t="shared" si="38"/>
        <v>0</v>
      </c>
      <c r="AG54" s="1518">
        <f t="shared" si="12"/>
        <v>0</v>
      </c>
      <c r="AI54" s="924">
        <f t="shared" si="13"/>
        <v>39</v>
      </c>
      <c r="AJ54" s="924">
        <v>0</v>
      </c>
      <c r="AK54" s="1518">
        <f t="shared" si="14"/>
        <v>0</v>
      </c>
      <c r="AL54" s="1518">
        <f t="shared" si="39"/>
        <v>0</v>
      </c>
      <c r="AM54" s="1518">
        <f t="shared" si="15"/>
        <v>0</v>
      </c>
      <c r="AN54" s="1518">
        <f t="shared" si="40"/>
        <v>0</v>
      </c>
      <c r="AO54" s="1518">
        <f t="shared" si="16"/>
        <v>0</v>
      </c>
      <c r="AQ54" s="924">
        <f t="shared" si="17"/>
        <v>39</v>
      </c>
      <c r="AR54" s="924">
        <v>0</v>
      </c>
      <c r="AS54" s="1518">
        <f t="shared" si="18"/>
        <v>9.7089685605611921E-8</v>
      </c>
      <c r="AT54" s="1518">
        <f t="shared" si="41"/>
        <v>4.8544842802805962E-9</v>
      </c>
      <c r="AU54" s="1518">
        <f t="shared" si="19"/>
        <v>1.0194416988589252E-7</v>
      </c>
      <c r="AV54" s="1518">
        <f t="shared" si="42"/>
        <v>0</v>
      </c>
      <c r="AW54" s="1518">
        <f t="shared" si="20"/>
        <v>1.0194416988589252E-7</v>
      </c>
      <c r="AY54" s="924">
        <f t="shared" si="21"/>
        <v>39</v>
      </c>
      <c r="AZ54" s="924">
        <v>0</v>
      </c>
      <c r="BA54" s="1518">
        <f t="shared" si="22"/>
        <v>0</v>
      </c>
      <c r="BB54" s="1518">
        <f t="shared" si="43"/>
        <v>0</v>
      </c>
      <c r="BC54" s="1518">
        <f t="shared" si="23"/>
        <v>0</v>
      </c>
      <c r="BD54" s="1518">
        <f t="shared" si="44"/>
        <v>0</v>
      </c>
      <c r="BE54" s="1518">
        <f t="shared" si="24"/>
        <v>0</v>
      </c>
      <c r="BG54" s="924">
        <f t="shared" si="25"/>
        <v>39</v>
      </c>
      <c r="BH54" s="924">
        <v>0</v>
      </c>
      <c r="BI54" s="1518">
        <f t="shared" si="26"/>
        <v>0</v>
      </c>
      <c r="BJ54" s="1518">
        <f t="shared" si="45"/>
        <v>0</v>
      </c>
      <c r="BK54" s="1518">
        <f t="shared" si="27"/>
        <v>0</v>
      </c>
      <c r="BL54" s="1518">
        <f t="shared" si="46"/>
        <v>0</v>
      </c>
      <c r="BM54" s="1518">
        <f t="shared" si="28"/>
        <v>0</v>
      </c>
    </row>
    <row r="55" spans="3:65" x14ac:dyDescent="0.2">
      <c r="C55" s="924">
        <v>40</v>
      </c>
      <c r="D55" s="924">
        <v>0</v>
      </c>
      <c r="E55" s="1518">
        <f t="shared" si="29"/>
        <v>0</v>
      </c>
      <c r="F55" s="1518">
        <f t="shared" si="31"/>
        <v>0</v>
      </c>
      <c r="G55" s="1518">
        <f t="shared" si="47"/>
        <v>0</v>
      </c>
      <c r="H55" s="1518">
        <f t="shared" si="32"/>
        <v>0</v>
      </c>
      <c r="I55" s="1518">
        <f t="shared" si="48"/>
        <v>0</v>
      </c>
      <c r="J55" s="924"/>
      <c r="K55" s="924">
        <f t="shared" si="2"/>
        <v>40</v>
      </c>
      <c r="L55" s="924">
        <v>0</v>
      </c>
      <c r="M55" s="1518">
        <f t="shared" si="30"/>
        <v>0</v>
      </c>
      <c r="N55" s="1518">
        <f t="shared" si="33"/>
        <v>0</v>
      </c>
      <c r="O55" s="1518">
        <f t="shared" si="3"/>
        <v>0</v>
      </c>
      <c r="P55" s="1518">
        <f t="shared" si="34"/>
        <v>0</v>
      </c>
      <c r="Q55" s="1518">
        <f t="shared" si="4"/>
        <v>0</v>
      </c>
      <c r="R55" s="924"/>
      <c r="S55" s="924">
        <f t="shared" si="5"/>
        <v>40</v>
      </c>
      <c r="T55" s="924">
        <v>0</v>
      </c>
      <c r="U55" s="1518">
        <f t="shared" si="6"/>
        <v>0</v>
      </c>
      <c r="V55" s="1518">
        <f t="shared" si="35"/>
        <v>0</v>
      </c>
      <c r="W55" s="1518">
        <f t="shared" si="7"/>
        <v>0</v>
      </c>
      <c r="X55" s="1518">
        <f t="shared" si="36"/>
        <v>0</v>
      </c>
      <c r="Y55" s="1518">
        <f t="shared" si="8"/>
        <v>0</v>
      </c>
      <c r="AA55" s="924">
        <f t="shared" si="9"/>
        <v>40</v>
      </c>
      <c r="AB55" s="924">
        <v>0</v>
      </c>
      <c r="AC55" s="1518">
        <f t="shared" si="10"/>
        <v>0</v>
      </c>
      <c r="AD55" s="1518">
        <f t="shared" si="37"/>
        <v>0</v>
      </c>
      <c r="AE55" s="1518">
        <f t="shared" si="11"/>
        <v>0</v>
      </c>
      <c r="AF55" s="1518">
        <f t="shared" si="38"/>
        <v>0</v>
      </c>
      <c r="AG55" s="1518">
        <f t="shared" si="12"/>
        <v>0</v>
      </c>
      <c r="AI55" s="924">
        <f t="shared" si="13"/>
        <v>40</v>
      </c>
      <c r="AJ55" s="924">
        <v>0</v>
      </c>
      <c r="AK55" s="1518">
        <f t="shared" si="14"/>
        <v>0</v>
      </c>
      <c r="AL55" s="1518">
        <f t="shared" si="39"/>
        <v>0</v>
      </c>
      <c r="AM55" s="1518">
        <f t="shared" si="15"/>
        <v>0</v>
      </c>
      <c r="AN55" s="1518">
        <f t="shared" si="40"/>
        <v>0</v>
      </c>
      <c r="AO55" s="1518">
        <f t="shared" si="16"/>
        <v>0</v>
      </c>
      <c r="AQ55" s="924">
        <f t="shared" si="17"/>
        <v>40</v>
      </c>
      <c r="AR55" s="924">
        <v>0</v>
      </c>
      <c r="AS55" s="1518">
        <f t="shared" si="18"/>
        <v>1.0194416988589252E-7</v>
      </c>
      <c r="AT55" s="1518">
        <f t="shared" si="41"/>
        <v>5.0972084942946263E-9</v>
      </c>
      <c r="AU55" s="1518">
        <f t="shared" si="19"/>
        <v>1.0704137838018715E-7</v>
      </c>
      <c r="AV55" s="1518">
        <f t="shared" si="42"/>
        <v>0</v>
      </c>
      <c r="AW55" s="1518">
        <f t="shared" si="20"/>
        <v>1.0704137838018715E-7</v>
      </c>
      <c r="AY55" s="924">
        <f t="shared" si="21"/>
        <v>40</v>
      </c>
      <c r="AZ55" s="924">
        <v>0</v>
      </c>
      <c r="BA55" s="1518">
        <f t="shared" si="22"/>
        <v>0</v>
      </c>
      <c r="BB55" s="1518">
        <f t="shared" si="43"/>
        <v>0</v>
      </c>
      <c r="BC55" s="1518">
        <f t="shared" si="23"/>
        <v>0</v>
      </c>
      <c r="BD55" s="1518">
        <f t="shared" si="44"/>
        <v>0</v>
      </c>
      <c r="BE55" s="1518">
        <f t="shared" si="24"/>
        <v>0</v>
      </c>
      <c r="BG55" s="924">
        <f t="shared" si="25"/>
        <v>40</v>
      </c>
      <c r="BH55" s="924">
        <v>0</v>
      </c>
      <c r="BI55" s="1518">
        <f t="shared" si="26"/>
        <v>0</v>
      </c>
      <c r="BJ55" s="1518">
        <f t="shared" si="45"/>
        <v>0</v>
      </c>
      <c r="BK55" s="1518">
        <f t="shared" si="27"/>
        <v>0</v>
      </c>
      <c r="BL55" s="1518">
        <f t="shared" si="46"/>
        <v>0</v>
      </c>
      <c r="BM55" s="1518">
        <f t="shared" si="28"/>
        <v>0</v>
      </c>
    </row>
    <row r="56" spans="3:65" x14ac:dyDescent="0.2">
      <c r="C56" s="924">
        <v>41</v>
      </c>
      <c r="D56" s="924">
        <v>0</v>
      </c>
      <c r="E56" s="1518">
        <f t="shared" si="29"/>
        <v>0</v>
      </c>
      <c r="F56" s="1518">
        <f t="shared" si="31"/>
        <v>0</v>
      </c>
      <c r="G56" s="1518">
        <f t="shared" si="47"/>
        <v>0</v>
      </c>
      <c r="H56" s="1518">
        <f t="shared" si="32"/>
        <v>0</v>
      </c>
      <c r="I56" s="1518">
        <f t="shared" si="48"/>
        <v>0</v>
      </c>
      <c r="J56" s="924"/>
      <c r="K56" s="924">
        <f t="shared" si="2"/>
        <v>41</v>
      </c>
      <c r="L56" s="924">
        <v>0</v>
      </c>
      <c r="M56" s="1518">
        <f t="shared" si="30"/>
        <v>0</v>
      </c>
      <c r="N56" s="1518">
        <f t="shared" si="33"/>
        <v>0</v>
      </c>
      <c r="O56" s="1518">
        <f t="shared" si="3"/>
        <v>0</v>
      </c>
      <c r="P56" s="1518">
        <f t="shared" si="34"/>
        <v>0</v>
      </c>
      <c r="Q56" s="1518">
        <f t="shared" si="4"/>
        <v>0</v>
      </c>
      <c r="R56" s="924"/>
      <c r="S56" s="924">
        <f t="shared" si="5"/>
        <v>41</v>
      </c>
      <c r="T56" s="924">
        <v>0</v>
      </c>
      <c r="U56" s="1518">
        <f t="shared" si="6"/>
        <v>0</v>
      </c>
      <c r="V56" s="1518">
        <f t="shared" si="35"/>
        <v>0</v>
      </c>
      <c r="W56" s="1518">
        <f t="shared" si="7"/>
        <v>0</v>
      </c>
      <c r="X56" s="1518">
        <f t="shared" si="36"/>
        <v>0</v>
      </c>
      <c r="Y56" s="1518">
        <f t="shared" si="8"/>
        <v>0</v>
      </c>
      <c r="AA56" s="924">
        <f t="shared" si="9"/>
        <v>41</v>
      </c>
      <c r="AB56" s="924">
        <v>0</v>
      </c>
      <c r="AC56" s="1518">
        <f t="shared" si="10"/>
        <v>0</v>
      </c>
      <c r="AD56" s="1518">
        <f t="shared" si="37"/>
        <v>0</v>
      </c>
      <c r="AE56" s="1518">
        <f t="shared" si="11"/>
        <v>0</v>
      </c>
      <c r="AF56" s="1518">
        <f t="shared" si="38"/>
        <v>0</v>
      </c>
      <c r="AG56" s="1518">
        <f t="shared" si="12"/>
        <v>0</v>
      </c>
      <c r="AI56" s="924">
        <f t="shared" si="13"/>
        <v>41</v>
      </c>
      <c r="AJ56" s="924">
        <v>0</v>
      </c>
      <c r="AK56" s="1518">
        <f t="shared" si="14"/>
        <v>0</v>
      </c>
      <c r="AL56" s="1518">
        <f t="shared" si="39"/>
        <v>0</v>
      </c>
      <c r="AM56" s="1518">
        <f t="shared" si="15"/>
        <v>0</v>
      </c>
      <c r="AN56" s="1518">
        <f t="shared" si="40"/>
        <v>0</v>
      </c>
      <c r="AO56" s="1518">
        <f t="shared" si="16"/>
        <v>0</v>
      </c>
      <c r="AQ56" s="924">
        <f t="shared" si="17"/>
        <v>41</v>
      </c>
      <c r="AR56" s="924">
        <v>0</v>
      </c>
      <c r="AS56" s="1518">
        <f t="shared" si="18"/>
        <v>1.0704137838018715E-7</v>
      </c>
      <c r="AT56" s="1518">
        <f t="shared" si="41"/>
        <v>5.3520689190093576E-9</v>
      </c>
      <c r="AU56" s="1518">
        <f t="shared" si="19"/>
        <v>1.1239344729919651E-7</v>
      </c>
      <c r="AV56" s="1518">
        <f t="shared" si="42"/>
        <v>0</v>
      </c>
      <c r="AW56" s="1518">
        <f t="shared" si="20"/>
        <v>1.1239344729919651E-7</v>
      </c>
      <c r="AY56" s="924">
        <f t="shared" si="21"/>
        <v>41</v>
      </c>
      <c r="AZ56" s="924">
        <v>0</v>
      </c>
      <c r="BA56" s="1518">
        <f t="shared" si="22"/>
        <v>0</v>
      </c>
      <c r="BB56" s="1518">
        <f t="shared" si="43"/>
        <v>0</v>
      </c>
      <c r="BC56" s="1518">
        <f t="shared" si="23"/>
        <v>0</v>
      </c>
      <c r="BD56" s="1518">
        <f t="shared" si="44"/>
        <v>0</v>
      </c>
      <c r="BE56" s="1518">
        <f t="shared" si="24"/>
        <v>0</v>
      </c>
      <c r="BG56" s="924">
        <f t="shared" si="25"/>
        <v>41</v>
      </c>
      <c r="BH56" s="924">
        <v>0</v>
      </c>
      <c r="BI56" s="1518">
        <f t="shared" si="26"/>
        <v>0</v>
      </c>
      <c r="BJ56" s="1518">
        <f t="shared" si="45"/>
        <v>0</v>
      </c>
      <c r="BK56" s="1518">
        <f t="shared" si="27"/>
        <v>0</v>
      </c>
      <c r="BL56" s="1518">
        <f t="shared" si="46"/>
        <v>0</v>
      </c>
      <c r="BM56" s="1518">
        <f t="shared" si="28"/>
        <v>0</v>
      </c>
    </row>
    <row r="57" spans="3:65" x14ac:dyDescent="0.2">
      <c r="C57" s="924">
        <v>42</v>
      </c>
      <c r="D57" s="924">
        <v>0</v>
      </c>
      <c r="E57" s="1518">
        <f t="shared" si="29"/>
        <v>0</v>
      </c>
      <c r="F57" s="1518">
        <f t="shared" si="31"/>
        <v>0</v>
      </c>
      <c r="G57" s="1518">
        <f t="shared" si="47"/>
        <v>0</v>
      </c>
      <c r="H57" s="1518">
        <f t="shared" si="32"/>
        <v>0</v>
      </c>
      <c r="I57" s="1518">
        <f t="shared" si="48"/>
        <v>0</v>
      </c>
      <c r="J57" s="924"/>
      <c r="K57" s="924">
        <f t="shared" si="2"/>
        <v>42</v>
      </c>
      <c r="L57" s="924">
        <v>0</v>
      </c>
      <c r="M57" s="1518">
        <f t="shared" si="30"/>
        <v>0</v>
      </c>
      <c r="N57" s="1518">
        <f t="shared" si="33"/>
        <v>0</v>
      </c>
      <c r="O57" s="1518">
        <f t="shared" si="3"/>
        <v>0</v>
      </c>
      <c r="P57" s="1518">
        <f t="shared" si="34"/>
        <v>0</v>
      </c>
      <c r="Q57" s="1518">
        <f t="shared" si="4"/>
        <v>0</v>
      </c>
      <c r="R57" s="924"/>
      <c r="S57" s="924">
        <f t="shared" si="5"/>
        <v>42</v>
      </c>
      <c r="T57" s="924">
        <v>0</v>
      </c>
      <c r="U57" s="1518">
        <f t="shared" si="6"/>
        <v>0</v>
      </c>
      <c r="V57" s="1518">
        <f t="shared" si="35"/>
        <v>0</v>
      </c>
      <c r="W57" s="1518">
        <f t="shared" si="7"/>
        <v>0</v>
      </c>
      <c r="X57" s="1518">
        <f t="shared" si="36"/>
        <v>0</v>
      </c>
      <c r="Y57" s="1518">
        <f t="shared" si="8"/>
        <v>0</v>
      </c>
      <c r="AA57" s="924">
        <f t="shared" si="9"/>
        <v>42</v>
      </c>
      <c r="AB57" s="924">
        <v>0</v>
      </c>
      <c r="AC57" s="1518">
        <f t="shared" si="10"/>
        <v>0</v>
      </c>
      <c r="AD57" s="1518">
        <f t="shared" si="37"/>
        <v>0</v>
      </c>
      <c r="AE57" s="1518">
        <f t="shared" si="11"/>
        <v>0</v>
      </c>
      <c r="AF57" s="1518">
        <f t="shared" si="38"/>
        <v>0</v>
      </c>
      <c r="AG57" s="1518">
        <f t="shared" si="12"/>
        <v>0</v>
      </c>
      <c r="AI57" s="924">
        <f t="shared" si="13"/>
        <v>42</v>
      </c>
      <c r="AJ57" s="924">
        <v>0</v>
      </c>
      <c r="AK57" s="1518">
        <f t="shared" si="14"/>
        <v>0</v>
      </c>
      <c r="AL57" s="1518">
        <f t="shared" si="39"/>
        <v>0</v>
      </c>
      <c r="AM57" s="1518">
        <f t="shared" si="15"/>
        <v>0</v>
      </c>
      <c r="AN57" s="1518">
        <f t="shared" si="40"/>
        <v>0</v>
      </c>
      <c r="AO57" s="1518">
        <f t="shared" si="16"/>
        <v>0</v>
      </c>
      <c r="AQ57" s="924">
        <f t="shared" si="17"/>
        <v>42</v>
      </c>
      <c r="AR57" s="924">
        <v>0</v>
      </c>
      <c r="AS57" s="1518">
        <f t="shared" si="18"/>
        <v>1.1239344729919651E-7</v>
      </c>
      <c r="AT57" s="1518">
        <f t="shared" si="41"/>
        <v>5.6196723649598259E-9</v>
      </c>
      <c r="AU57" s="1518">
        <f t="shared" si="19"/>
        <v>1.1801311966415633E-7</v>
      </c>
      <c r="AV57" s="1518">
        <f t="shared" si="42"/>
        <v>0</v>
      </c>
      <c r="AW57" s="1518">
        <f t="shared" si="20"/>
        <v>1.1801311966415633E-7</v>
      </c>
      <c r="AY57" s="924">
        <f t="shared" si="21"/>
        <v>42</v>
      </c>
      <c r="AZ57" s="924">
        <v>0</v>
      </c>
      <c r="BA57" s="1518">
        <f t="shared" si="22"/>
        <v>0</v>
      </c>
      <c r="BB57" s="1518">
        <f t="shared" si="43"/>
        <v>0</v>
      </c>
      <c r="BC57" s="1518">
        <f t="shared" si="23"/>
        <v>0</v>
      </c>
      <c r="BD57" s="1518">
        <f t="shared" si="44"/>
        <v>0</v>
      </c>
      <c r="BE57" s="1518">
        <f t="shared" si="24"/>
        <v>0</v>
      </c>
      <c r="BG57" s="924">
        <f t="shared" si="25"/>
        <v>42</v>
      </c>
      <c r="BH57" s="924">
        <v>0</v>
      </c>
      <c r="BI57" s="1518">
        <f t="shared" si="26"/>
        <v>0</v>
      </c>
      <c r="BJ57" s="1518">
        <f t="shared" si="45"/>
        <v>0</v>
      </c>
      <c r="BK57" s="1518">
        <f t="shared" si="27"/>
        <v>0</v>
      </c>
      <c r="BL57" s="1518">
        <f t="shared" si="46"/>
        <v>0</v>
      </c>
      <c r="BM57" s="1518">
        <f t="shared" si="28"/>
        <v>0</v>
      </c>
    </row>
    <row r="58" spans="3:65" x14ac:dyDescent="0.2">
      <c r="C58" s="924">
        <v>43</v>
      </c>
      <c r="D58" s="924">
        <v>0</v>
      </c>
      <c r="E58" s="1518">
        <f t="shared" si="29"/>
        <v>0</v>
      </c>
      <c r="F58" s="1518">
        <f t="shared" si="31"/>
        <v>0</v>
      </c>
      <c r="G58" s="1518">
        <f t="shared" si="47"/>
        <v>0</v>
      </c>
      <c r="H58" s="1518">
        <f t="shared" si="32"/>
        <v>0</v>
      </c>
      <c r="I58" s="1518">
        <f t="shared" si="48"/>
        <v>0</v>
      </c>
      <c r="J58" s="924"/>
      <c r="K58" s="924">
        <f t="shared" si="2"/>
        <v>43</v>
      </c>
      <c r="L58" s="924">
        <v>0</v>
      </c>
      <c r="M58" s="1518">
        <f t="shared" si="30"/>
        <v>0</v>
      </c>
      <c r="N58" s="1518">
        <f t="shared" si="33"/>
        <v>0</v>
      </c>
      <c r="O58" s="1518">
        <f t="shared" si="3"/>
        <v>0</v>
      </c>
      <c r="P58" s="1518">
        <f t="shared" si="34"/>
        <v>0</v>
      </c>
      <c r="Q58" s="1518">
        <f t="shared" si="4"/>
        <v>0</v>
      </c>
      <c r="R58" s="924"/>
      <c r="S58" s="924">
        <f t="shared" si="5"/>
        <v>43</v>
      </c>
      <c r="T58" s="924">
        <v>0</v>
      </c>
      <c r="U58" s="1518">
        <f t="shared" si="6"/>
        <v>0</v>
      </c>
      <c r="V58" s="1518">
        <f t="shared" si="35"/>
        <v>0</v>
      </c>
      <c r="W58" s="1518">
        <f t="shared" si="7"/>
        <v>0</v>
      </c>
      <c r="X58" s="1518">
        <f t="shared" si="36"/>
        <v>0</v>
      </c>
      <c r="Y58" s="1518">
        <f t="shared" si="8"/>
        <v>0</v>
      </c>
      <c r="AA58" s="924">
        <f t="shared" si="9"/>
        <v>43</v>
      </c>
      <c r="AB58" s="924">
        <v>0</v>
      </c>
      <c r="AC58" s="1518">
        <f t="shared" si="10"/>
        <v>0</v>
      </c>
      <c r="AD58" s="1518">
        <f t="shared" si="37"/>
        <v>0</v>
      </c>
      <c r="AE58" s="1518">
        <f t="shared" si="11"/>
        <v>0</v>
      </c>
      <c r="AF58" s="1518">
        <f t="shared" si="38"/>
        <v>0</v>
      </c>
      <c r="AG58" s="1518">
        <f t="shared" si="12"/>
        <v>0</v>
      </c>
      <c r="AI58" s="924">
        <f t="shared" si="13"/>
        <v>43</v>
      </c>
      <c r="AJ58" s="924">
        <v>0</v>
      </c>
      <c r="AK58" s="1518">
        <f t="shared" si="14"/>
        <v>0</v>
      </c>
      <c r="AL58" s="1518">
        <f t="shared" si="39"/>
        <v>0</v>
      </c>
      <c r="AM58" s="1518">
        <f t="shared" si="15"/>
        <v>0</v>
      </c>
      <c r="AN58" s="1518">
        <f t="shared" si="40"/>
        <v>0</v>
      </c>
      <c r="AO58" s="1518">
        <f t="shared" si="16"/>
        <v>0</v>
      </c>
      <c r="AQ58" s="924">
        <f t="shared" si="17"/>
        <v>43</v>
      </c>
      <c r="AR58" s="924">
        <v>0</v>
      </c>
      <c r="AS58" s="1518">
        <f t="shared" si="18"/>
        <v>1.1801311966415633E-7</v>
      </c>
      <c r="AT58" s="1518">
        <f t="shared" si="41"/>
        <v>5.9006559832078172E-9</v>
      </c>
      <c r="AU58" s="1518">
        <f t="shared" si="19"/>
        <v>1.2391377564736416E-7</v>
      </c>
      <c r="AV58" s="1518">
        <f t="shared" si="42"/>
        <v>0</v>
      </c>
      <c r="AW58" s="1518">
        <f t="shared" si="20"/>
        <v>1.2391377564736416E-7</v>
      </c>
      <c r="AY58" s="924">
        <f t="shared" si="21"/>
        <v>43</v>
      </c>
      <c r="AZ58" s="924">
        <v>0</v>
      </c>
      <c r="BA58" s="1518">
        <f t="shared" si="22"/>
        <v>0</v>
      </c>
      <c r="BB58" s="1518">
        <f t="shared" si="43"/>
        <v>0</v>
      </c>
      <c r="BC58" s="1518">
        <f t="shared" si="23"/>
        <v>0</v>
      </c>
      <c r="BD58" s="1518">
        <f t="shared" si="44"/>
        <v>0</v>
      </c>
      <c r="BE58" s="1518">
        <f t="shared" si="24"/>
        <v>0</v>
      </c>
      <c r="BG58" s="924">
        <f t="shared" si="25"/>
        <v>43</v>
      </c>
      <c r="BH58" s="924">
        <v>0</v>
      </c>
      <c r="BI58" s="1518">
        <f t="shared" si="26"/>
        <v>0</v>
      </c>
      <c r="BJ58" s="1518">
        <f t="shared" si="45"/>
        <v>0</v>
      </c>
      <c r="BK58" s="1518">
        <f t="shared" si="27"/>
        <v>0</v>
      </c>
      <c r="BL58" s="1518">
        <f t="shared" si="46"/>
        <v>0</v>
      </c>
      <c r="BM58" s="1518">
        <f t="shared" si="28"/>
        <v>0</v>
      </c>
    </row>
    <row r="59" spans="3:65" x14ac:dyDescent="0.2">
      <c r="C59" s="924">
        <v>44</v>
      </c>
      <c r="D59" s="924">
        <v>0</v>
      </c>
      <c r="E59" s="1518">
        <f t="shared" si="29"/>
        <v>0</v>
      </c>
      <c r="F59" s="1518">
        <f t="shared" si="31"/>
        <v>0</v>
      </c>
      <c r="G59" s="1518">
        <f t="shared" si="47"/>
        <v>0</v>
      </c>
      <c r="H59" s="1518">
        <f t="shared" si="32"/>
        <v>0</v>
      </c>
      <c r="I59" s="1518">
        <f t="shared" si="48"/>
        <v>0</v>
      </c>
      <c r="J59" s="924"/>
      <c r="K59" s="924">
        <f t="shared" si="2"/>
        <v>44</v>
      </c>
      <c r="L59" s="924">
        <v>0</v>
      </c>
      <c r="M59" s="1518">
        <f t="shared" si="30"/>
        <v>0</v>
      </c>
      <c r="N59" s="1518">
        <f t="shared" si="33"/>
        <v>0</v>
      </c>
      <c r="O59" s="1518">
        <f t="shared" si="3"/>
        <v>0</v>
      </c>
      <c r="P59" s="1518">
        <f t="shared" si="34"/>
        <v>0</v>
      </c>
      <c r="Q59" s="1518">
        <f t="shared" si="4"/>
        <v>0</v>
      </c>
      <c r="R59" s="924"/>
      <c r="S59" s="924">
        <f t="shared" si="5"/>
        <v>44</v>
      </c>
      <c r="T59" s="924">
        <v>0</v>
      </c>
      <c r="U59" s="1518">
        <f t="shared" si="6"/>
        <v>0</v>
      </c>
      <c r="V59" s="1518">
        <f t="shared" si="35"/>
        <v>0</v>
      </c>
      <c r="W59" s="1518">
        <f t="shared" si="7"/>
        <v>0</v>
      </c>
      <c r="X59" s="1518">
        <f t="shared" si="36"/>
        <v>0</v>
      </c>
      <c r="Y59" s="1518">
        <f t="shared" si="8"/>
        <v>0</v>
      </c>
      <c r="AA59" s="924">
        <f t="shared" si="9"/>
        <v>44</v>
      </c>
      <c r="AB59" s="924">
        <v>0</v>
      </c>
      <c r="AC59" s="1518">
        <f t="shared" si="10"/>
        <v>0</v>
      </c>
      <c r="AD59" s="1518">
        <f t="shared" si="37"/>
        <v>0</v>
      </c>
      <c r="AE59" s="1518">
        <f t="shared" si="11"/>
        <v>0</v>
      </c>
      <c r="AF59" s="1518">
        <f t="shared" si="38"/>
        <v>0</v>
      </c>
      <c r="AG59" s="1518">
        <f t="shared" si="12"/>
        <v>0</v>
      </c>
      <c r="AI59" s="924">
        <f t="shared" si="13"/>
        <v>44</v>
      </c>
      <c r="AJ59" s="924">
        <v>0</v>
      </c>
      <c r="AK59" s="1518">
        <f t="shared" si="14"/>
        <v>0</v>
      </c>
      <c r="AL59" s="1518">
        <f t="shared" si="39"/>
        <v>0</v>
      </c>
      <c r="AM59" s="1518">
        <f t="shared" si="15"/>
        <v>0</v>
      </c>
      <c r="AN59" s="1518">
        <f t="shared" si="40"/>
        <v>0</v>
      </c>
      <c r="AO59" s="1518">
        <f t="shared" si="16"/>
        <v>0</v>
      </c>
      <c r="AQ59" s="924">
        <f t="shared" si="17"/>
        <v>44</v>
      </c>
      <c r="AR59" s="924">
        <v>0</v>
      </c>
      <c r="AS59" s="1518">
        <f t="shared" si="18"/>
        <v>1.2391377564736416E-7</v>
      </c>
      <c r="AT59" s="1518">
        <f t="shared" si="41"/>
        <v>6.1956887823682082E-9</v>
      </c>
      <c r="AU59" s="1518">
        <f t="shared" si="19"/>
        <v>1.3010946442973238E-7</v>
      </c>
      <c r="AV59" s="1518">
        <f t="shared" si="42"/>
        <v>0</v>
      </c>
      <c r="AW59" s="1518">
        <f t="shared" si="20"/>
        <v>1.3010946442973238E-7</v>
      </c>
      <c r="AY59" s="924">
        <f t="shared" si="21"/>
        <v>44</v>
      </c>
      <c r="AZ59" s="924">
        <v>0</v>
      </c>
      <c r="BA59" s="1518">
        <f t="shared" si="22"/>
        <v>0</v>
      </c>
      <c r="BB59" s="1518">
        <f t="shared" si="43"/>
        <v>0</v>
      </c>
      <c r="BC59" s="1518">
        <f t="shared" si="23"/>
        <v>0</v>
      </c>
      <c r="BD59" s="1518">
        <f t="shared" si="44"/>
        <v>0</v>
      </c>
      <c r="BE59" s="1518">
        <f t="shared" si="24"/>
        <v>0</v>
      </c>
      <c r="BG59" s="924">
        <f t="shared" si="25"/>
        <v>44</v>
      </c>
      <c r="BH59" s="924">
        <v>0</v>
      </c>
      <c r="BI59" s="1518">
        <f t="shared" si="26"/>
        <v>0</v>
      </c>
      <c r="BJ59" s="1518">
        <f t="shared" si="45"/>
        <v>0</v>
      </c>
      <c r="BK59" s="1518">
        <f t="shared" si="27"/>
        <v>0</v>
      </c>
      <c r="BL59" s="1518">
        <f t="shared" si="46"/>
        <v>0</v>
      </c>
      <c r="BM59" s="1518">
        <f t="shared" si="28"/>
        <v>0</v>
      </c>
    </row>
    <row r="60" spans="3:65" x14ac:dyDescent="0.2">
      <c r="C60" s="924">
        <v>45</v>
      </c>
      <c r="D60" s="924">
        <v>0</v>
      </c>
      <c r="E60" s="1518">
        <f t="shared" si="29"/>
        <v>0</v>
      </c>
      <c r="F60" s="1518">
        <f t="shared" si="31"/>
        <v>0</v>
      </c>
      <c r="G60" s="1518">
        <f t="shared" si="47"/>
        <v>0</v>
      </c>
      <c r="H60" s="1518">
        <f t="shared" si="32"/>
        <v>0</v>
      </c>
      <c r="I60" s="1518">
        <f t="shared" si="48"/>
        <v>0</v>
      </c>
      <c r="J60" s="924"/>
      <c r="K60" s="924">
        <f t="shared" si="2"/>
        <v>45</v>
      </c>
      <c r="L60" s="924">
        <v>0</v>
      </c>
      <c r="M60" s="1518">
        <f t="shared" si="30"/>
        <v>0</v>
      </c>
      <c r="N60" s="1518">
        <f t="shared" si="33"/>
        <v>0</v>
      </c>
      <c r="O60" s="1518">
        <f t="shared" si="3"/>
        <v>0</v>
      </c>
      <c r="P60" s="1518">
        <f t="shared" si="34"/>
        <v>0</v>
      </c>
      <c r="Q60" s="1518">
        <f t="shared" si="4"/>
        <v>0</v>
      </c>
      <c r="R60" s="924"/>
      <c r="S60" s="924">
        <f t="shared" si="5"/>
        <v>45</v>
      </c>
      <c r="T60" s="924">
        <v>0</v>
      </c>
      <c r="U60" s="1518">
        <f t="shared" si="6"/>
        <v>0</v>
      </c>
      <c r="V60" s="1518">
        <f t="shared" si="35"/>
        <v>0</v>
      </c>
      <c r="W60" s="1518">
        <f t="shared" si="7"/>
        <v>0</v>
      </c>
      <c r="X60" s="1518">
        <f t="shared" si="36"/>
        <v>0</v>
      </c>
      <c r="Y60" s="1518">
        <f t="shared" si="8"/>
        <v>0</v>
      </c>
      <c r="AA60" s="924">
        <f t="shared" si="9"/>
        <v>45</v>
      </c>
      <c r="AB60" s="924">
        <v>0</v>
      </c>
      <c r="AC60" s="1518">
        <f t="shared" si="10"/>
        <v>0</v>
      </c>
      <c r="AD60" s="1518">
        <f t="shared" si="37"/>
        <v>0</v>
      </c>
      <c r="AE60" s="1518">
        <f t="shared" si="11"/>
        <v>0</v>
      </c>
      <c r="AF60" s="1518">
        <f t="shared" si="38"/>
        <v>0</v>
      </c>
      <c r="AG60" s="1518">
        <f t="shared" si="12"/>
        <v>0</v>
      </c>
      <c r="AI60" s="924">
        <f t="shared" si="13"/>
        <v>45</v>
      </c>
      <c r="AJ60" s="924">
        <v>0</v>
      </c>
      <c r="AK60" s="1518">
        <f t="shared" si="14"/>
        <v>0</v>
      </c>
      <c r="AL60" s="1518">
        <f t="shared" si="39"/>
        <v>0</v>
      </c>
      <c r="AM60" s="1518">
        <f t="shared" si="15"/>
        <v>0</v>
      </c>
      <c r="AN60" s="1518">
        <f t="shared" si="40"/>
        <v>0</v>
      </c>
      <c r="AO60" s="1518">
        <f t="shared" si="16"/>
        <v>0</v>
      </c>
      <c r="AQ60" s="924">
        <f t="shared" si="17"/>
        <v>45</v>
      </c>
      <c r="AR60" s="924">
        <v>0</v>
      </c>
      <c r="AS60" s="1518">
        <f t="shared" si="18"/>
        <v>1.3010946442973238E-7</v>
      </c>
      <c r="AT60" s="1518">
        <f t="shared" si="41"/>
        <v>6.5054732214866191E-9</v>
      </c>
      <c r="AU60" s="1518">
        <f t="shared" si="19"/>
        <v>1.3661493765121899E-7</v>
      </c>
      <c r="AV60" s="1518">
        <f t="shared" si="42"/>
        <v>0</v>
      </c>
      <c r="AW60" s="1518">
        <f t="shared" si="20"/>
        <v>1.3661493765121899E-7</v>
      </c>
      <c r="AY60" s="924">
        <f t="shared" si="21"/>
        <v>45</v>
      </c>
      <c r="AZ60" s="924">
        <v>0</v>
      </c>
      <c r="BA60" s="1518">
        <f t="shared" si="22"/>
        <v>0</v>
      </c>
      <c r="BB60" s="1518">
        <f t="shared" si="43"/>
        <v>0</v>
      </c>
      <c r="BC60" s="1518">
        <f t="shared" si="23"/>
        <v>0</v>
      </c>
      <c r="BD60" s="1518">
        <f t="shared" si="44"/>
        <v>0</v>
      </c>
      <c r="BE60" s="1518">
        <f t="shared" si="24"/>
        <v>0</v>
      </c>
      <c r="BG60" s="924">
        <f t="shared" si="25"/>
        <v>45</v>
      </c>
      <c r="BH60" s="924">
        <v>0</v>
      </c>
      <c r="BI60" s="1518">
        <f t="shared" si="26"/>
        <v>0</v>
      </c>
      <c r="BJ60" s="1518">
        <f t="shared" si="45"/>
        <v>0</v>
      </c>
      <c r="BK60" s="1518">
        <f t="shared" si="27"/>
        <v>0</v>
      </c>
      <c r="BL60" s="1518">
        <f t="shared" si="46"/>
        <v>0</v>
      </c>
      <c r="BM60" s="1518">
        <f t="shared" si="28"/>
        <v>0</v>
      </c>
    </row>
    <row r="61" spans="3:65" x14ac:dyDescent="0.2">
      <c r="C61" s="924">
        <v>46</v>
      </c>
      <c r="D61" s="924">
        <v>0</v>
      </c>
      <c r="E61" s="1518">
        <f t="shared" si="29"/>
        <v>0</v>
      </c>
      <c r="F61" s="1518">
        <f t="shared" si="31"/>
        <v>0</v>
      </c>
      <c r="G61" s="1518">
        <f t="shared" si="47"/>
        <v>0</v>
      </c>
      <c r="H61" s="1518">
        <f t="shared" si="32"/>
        <v>0</v>
      </c>
      <c r="I61" s="1518">
        <f t="shared" si="48"/>
        <v>0</v>
      </c>
      <c r="J61" s="924"/>
      <c r="K61" s="924">
        <f t="shared" si="2"/>
        <v>46</v>
      </c>
      <c r="L61" s="924">
        <v>0</v>
      </c>
      <c r="M61" s="1518">
        <f t="shared" si="30"/>
        <v>0</v>
      </c>
      <c r="N61" s="1518">
        <f t="shared" si="33"/>
        <v>0</v>
      </c>
      <c r="O61" s="1518">
        <f t="shared" si="3"/>
        <v>0</v>
      </c>
      <c r="P61" s="1518">
        <f t="shared" si="34"/>
        <v>0</v>
      </c>
      <c r="Q61" s="1518">
        <f t="shared" si="4"/>
        <v>0</v>
      </c>
      <c r="R61" s="924"/>
      <c r="S61" s="924">
        <f t="shared" si="5"/>
        <v>46</v>
      </c>
      <c r="T61" s="924">
        <v>0</v>
      </c>
      <c r="U61" s="1518">
        <f t="shared" si="6"/>
        <v>0</v>
      </c>
      <c r="V61" s="1518">
        <f t="shared" si="35"/>
        <v>0</v>
      </c>
      <c r="W61" s="1518">
        <f t="shared" si="7"/>
        <v>0</v>
      </c>
      <c r="X61" s="1518">
        <f t="shared" si="36"/>
        <v>0</v>
      </c>
      <c r="Y61" s="1518">
        <f t="shared" si="8"/>
        <v>0</v>
      </c>
      <c r="AA61" s="924">
        <f t="shared" si="9"/>
        <v>46</v>
      </c>
      <c r="AB61" s="924">
        <v>0</v>
      </c>
      <c r="AC61" s="1518">
        <f t="shared" si="10"/>
        <v>0</v>
      </c>
      <c r="AD61" s="1518">
        <f t="shared" si="37"/>
        <v>0</v>
      </c>
      <c r="AE61" s="1518">
        <f t="shared" si="11"/>
        <v>0</v>
      </c>
      <c r="AF61" s="1518">
        <f t="shared" si="38"/>
        <v>0</v>
      </c>
      <c r="AG61" s="1518">
        <f t="shared" si="12"/>
        <v>0</v>
      </c>
      <c r="AI61" s="924">
        <f t="shared" si="13"/>
        <v>46</v>
      </c>
      <c r="AJ61" s="924">
        <v>0</v>
      </c>
      <c r="AK61" s="1518">
        <f t="shared" si="14"/>
        <v>0</v>
      </c>
      <c r="AL61" s="1518">
        <f t="shared" si="39"/>
        <v>0</v>
      </c>
      <c r="AM61" s="1518">
        <f t="shared" si="15"/>
        <v>0</v>
      </c>
      <c r="AN61" s="1518">
        <f t="shared" si="40"/>
        <v>0</v>
      </c>
      <c r="AO61" s="1518">
        <f t="shared" si="16"/>
        <v>0</v>
      </c>
      <c r="AQ61" s="924">
        <f t="shared" si="17"/>
        <v>46</v>
      </c>
      <c r="AR61" s="924">
        <v>0</v>
      </c>
      <c r="AS61" s="1518">
        <f t="shared" si="18"/>
        <v>1.3661493765121899E-7</v>
      </c>
      <c r="AT61" s="1518">
        <f t="shared" si="41"/>
        <v>6.8307468825609495E-9</v>
      </c>
      <c r="AU61" s="1518">
        <f t="shared" si="19"/>
        <v>1.4344568453377993E-7</v>
      </c>
      <c r="AV61" s="1518">
        <f t="shared" si="42"/>
        <v>0</v>
      </c>
      <c r="AW61" s="1518">
        <f t="shared" si="20"/>
        <v>1.4344568453377993E-7</v>
      </c>
      <c r="AY61" s="924">
        <f t="shared" si="21"/>
        <v>46</v>
      </c>
      <c r="AZ61" s="924">
        <v>0</v>
      </c>
      <c r="BA61" s="1518">
        <f t="shared" si="22"/>
        <v>0</v>
      </c>
      <c r="BB61" s="1518">
        <f t="shared" si="43"/>
        <v>0</v>
      </c>
      <c r="BC61" s="1518">
        <f t="shared" si="23"/>
        <v>0</v>
      </c>
      <c r="BD61" s="1518">
        <f t="shared" si="44"/>
        <v>0</v>
      </c>
      <c r="BE61" s="1518">
        <f t="shared" si="24"/>
        <v>0</v>
      </c>
      <c r="BG61" s="924">
        <f t="shared" si="25"/>
        <v>46</v>
      </c>
      <c r="BH61" s="924">
        <v>0</v>
      </c>
      <c r="BI61" s="1518">
        <f t="shared" si="26"/>
        <v>0</v>
      </c>
      <c r="BJ61" s="1518">
        <f t="shared" si="45"/>
        <v>0</v>
      </c>
      <c r="BK61" s="1518">
        <f t="shared" si="27"/>
        <v>0</v>
      </c>
      <c r="BL61" s="1518">
        <f t="shared" si="46"/>
        <v>0</v>
      </c>
      <c r="BM61" s="1518">
        <f t="shared" si="28"/>
        <v>0</v>
      </c>
    </row>
    <row r="62" spans="3:65" x14ac:dyDescent="0.2">
      <c r="C62" s="924">
        <v>47</v>
      </c>
      <c r="D62" s="924">
        <v>0</v>
      </c>
      <c r="E62" s="1518">
        <f t="shared" si="29"/>
        <v>0</v>
      </c>
      <c r="F62" s="1518">
        <f t="shared" si="31"/>
        <v>0</v>
      </c>
      <c r="G62" s="1518">
        <f t="shared" si="47"/>
        <v>0</v>
      </c>
      <c r="H62" s="1518">
        <f t="shared" si="32"/>
        <v>0</v>
      </c>
      <c r="I62" s="1518">
        <f t="shared" si="48"/>
        <v>0</v>
      </c>
      <c r="J62" s="924"/>
      <c r="K62" s="924">
        <f t="shared" si="2"/>
        <v>47</v>
      </c>
      <c r="L62" s="924">
        <v>0</v>
      </c>
      <c r="M62" s="1518">
        <f t="shared" si="30"/>
        <v>0</v>
      </c>
      <c r="N62" s="1518">
        <f t="shared" si="33"/>
        <v>0</v>
      </c>
      <c r="O62" s="1518">
        <f t="shared" si="3"/>
        <v>0</v>
      </c>
      <c r="P62" s="1518">
        <f t="shared" si="34"/>
        <v>0</v>
      </c>
      <c r="Q62" s="1518">
        <f t="shared" si="4"/>
        <v>0</v>
      </c>
      <c r="R62" s="924"/>
      <c r="S62" s="924">
        <f t="shared" si="5"/>
        <v>47</v>
      </c>
      <c r="T62" s="924">
        <v>0</v>
      </c>
      <c r="U62" s="1518">
        <f t="shared" si="6"/>
        <v>0</v>
      </c>
      <c r="V62" s="1518">
        <f t="shared" si="35"/>
        <v>0</v>
      </c>
      <c r="W62" s="1518">
        <f t="shared" si="7"/>
        <v>0</v>
      </c>
      <c r="X62" s="1518">
        <f t="shared" si="36"/>
        <v>0</v>
      </c>
      <c r="Y62" s="1518">
        <f t="shared" si="8"/>
        <v>0</v>
      </c>
      <c r="AA62" s="924">
        <f t="shared" si="9"/>
        <v>47</v>
      </c>
      <c r="AB62" s="924">
        <v>0</v>
      </c>
      <c r="AC62" s="1518">
        <f t="shared" si="10"/>
        <v>0</v>
      </c>
      <c r="AD62" s="1518">
        <f t="shared" si="37"/>
        <v>0</v>
      </c>
      <c r="AE62" s="1518">
        <f t="shared" si="11"/>
        <v>0</v>
      </c>
      <c r="AF62" s="1518">
        <f t="shared" si="38"/>
        <v>0</v>
      </c>
      <c r="AG62" s="1518">
        <f t="shared" si="12"/>
        <v>0</v>
      </c>
      <c r="AI62" s="924">
        <f t="shared" si="13"/>
        <v>47</v>
      </c>
      <c r="AJ62" s="924">
        <v>0</v>
      </c>
      <c r="AK62" s="1518">
        <f t="shared" si="14"/>
        <v>0</v>
      </c>
      <c r="AL62" s="1518">
        <f t="shared" si="39"/>
        <v>0</v>
      </c>
      <c r="AM62" s="1518">
        <f t="shared" si="15"/>
        <v>0</v>
      </c>
      <c r="AN62" s="1518">
        <f t="shared" si="40"/>
        <v>0</v>
      </c>
      <c r="AO62" s="1518">
        <f t="shared" si="16"/>
        <v>0</v>
      </c>
      <c r="AQ62" s="924">
        <f t="shared" si="17"/>
        <v>47</v>
      </c>
      <c r="AR62" s="924">
        <v>0</v>
      </c>
      <c r="AS62" s="1518">
        <f t="shared" si="18"/>
        <v>1.4344568453377993E-7</v>
      </c>
      <c r="AT62" s="1518">
        <f t="shared" si="41"/>
        <v>7.1722842266889966E-9</v>
      </c>
      <c r="AU62" s="1518">
        <f t="shared" si="19"/>
        <v>1.5061796876046893E-7</v>
      </c>
      <c r="AV62" s="1518">
        <f t="shared" si="42"/>
        <v>0</v>
      </c>
      <c r="AW62" s="1518">
        <f t="shared" si="20"/>
        <v>1.5061796876046893E-7</v>
      </c>
      <c r="AY62" s="924">
        <f t="shared" si="21"/>
        <v>47</v>
      </c>
      <c r="AZ62" s="924">
        <v>0</v>
      </c>
      <c r="BA62" s="1518">
        <f t="shared" si="22"/>
        <v>0</v>
      </c>
      <c r="BB62" s="1518">
        <f t="shared" si="43"/>
        <v>0</v>
      </c>
      <c r="BC62" s="1518">
        <f t="shared" si="23"/>
        <v>0</v>
      </c>
      <c r="BD62" s="1518">
        <f t="shared" si="44"/>
        <v>0</v>
      </c>
      <c r="BE62" s="1518">
        <f t="shared" si="24"/>
        <v>0</v>
      </c>
      <c r="BG62" s="924">
        <f t="shared" si="25"/>
        <v>47</v>
      </c>
      <c r="BH62" s="924">
        <v>0</v>
      </c>
      <c r="BI62" s="1518">
        <f t="shared" si="26"/>
        <v>0</v>
      </c>
      <c r="BJ62" s="1518">
        <f t="shared" si="45"/>
        <v>0</v>
      </c>
      <c r="BK62" s="1518">
        <f t="shared" si="27"/>
        <v>0</v>
      </c>
      <c r="BL62" s="1518">
        <f t="shared" si="46"/>
        <v>0</v>
      </c>
      <c r="BM62" s="1518">
        <f t="shared" si="28"/>
        <v>0</v>
      </c>
    </row>
    <row r="63" spans="3:65" x14ac:dyDescent="0.2">
      <c r="C63" s="924">
        <v>48</v>
      </c>
      <c r="D63" s="924">
        <v>0</v>
      </c>
      <c r="E63" s="1518">
        <f t="shared" si="29"/>
        <v>0</v>
      </c>
      <c r="F63" s="1518">
        <f t="shared" si="31"/>
        <v>0</v>
      </c>
      <c r="G63" s="1518">
        <f t="shared" si="47"/>
        <v>0</v>
      </c>
      <c r="H63" s="1518">
        <f t="shared" si="32"/>
        <v>0</v>
      </c>
      <c r="I63" s="1518">
        <f t="shared" si="48"/>
        <v>0</v>
      </c>
      <c r="J63" s="924"/>
      <c r="K63" s="924">
        <f t="shared" si="2"/>
        <v>48</v>
      </c>
      <c r="L63" s="924">
        <v>0</v>
      </c>
      <c r="M63" s="1518">
        <f t="shared" si="30"/>
        <v>0</v>
      </c>
      <c r="N63" s="1518">
        <f t="shared" si="33"/>
        <v>0</v>
      </c>
      <c r="O63" s="1518">
        <f t="shared" si="3"/>
        <v>0</v>
      </c>
      <c r="P63" s="1518">
        <f t="shared" si="34"/>
        <v>0</v>
      </c>
      <c r="Q63" s="1518">
        <f t="shared" si="4"/>
        <v>0</v>
      </c>
      <c r="R63" s="924"/>
      <c r="S63" s="924">
        <f t="shared" si="5"/>
        <v>48</v>
      </c>
      <c r="T63" s="924">
        <v>0</v>
      </c>
      <c r="U63" s="1518">
        <f t="shared" si="6"/>
        <v>0</v>
      </c>
      <c r="V63" s="1518">
        <f t="shared" si="35"/>
        <v>0</v>
      </c>
      <c r="W63" s="1518">
        <f t="shared" si="7"/>
        <v>0</v>
      </c>
      <c r="X63" s="1518">
        <f t="shared" si="36"/>
        <v>0</v>
      </c>
      <c r="Y63" s="1518">
        <f t="shared" si="8"/>
        <v>0</v>
      </c>
      <c r="AA63" s="924">
        <f t="shared" si="9"/>
        <v>48</v>
      </c>
      <c r="AB63" s="924">
        <v>0</v>
      </c>
      <c r="AC63" s="1518">
        <f t="shared" si="10"/>
        <v>0</v>
      </c>
      <c r="AD63" s="1518">
        <f t="shared" si="37"/>
        <v>0</v>
      </c>
      <c r="AE63" s="1518">
        <f t="shared" si="11"/>
        <v>0</v>
      </c>
      <c r="AF63" s="1518">
        <f t="shared" si="38"/>
        <v>0</v>
      </c>
      <c r="AG63" s="1518">
        <f t="shared" si="12"/>
        <v>0</v>
      </c>
      <c r="AI63" s="924">
        <f t="shared" si="13"/>
        <v>48</v>
      </c>
      <c r="AJ63" s="924">
        <v>0</v>
      </c>
      <c r="AK63" s="1518">
        <f t="shared" si="14"/>
        <v>0</v>
      </c>
      <c r="AL63" s="1518">
        <f t="shared" si="39"/>
        <v>0</v>
      </c>
      <c r="AM63" s="1518">
        <f t="shared" si="15"/>
        <v>0</v>
      </c>
      <c r="AN63" s="1518">
        <f t="shared" si="40"/>
        <v>0</v>
      </c>
      <c r="AO63" s="1518">
        <f t="shared" si="16"/>
        <v>0</v>
      </c>
      <c r="AQ63" s="924">
        <f t="shared" si="17"/>
        <v>48</v>
      </c>
      <c r="AR63" s="924">
        <v>0</v>
      </c>
      <c r="AS63" s="1518">
        <f t="shared" si="18"/>
        <v>1.5061796876046893E-7</v>
      </c>
      <c r="AT63" s="1518">
        <f t="shared" si="41"/>
        <v>7.5308984380234468E-9</v>
      </c>
      <c r="AU63" s="1518">
        <f t="shared" si="19"/>
        <v>1.5814886719849237E-7</v>
      </c>
      <c r="AV63" s="1518">
        <f t="shared" si="42"/>
        <v>0</v>
      </c>
      <c r="AW63" s="1518">
        <f t="shared" si="20"/>
        <v>1.5814886719849237E-7</v>
      </c>
      <c r="AY63" s="924">
        <f t="shared" si="21"/>
        <v>48</v>
      </c>
      <c r="AZ63" s="924">
        <v>0</v>
      </c>
      <c r="BA63" s="1518">
        <f t="shared" si="22"/>
        <v>0</v>
      </c>
      <c r="BB63" s="1518">
        <f t="shared" si="43"/>
        <v>0</v>
      </c>
      <c r="BC63" s="1518">
        <f t="shared" si="23"/>
        <v>0</v>
      </c>
      <c r="BD63" s="1518">
        <f t="shared" si="44"/>
        <v>0</v>
      </c>
      <c r="BE63" s="1518">
        <f t="shared" si="24"/>
        <v>0</v>
      </c>
      <c r="BG63" s="924">
        <f t="shared" si="25"/>
        <v>48</v>
      </c>
      <c r="BH63" s="924">
        <v>0</v>
      </c>
      <c r="BI63" s="1518">
        <f t="shared" si="26"/>
        <v>0</v>
      </c>
      <c r="BJ63" s="1518">
        <f t="shared" si="45"/>
        <v>0</v>
      </c>
      <c r="BK63" s="1518">
        <f t="shared" si="27"/>
        <v>0</v>
      </c>
      <c r="BL63" s="1518">
        <f t="shared" si="46"/>
        <v>0</v>
      </c>
      <c r="BM63" s="1518">
        <f t="shared" si="28"/>
        <v>0</v>
      </c>
    </row>
    <row r="64" spans="3:65" x14ac:dyDescent="0.2">
      <c r="E64" s="1520"/>
      <c r="F64" s="1520"/>
      <c r="G64" s="1520"/>
      <c r="H64" s="1520"/>
      <c r="I64" s="1520"/>
    </row>
    <row r="65" spans="5:9" x14ac:dyDescent="0.2">
      <c r="E65" s="1520"/>
      <c r="F65" s="1520"/>
      <c r="G65" s="1520"/>
      <c r="H65" s="1520"/>
      <c r="I65" s="1520"/>
    </row>
    <row r="66" spans="5:9" x14ac:dyDescent="0.2">
      <c r="E66" s="1520"/>
      <c r="F66" s="1520"/>
      <c r="G66" s="1520"/>
      <c r="H66" s="1520"/>
      <c r="I66" s="1520"/>
    </row>
    <row r="67" spans="5:9" x14ac:dyDescent="0.2">
      <c r="E67" s="1520"/>
      <c r="F67" s="1520"/>
      <c r="G67" s="1520"/>
      <c r="H67" s="1520"/>
      <c r="I67" s="1520"/>
    </row>
    <row r="68" spans="5:9" x14ac:dyDescent="0.2">
      <c r="E68" s="1520"/>
      <c r="F68" s="1520"/>
      <c r="G68" s="1520"/>
      <c r="H68" s="1520"/>
      <c r="I68" s="1520"/>
    </row>
    <row r="69" spans="5:9" x14ac:dyDescent="0.2">
      <c r="E69" s="1520"/>
      <c r="F69" s="1520"/>
      <c r="G69" s="1520"/>
      <c r="H69" s="1520"/>
      <c r="I69" s="1520"/>
    </row>
  </sheetData>
  <sheetProtection password="C82C" sheet="1" objects="1" scenarios="1" selectLockedCells="1"/>
  <mergeCells count="8">
    <mergeCell ref="BG10:BM10"/>
    <mergeCell ref="AQ10:AW10"/>
    <mergeCell ref="AY10:BE10"/>
    <mergeCell ref="C10:I10"/>
    <mergeCell ref="K10:Q10"/>
    <mergeCell ref="S10:Y10"/>
    <mergeCell ref="AA10:AG10"/>
    <mergeCell ref="AI10:AO10"/>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C1:S124"/>
  <sheetViews>
    <sheetView showGridLines="0" topLeftCell="A88" zoomScaleNormal="100" workbookViewId="0">
      <selection activeCell="C126" sqref="C126"/>
    </sheetView>
  </sheetViews>
  <sheetFormatPr defaultRowHeight="12.75" x14ac:dyDescent="0.2"/>
  <cols>
    <col min="1" max="2" width="2.7109375" customWidth="1"/>
    <col min="3" max="3" width="47.42578125" customWidth="1"/>
    <col min="4" max="4" width="12.7109375" bestFit="1" customWidth="1"/>
    <col min="5" max="5" width="9.5703125" customWidth="1"/>
    <col min="6" max="6" width="51.42578125" bestFit="1" customWidth="1"/>
    <col min="8" max="8" width="17" customWidth="1"/>
    <col min="9" max="9" width="15.28515625" customWidth="1"/>
    <col min="10" max="10" width="10.42578125" customWidth="1"/>
  </cols>
  <sheetData>
    <row r="1" spans="3:19" ht="20.25" hidden="1" x14ac:dyDescent="0.3">
      <c r="C1" s="180" t="s">
        <v>724</v>
      </c>
      <c r="D1" s="220"/>
      <c r="E1" s="221"/>
      <c r="F1" s="222"/>
      <c r="G1" s="222"/>
      <c r="H1" s="222"/>
      <c r="I1" s="222"/>
      <c r="J1" s="222"/>
      <c r="K1" s="158"/>
    </row>
    <row r="2" spans="3:19" s="615" customFormat="1" ht="20.25" hidden="1" x14ac:dyDescent="0.3">
      <c r="C2" s="667" t="s">
        <v>728</v>
      </c>
      <c r="D2" s="668"/>
      <c r="E2" s="669"/>
      <c r="F2" s="670"/>
      <c r="G2" s="670"/>
      <c r="H2" s="670"/>
      <c r="I2" s="670"/>
      <c r="J2" s="670"/>
      <c r="K2" s="655"/>
    </row>
    <row r="3" spans="3:19" ht="15.75" hidden="1" x14ac:dyDescent="0.25">
      <c r="C3" s="180"/>
      <c r="G3" s="219"/>
      <c r="H3" s="158"/>
      <c r="I3" s="158"/>
      <c r="J3" s="219"/>
      <c r="K3" s="164"/>
    </row>
    <row r="4" spans="3:19" ht="15.75" hidden="1" x14ac:dyDescent="0.25">
      <c r="C4" s="1615" t="str">
        <f>"Feedstock Allocators ($'000, Real FY"&amp;Assumptions!$J$19&amp;")"</f>
        <v>Feedstock Allocators ($'000, Real FY2017)</v>
      </c>
      <c r="D4" s="1615"/>
      <c r="E4" s="1615"/>
      <c r="F4" s="1615"/>
    </row>
    <row r="5" spans="3:19" hidden="1" x14ac:dyDescent="0.2">
      <c r="C5" s="156"/>
      <c r="D5" s="166" t="s">
        <v>74</v>
      </c>
      <c r="E5" s="166" t="s">
        <v>485</v>
      </c>
      <c r="F5" s="166" t="s">
        <v>487</v>
      </c>
    </row>
    <row r="6" spans="3:19" hidden="1" x14ac:dyDescent="0.2"/>
    <row r="7" spans="3:19" ht="15" hidden="1" x14ac:dyDescent="0.25">
      <c r="C7" s="170" t="s">
        <v>464</v>
      </c>
      <c r="D7" s="225"/>
      <c r="E7" s="225"/>
      <c r="F7" s="225"/>
      <c r="G7" s="158"/>
      <c r="H7" s="158"/>
      <c r="I7" s="158"/>
      <c r="J7" s="158"/>
      <c r="K7" s="158"/>
      <c r="L7" s="158"/>
      <c r="M7" s="158"/>
      <c r="N7" s="158"/>
      <c r="O7" s="158"/>
      <c r="P7" s="158"/>
      <c r="Q7" s="158"/>
      <c r="R7" s="158"/>
      <c r="S7" s="158"/>
    </row>
    <row r="8" spans="3:19" s="158" customFormat="1" hidden="1" x14ac:dyDescent="0.2">
      <c r="C8" s="227" t="s">
        <v>516</v>
      </c>
      <c r="D8" s="228"/>
      <c r="E8" s="228"/>
      <c r="F8" s="228"/>
    </row>
    <row r="9" spans="3:19" s="158" customFormat="1" hidden="1" x14ac:dyDescent="0.2">
      <c r="C9" s="233" t="s">
        <v>538</v>
      </c>
      <c r="D9" s="237">
        <f>Assumptions!$J$30*Assumptions!$C$5*10^6</f>
        <v>90000000</v>
      </c>
      <c r="E9" s="233"/>
      <c r="F9" s="233" t="s">
        <v>543</v>
      </c>
    </row>
    <row r="10" spans="3:19" s="158" customFormat="1" hidden="1" x14ac:dyDescent="0.2">
      <c r="C10" s="236" t="s">
        <v>542</v>
      </c>
      <c r="D10" s="237">
        <f>'C-Syrup (Sucrosic)'!$L$44</f>
        <v>23758215.65225894</v>
      </c>
      <c r="E10" s="233"/>
      <c r="F10" s="233"/>
    </row>
    <row r="11" spans="3:19" s="158" customFormat="1" ht="13.5" hidden="1" thickBot="1" x14ac:dyDescent="0.25">
      <c r="C11" s="229" t="s">
        <v>488</v>
      </c>
      <c r="D11" s="230">
        <f>SUM(D9:D10)</f>
        <v>113758215.65225893</v>
      </c>
      <c r="E11" s="235"/>
      <c r="F11" s="235"/>
    </row>
    <row r="12" spans="3:19" s="158" customFormat="1" hidden="1" x14ac:dyDescent="0.2">
      <c r="C12" s="238" t="s">
        <v>541</v>
      </c>
      <c r="D12" s="239">
        <f>D9/D11</f>
        <v>0.79115164987393893</v>
      </c>
      <c r="E12" s="241">
        <v>13</v>
      </c>
      <c r="F12" s="235"/>
    </row>
    <row r="13" spans="3:19" s="158" customFormat="1" ht="15" hidden="1" x14ac:dyDescent="0.25">
      <c r="C13" s="178"/>
      <c r="D13" s="168"/>
      <c r="E13" s="168"/>
      <c r="F13" s="168"/>
    </row>
    <row r="14" spans="3:19" ht="12" hidden="1" customHeight="1" x14ac:dyDescent="0.2">
      <c r="C14" s="227" t="s">
        <v>86</v>
      </c>
      <c r="D14" s="228"/>
      <c r="E14" s="228"/>
      <c r="F14" s="228"/>
      <c r="G14" s="218"/>
      <c r="H14" s="218"/>
      <c r="I14" s="218"/>
      <c r="J14" s="218"/>
      <c r="K14" s="218"/>
      <c r="L14" s="218"/>
      <c r="M14" s="218"/>
      <c r="N14" s="218"/>
      <c r="O14" s="218"/>
      <c r="P14" s="218"/>
      <c r="Q14" s="218"/>
      <c r="R14" s="218"/>
      <c r="S14" s="158"/>
    </row>
    <row r="15" spans="3:19" ht="12" hidden="1" customHeight="1" x14ac:dyDescent="0.2">
      <c r="C15" s="233" t="s">
        <v>486</v>
      </c>
      <c r="D15" s="234">
        <f>SUM('C-Syrup (Sucrosic)'!$L$58:$L$74)</f>
        <v>1263194.5</v>
      </c>
      <c r="E15" s="233"/>
      <c r="F15" s="233"/>
      <c r="G15" s="158"/>
      <c r="H15" s="158"/>
      <c r="I15" s="158"/>
      <c r="J15" s="158"/>
      <c r="K15" s="158"/>
      <c r="L15" s="158"/>
      <c r="M15" s="158"/>
      <c r="N15" s="158"/>
      <c r="O15" s="158"/>
      <c r="P15" s="158"/>
      <c r="Q15" s="158"/>
      <c r="R15" s="158"/>
      <c r="S15" s="158"/>
    </row>
    <row r="16" spans="3:19" ht="12" hidden="1" customHeight="1" x14ac:dyDescent="0.2">
      <c r="C16" s="236" t="s">
        <v>492</v>
      </c>
      <c r="D16" s="237">
        <f>SUM('C-Syrup (Sucrosic)'!$L$77:$L$79)</f>
        <v>3352244.2582628014</v>
      </c>
      <c r="E16" s="233"/>
      <c r="F16" s="233"/>
    </row>
    <row r="17" spans="3:6" ht="12" hidden="1" customHeight="1" thickBot="1" x14ac:dyDescent="0.25">
      <c r="C17" s="229" t="s">
        <v>488</v>
      </c>
      <c r="D17" s="230">
        <f>SUM(D15:D16)</f>
        <v>4615438.7582628019</v>
      </c>
      <c r="E17" s="235"/>
      <c r="F17" s="235"/>
    </row>
    <row r="18" spans="3:6" ht="12" hidden="1" customHeight="1" x14ac:dyDescent="0.2">
      <c r="C18" s="238" t="s">
        <v>499</v>
      </c>
      <c r="D18" s="239">
        <f>D15/D17</f>
        <v>0.27368893103360165</v>
      </c>
      <c r="E18" s="241">
        <v>1</v>
      </c>
      <c r="F18" s="235"/>
    </row>
    <row r="19" spans="3:6" ht="12" hidden="1" customHeight="1" x14ac:dyDescent="0.2">
      <c r="C19" s="159"/>
      <c r="D19" s="159"/>
      <c r="E19" s="159"/>
      <c r="F19" s="159"/>
    </row>
    <row r="20" spans="3:6" ht="12" hidden="1" customHeight="1" x14ac:dyDescent="0.2">
      <c r="C20" s="227" t="s">
        <v>129</v>
      </c>
      <c r="D20" s="228"/>
      <c r="E20" s="228"/>
      <c r="F20" s="228"/>
    </row>
    <row r="21" spans="3:6" ht="12" hidden="1" customHeight="1" x14ac:dyDescent="0.2">
      <c r="C21" s="233" t="s">
        <v>486</v>
      </c>
      <c r="D21" s="234">
        <f>D23-D22</f>
        <v>6369828.7999999998</v>
      </c>
      <c r="E21" s="233"/>
      <c r="F21" s="233"/>
    </row>
    <row r="22" spans="3:6" ht="12" hidden="1" customHeight="1" x14ac:dyDescent="0.2">
      <c r="C22" s="233" t="s">
        <v>492</v>
      </c>
      <c r="D22" s="234">
        <f>'C-Syrup (Sucrosic)'!$J$107*'C-Syrup (Sucrosic)'!$K$110</f>
        <v>40000</v>
      </c>
      <c r="E22" s="233"/>
      <c r="F22" s="233"/>
    </row>
    <row r="23" spans="3:6" ht="12" hidden="1" customHeight="1" thickBot="1" x14ac:dyDescent="0.25">
      <c r="C23" s="231" t="s">
        <v>488</v>
      </c>
      <c r="D23" s="232">
        <f>'C-Syrup (Sucrosic)'!L86+'C-Syrup (Sucrosic)'!L91+'C-Syrup (Sucrosic)'!L100+'C-Syrup (Sucrosic)'!L110</f>
        <v>6409828.7999999998</v>
      </c>
      <c r="E23" s="235"/>
      <c r="F23" s="235"/>
    </row>
    <row r="24" spans="3:6" ht="12" hidden="1" customHeight="1" x14ac:dyDescent="0.2">
      <c r="C24" s="238" t="s">
        <v>500</v>
      </c>
      <c r="D24" s="239">
        <f>D21/D23</f>
        <v>0.99375958371930306</v>
      </c>
      <c r="E24" s="241">
        <v>2</v>
      </c>
      <c r="F24" s="235" t="s">
        <v>489</v>
      </c>
    </row>
    <row r="25" spans="3:6" ht="12" hidden="1" customHeight="1" x14ac:dyDescent="0.2">
      <c r="C25" s="159"/>
      <c r="D25" s="159"/>
      <c r="E25" s="159"/>
      <c r="F25" s="159"/>
    </row>
    <row r="26" spans="3:6" ht="12" hidden="1" customHeight="1" x14ac:dyDescent="0.2">
      <c r="C26" s="227" t="s">
        <v>184</v>
      </c>
      <c r="D26" s="228"/>
      <c r="E26" s="228"/>
      <c r="F26" s="228"/>
    </row>
    <row r="27" spans="3:6" ht="12" hidden="1" customHeight="1" x14ac:dyDescent="0.2">
      <c r="C27" s="233" t="s">
        <v>490</v>
      </c>
      <c r="D27" s="234">
        <f>-'C-Syrup (Sucrosic)'!K189</f>
        <v>8364386.25</v>
      </c>
      <c r="E27" s="233"/>
      <c r="F27" s="233"/>
    </row>
    <row r="28" spans="3:6" ht="12" hidden="1" customHeight="1" x14ac:dyDescent="0.2">
      <c r="C28" s="233" t="s">
        <v>491</v>
      </c>
      <c r="D28" s="234">
        <f>-'C-Syrup (Sucrosic)'!K190</f>
        <v>4734450</v>
      </c>
      <c r="E28" s="233"/>
      <c r="F28" s="233"/>
    </row>
    <row r="29" spans="3:6" ht="12" hidden="1" customHeight="1" thickBot="1" x14ac:dyDescent="0.25">
      <c r="C29" s="231" t="s">
        <v>488</v>
      </c>
      <c r="D29" s="232">
        <f>SUM(D27:D28)</f>
        <v>13098836.25</v>
      </c>
      <c r="E29" s="235"/>
      <c r="F29" s="235"/>
    </row>
    <row r="30" spans="3:6" ht="12" hidden="1" customHeight="1" x14ac:dyDescent="0.2">
      <c r="C30" s="238" t="s">
        <v>501</v>
      </c>
      <c r="D30" s="239">
        <f>D27/D29</f>
        <v>0.63855949416880453</v>
      </c>
      <c r="E30" s="241">
        <v>3</v>
      </c>
      <c r="F30" s="235"/>
    </row>
    <row r="31" spans="3:6" ht="12" hidden="1" customHeight="1" x14ac:dyDescent="0.2">
      <c r="C31" s="159"/>
      <c r="D31" s="159"/>
      <c r="E31" s="159"/>
      <c r="F31" s="159"/>
    </row>
    <row r="32" spans="3:6" ht="12" hidden="1" customHeight="1" x14ac:dyDescent="0.2">
      <c r="C32" s="227" t="s">
        <v>507</v>
      </c>
      <c r="D32" s="228"/>
      <c r="E32" s="228"/>
      <c r="F32" s="228"/>
    </row>
    <row r="33" spans="3:6" ht="12" hidden="1" customHeight="1" x14ac:dyDescent="0.2">
      <c r="C33" s="233" t="s">
        <v>498</v>
      </c>
      <c r="D33" s="234">
        <f>'C-Syrup (Sucrosic)'!L132</f>
        <v>2865000</v>
      </c>
      <c r="E33" s="233"/>
      <c r="F33" s="233"/>
    </row>
    <row r="34" spans="3:6" ht="12" hidden="1" customHeight="1" x14ac:dyDescent="0.2">
      <c r="C34" s="233" t="s">
        <v>497</v>
      </c>
      <c r="D34" s="234">
        <f>'C-Syrup (Sucrosic)'!$L$130</f>
        <v>300000</v>
      </c>
      <c r="E34" s="233"/>
      <c r="F34" s="233" t="s">
        <v>202</v>
      </c>
    </row>
    <row r="35" spans="3:6" ht="12" hidden="1" customHeight="1" thickBot="1" x14ac:dyDescent="0.25">
      <c r="C35" s="231" t="s">
        <v>488</v>
      </c>
      <c r="D35" s="232">
        <f>SUM(D33:D34)</f>
        <v>3165000</v>
      </c>
      <c r="E35" s="235"/>
      <c r="F35" s="235" t="s">
        <v>202</v>
      </c>
    </row>
    <row r="36" spans="3:6" ht="12" hidden="1" customHeight="1" x14ac:dyDescent="0.2">
      <c r="C36" s="238" t="s">
        <v>502</v>
      </c>
      <c r="D36" s="239">
        <f>D33/D35</f>
        <v>0.90521327014218012</v>
      </c>
      <c r="E36" s="241">
        <v>4</v>
      </c>
      <c r="F36" s="235"/>
    </row>
    <row r="37" spans="3:6" ht="12" hidden="1" customHeight="1" x14ac:dyDescent="0.2"/>
    <row r="38" spans="3:6" ht="12" hidden="1" customHeight="1" x14ac:dyDescent="0.2">
      <c r="C38" s="227" t="s">
        <v>508</v>
      </c>
      <c r="D38" s="228"/>
      <c r="E38" s="228"/>
      <c r="F38" s="228"/>
    </row>
    <row r="39" spans="3:6" ht="12" hidden="1" customHeight="1" x14ac:dyDescent="0.2">
      <c r="C39" s="233" t="s">
        <v>522</v>
      </c>
      <c r="D39" s="234">
        <f>SUM('C-Syrup (Sucrosic)'!H206:H209,'C-Syrup (Sucrosic)'!H211:H213)</f>
        <v>79.5</v>
      </c>
      <c r="E39" s="233"/>
      <c r="F39" s="233"/>
    </row>
    <row r="40" spans="3:6" ht="12" hidden="1" customHeight="1" x14ac:dyDescent="0.2">
      <c r="C40" s="233" t="s">
        <v>523</v>
      </c>
      <c r="D40" s="234">
        <f>'C-Syrup (Sucrosic)'!H210</f>
        <v>17</v>
      </c>
      <c r="E40" s="233"/>
      <c r="F40" s="233" t="s">
        <v>202</v>
      </c>
    </row>
    <row r="41" spans="3:6" ht="12" hidden="1" customHeight="1" thickBot="1" x14ac:dyDescent="0.25">
      <c r="C41" s="231" t="s">
        <v>488</v>
      </c>
      <c r="D41" s="232">
        <f>SUM(D39:D40)</f>
        <v>96.5</v>
      </c>
      <c r="E41" s="235"/>
      <c r="F41" s="235"/>
    </row>
    <row r="42" spans="3:6" ht="12" hidden="1" customHeight="1" x14ac:dyDescent="0.2">
      <c r="C42" s="238" t="s">
        <v>524</v>
      </c>
      <c r="D42" s="239">
        <f>D39/D41</f>
        <v>0.82383419689119175</v>
      </c>
      <c r="E42" s="241">
        <v>5</v>
      </c>
      <c r="F42" s="235"/>
    </row>
    <row r="43" spans="3:6" ht="12" hidden="1" customHeight="1" x14ac:dyDescent="0.2"/>
    <row r="44" spans="3:6" ht="15" hidden="1" x14ac:dyDescent="0.25">
      <c r="C44" s="175" t="s">
        <v>463</v>
      </c>
      <c r="D44" s="226"/>
      <c r="E44" s="226"/>
      <c r="F44" s="226"/>
    </row>
    <row r="45" spans="3:6" hidden="1" x14ac:dyDescent="0.2">
      <c r="C45" s="671" t="s">
        <v>515</v>
      </c>
      <c r="D45" s="672"/>
      <c r="E45" s="672"/>
      <c r="F45" s="672"/>
    </row>
    <row r="46" spans="3:6" hidden="1" x14ac:dyDescent="0.2">
      <c r="C46" s="674" t="s">
        <v>517</v>
      </c>
      <c r="D46" s="678" t="e">
        <f>#REF!</f>
        <v>#REF!</v>
      </c>
      <c r="E46" s="680" t="e">
        <f>D46/D48</f>
        <v>#REF!</v>
      </c>
      <c r="F46" s="674" t="s">
        <v>411</v>
      </c>
    </row>
    <row r="47" spans="3:6" hidden="1" x14ac:dyDescent="0.2">
      <c r="C47" s="674" t="s">
        <v>518</v>
      </c>
      <c r="D47" s="678" t="e">
        <f>#REF!</f>
        <v>#REF!</v>
      </c>
      <c r="E47" s="680" t="e">
        <f>D47/D48</f>
        <v>#REF!</v>
      </c>
      <c r="F47" s="674"/>
    </row>
    <row r="48" spans="3:6" ht="13.5" hidden="1" thickBot="1" x14ac:dyDescent="0.25">
      <c r="C48" s="673" t="s">
        <v>488</v>
      </c>
      <c r="D48" s="679" t="e">
        <f>SUM(D46:D47)</f>
        <v>#REF!</v>
      </c>
      <c r="E48" s="675"/>
      <c r="F48" s="675"/>
    </row>
    <row r="49" spans="3:10" hidden="1" x14ac:dyDescent="0.2">
      <c r="C49" s="676" t="s">
        <v>519</v>
      </c>
      <c r="D49" s="677" t="e">
        <f>D46/D48</f>
        <v>#REF!</v>
      </c>
      <c r="E49" s="682"/>
      <c r="F49" s="675" t="s">
        <v>520</v>
      </c>
    </row>
    <row r="50" spans="3:10" ht="15" hidden="1" x14ac:dyDescent="0.25">
      <c r="C50" s="178"/>
      <c r="D50" s="168"/>
      <c r="E50" s="168"/>
      <c r="F50" s="168"/>
    </row>
    <row r="51" spans="3:10" hidden="1" x14ac:dyDescent="0.2">
      <c r="C51" s="227" t="s">
        <v>516</v>
      </c>
      <c r="D51" s="228"/>
      <c r="E51" s="228"/>
      <c r="F51" s="228"/>
    </row>
    <row r="52" spans="3:10" hidden="1" x14ac:dyDescent="0.2">
      <c r="C52" s="233" t="s">
        <v>538</v>
      </c>
      <c r="D52" s="237">
        <f>Assumptions!$J$30*Assumptions!$C$5*10^6</f>
        <v>90000000</v>
      </c>
      <c r="E52" s="243"/>
      <c r="F52" s="233" t="s">
        <v>543</v>
      </c>
    </row>
    <row r="53" spans="3:10" hidden="1" x14ac:dyDescent="0.2">
      <c r="C53" s="233" t="s">
        <v>539</v>
      </c>
      <c r="D53" s="237" t="e">
        <f>#REF!</f>
        <v>#REF!</v>
      </c>
      <c r="E53" s="243"/>
      <c r="F53" s="233"/>
    </row>
    <row r="54" spans="3:10" ht="13.5" hidden="1" thickBot="1" x14ac:dyDescent="0.25">
      <c r="C54" s="231" t="s">
        <v>488</v>
      </c>
      <c r="D54" s="242" t="e">
        <f>SUM(D52:D53)</f>
        <v>#REF!</v>
      </c>
      <c r="E54" s="235"/>
      <c r="F54" s="235"/>
    </row>
    <row r="55" spans="3:10" hidden="1" x14ac:dyDescent="0.2">
      <c r="C55" s="238" t="s">
        <v>541</v>
      </c>
      <c r="D55" s="239" t="e">
        <f>D52/D54</f>
        <v>#REF!</v>
      </c>
      <c r="E55" s="240">
        <v>12</v>
      </c>
      <c r="F55" s="235" t="s">
        <v>520</v>
      </c>
    </row>
    <row r="56" spans="3:10" ht="15" hidden="1" x14ac:dyDescent="0.25">
      <c r="C56" s="178"/>
      <c r="D56" s="168"/>
      <c r="E56" s="168"/>
      <c r="F56" s="168"/>
    </row>
    <row r="57" spans="3:10" ht="12" hidden="1" customHeight="1" x14ac:dyDescent="0.2">
      <c r="C57" s="227" t="s">
        <v>86</v>
      </c>
      <c r="D57" s="228"/>
      <c r="E57" s="228"/>
      <c r="F57" s="228"/>
      <c r="H57" s="244"/>
      <c r="I57" s="245"/>
      <c r="J57" s="245"/>
    </row>
    <row r="58" spans="3:10" ht="12" hidden="1" customHeight="1" x14ac:dyDescent="0.2">
      <c r="C58" s="233" t="s">
        <v>486</v>
      </c>
      <c r="D58" s="234" t="e">
        <f>#REF!-D59</f>
        <v>#REF!</v>
      </c>
      <c r="E58" s="233"/>
      <c r="F58" s="233" t="s">
        <v>411</v>
      </c>
      <c r="H58" s="158"/>
      <c r="I58" s="246"/>
      <c r="J58" s="247"/>
    </row>
    <row r="59" spans="3:10" ht="12" hidden="1" customHeight="1" x14ac:dyDescent="0.2">
      <c r="C59" s="233" t="s">
        <v>503</v>
      </c>
      <c r="D59" s="234" t="e">
        <f>SUM(#REF!)</f>
        <v>#REF!</v>
      </c>
      <c r="E59" s="233"/>
      <c r="F59" s="233"/>
      <c r="H59" s="158"/>
      <c r="I59" s="248"/>
      <c r="J59" s="247"/>
    </row>
    <row r="60" spans="3:10" ht="12" hidden="1" customHeight="1" thickBot="1" x14ac:dyDescent="0.25">
      <c r="C60" s="231" t="s">
        <v>488</v>
      </c>
      <c r="D60" s="232" t="e">
        <f>SUM(D58:D59)</f>
        <v>#REF!</v>
      </c>
      <c r="E60" s="235"/>
      <c r="F60" s="235"/>
      <c r="H60" s="158"/>
      <c r="I60" s="248"/>
      <c r="J60" s="158"/>
    </row>
    <row r="61" spans="3:10" ht="12" hidden="1" customHeight="1" x14ac:dyDescent="0.2">
      <c r="C61" s="238" t="s">
        <v>499</v>
      </c>
      <c r="D61" s="239" t="e">
        <f>D58/D60</f>
        <v>#REF!</v>
      </c>
      <c r="E61" s="240">
        <v>6</v>
      </c>
      <c r="F61" s="235"/>
      <c r="H61" s="158"/>
      <c r="I61" s="158"/>
      <c r="J61" s="158"/>
    </row>
    <row r="62" spans="3:10" ht="12" hidden="1" customHeight="1" x14ac:dyDescent="0.2">
      <c r="C62" s="159"/>
      <c r="D62" s="159"/>
      <c r="E62" s="159"/>
      <c r="F62" s="159"/>
      <c r="H62" s="158"/>
      <c r="I62" s="158"/>
      <c r="J62" s="158"/>
    </row>
    <row r="63" spans="3:10" ht="12" hidden="1" customHeight="1" x14ac:dyDescent="0.2">
      <c r="C63" s="227" t="s">
        <v>129</v>
      </c>
      <c r="D63" s="228"/>
      <c r="E63" s="228"/>
      <c r="F63" s="228"/>
    </row>
    <row r="64" spans="3:10" ht="12" hidden="1" customHeight="1" x14ac:dyDescent="0.2">
      <c r="C64" s="233" t="s">
        <v>486</v>
      </c>
      <c r="D64" s="234" t="e">
        <f>D66-D65</f>
        <v>#REF!</v>
      </c>
      <c r="E64" s="233"/>
      <c r="F64" s="233"/>
    </row>
    <row r="65" spans="3:6" ht="12" hidden="1" customHeight="1" x14ac:dyDescent="0.2">
      <c r="C65" s="233" t="s">
        <v>503</v>
      </c>
      <c r="D65" s="234" t="e">
        <f>SUM(#REF!,#REF!,#REF!)</f>
        <v>#REF!</v>
      </c>
      <c r="E65" s="233"/>
      <c r="F65" s="233"/>
    </row>
    <row r="66" spans="3:6" ht="12" hidden="1" customHeight="1" thickBot="1" x14ac:dyDescent="0.25">
      <c r="C66" s="231" t="s">
        <v>488</v>
      </c>
      <c r="D66" s="232" t="e">
        <f>SUM(#REF!,#REF!,#REF!)</f>
        <v>#REF!</v>
      </c>
      <c r="E66" s="235"/>
      <c r="F66" s="235"/>
    </row>
    <row r="67" spans="3:6" ht="12" hidden="1" customHeight="1" x14ac:dyDescent="0.2">
      <c r="C67" s="238" t="s">
        <v>500</v>
      </c>
      <c r="D67" s="239" t="e">
        <f>D64/D66</f>
        <v>#REF!</v>
      </c>
      <c r="E67" s="240">
        <v>7</v>
      </c>
      <c r="F67" s="235"/>
    </row>
    <row r="68" spans="3:6" ht="12" hidden="1" customHeight="1" x14ac:dyDescent="0.2"/>
    <row r="69" spans="3:6" ht="12" hidden="1" customHeight="1" x14ac:dyDescent="0.2">
      <c r="C69" s="227" t="s">
        <v>184</v>
      </c>
      <c r="D69" s="228"/>
      <c r="E69" s="228"/>
      <c r="F69" s="228"/>
    </row>
    <row r="70" spans="3:6" hidden="1" x14ac:dyDescent="0.2">
      <c r="C70" s="233" t="s">
        <v>504</v>
      </c>
      <c r="D70" s="234" t="e">
        <f>#REF!+M153</f>
        <v>#REF!</v>
      </c>
      <c r="E70" s="233"/>
      <c r="F70" s="233"/>
    </row>
    <row r="71" spans="3:6" hidden="1" x14ac:dyDescent="0.2">
      <c r="C71" s="233" t="s">
        <v>436</v>
      </c>
      <c r="D71" s="234" t="e">
        <f>#REF!-M153</f>
        <v>#REF!</v>
      </c>
      <c r="E71" s="233"/>
      <c r="F71" s="233"/>
    </row>
    <row r="72" spans="3:6" ht="13.5" hidden="1" thickBot="1" x14ac:dyDescent="0.25">
      <c r="C72" s="231" t="s">
        <v>488</v>
      </c>
      <c r="D72" s="232" t="e">
        <f>SUM(D70:D71)</f>
        <v>#REF!</v>
      </c>
      <c r="E72" s="235"/>
      <c r="F72" s="235"/>
    </row>
    <row r="73" spans="3:6" hidden="1" x14ac:dyDescent="0.2">
      <c r="C73" s="238" t="s">
        <v>501</v>
      </c>
      <c r="D73" s="239" t="e">
        <f>D70/D72</f>
        <v>#REF!</v>
      </c>
      <c r="E73" s="240">
        <v>8</v>
      </c>
      <c r="F73" s="235"/>
    </row>
    <row r="74" spans="3:6" hidden="1" x14ac:dyDescent="0.2"/>
    <row r="75" spans="3:6" hidden="1" x14ac:dyDescent="0.2">
      <c r="C75" s="227" t="s">
        <v>507</v>
      </c>
      <c r="D75" s="228"/>
      <c r="E75" s="228"/>
      <c r="F75" s="228"/>
    </row>
    <row r="76" spans="3:6" hidden="1" x14ac:dyDescent="0.2">
      <c r="C76" s="233" t="s">
        <v>498</v>
      </c>
      <c r="D76" s="234" t="e">
        <f>#REF!-Allocators!D77</f>
        <v>#REF!</v>
      </c>
      <c r="E76" s="233"/>
      <c r="F76" s="233"/>
    </row>
    <row r="77" spans="3:6" hidden="1" x14ac:dyDescent="0.2">
      <c r="C77" s="233" t="s">
        <v>505</v>
      </c>
      <c r="D77" s="234" t="e">
        <f>#REF!*1+#REF!*2+1*#REF!*#REF!</f>
        <v>#REF!</v>
      </c>
      <c r="E77" s="233"/>
      <c r="F77" s="233" t="s">
        <v>506</v>
      </c>
    </row>
    <row r="78" spans="3:6" ht="13.5" hidden="1" thickBot="1" x14ac:dyDescent="0.25">
      <c r="C78" s="231" t="s">
        <v>488</v>
      </c>
      <c r="D78" s="232" t="e">
        <f>SUM(D76:D77)</f>
        <v>#REF!</v>
      </c>
      <c r="E78" s="235"/>
      <c r="F78" s="235"/>
    </row>
    <row r="79" spans="3:6" hidden="1" x14ac:dyDescent="0.2">
      <c r="C79" s="238" t="s">
        <v>502</v>
      </c>
      <c r="D79" s="239" t="e">
        <f>D76/D78</f>
        <v>#REF!</v>
      </c>
      <c r="E79" s="240">
        <v>9</v>
      </c>
      <c r="F79" s="235"/>
    </row>
    <row r="80" spans="3:6" hidden="1" x14ac:dyDescent="0.2"/>
    <row r="81" spans="3:6" hidden="1" x14ac:dyDescent="0.2">
      <c r="C81" s="227" t="s">
        <v>729</v>
      </c>
      <c r="D81" s="228"/>
      <c r="E81" s="228"/>
      <c r="F81" s="228"/>
    </row>
    <row r="82" spans="3:6" hidden="1" x14ac:dyDescent="0.2">
      <c r="C82" s="233" t="s">
        <v>509</v>
      </c>
      <c r="D82" s="234" t="e">
        <f>SUM(#REF!)</f>
        <v>#REF!</v>
      </c>
      <c r="E82" s="233"/>
      <c r="F82" s="233"/>
    </row>
    <row r="83" spans="3:6" hidden="1" x14ac:dyDescent="0.2">
      <c r="C83" s="233" t="s">
        <v>510</v>
      </c>
      <c r="D83" s="234" t="e">
        <f>SUM(#REF!)</f>
        <v>#REF!</v>
      </c>
      <c r="E83" s="233"/>
      <c r="F83" s="233"/>
    </row>
    <row r="84" spans="3:6" hidden="1" x14ac:dyDescent="0.2">
      <c r="C84" s="233" t="s">
        <v>513</v>
      </c>
      <c r="D84" s="234" t="e">
        <f>#REF!*E46</f>
        <v>#REF!</v>
      </c>
      <c r="E84" s="233"/>
      <c r="F84" s="233" t="s">
        <v>521</v>
      </c>
    </row>
    <row r="85" spans="3:6" hidden="1" x14ac:dyDescent="0.2">
      <c r="C85" s="233" t="s">
        <v>514</v>
      </c>
      <c r="D85" s="234" t="e">
        <f>#REF!*E47</f>
        <v>#REF!</v>
      </c>
      <c r="E85" s="233"/>
      <c r="F85" s="233" t="s">
        <v>521</v>
      </c>
    </row>
    <row r="86" spans="3:6" ht="13.5" hidden="1" thickBot="1" x14ac:dyDescent="0.25">
      <c r="C86" s="231" t="s">
        <v>488</v>
      </c>
      <c r="D86" s="232" t="e">
        <f>SUM(D82:D85)</f>
        <v>#REF!</v>
      </c>
      <c r="E86" s="235"/>
      <c r="F86" s="235"/>
    </row>
    <row r="87" spans="3:6" hidden="1" x14ac:dyDescent="0.2">
      <c r="C87" s="238" t="s">
        <v>524</v>
      </c>
      <c r="D87" s="239" t="e">
        <f>(D82+D84)/D86</f>
        <v>#REF!</v>
      </c>
      <c r="E87" s="240">
        <v>10</v>
      </c>
      <c r="F87" s="235"/>
    </row>
    <row r="89" spans="3:6" ht="15" hidden="1" x14ac:dyDescent="0.25">
      <c r="C89" s="176" t="s">
        <v>649</v>
      </c>
      <c r="D89" s="512"/>
      <c r="E89" s="512"/>
      <c r="F89" s="512"/>
    </row>
    <row r="90" spans="3:6" hidden="1" x14ac:dyDescent="0.2">
      <c r="C90" s="227" t="s">
        <v>516</v>
      </c>
      <c r="D90" s="228"/>
      <c r="E90" s="228"/>
      <c r="F90" s="228"/>
    </row>
    <row r="91" spans="3:6" hidden="1" x14ac:dyDescent="0.2">
      <c r="C91" s="233" t="s">
        <v>538</v>
      </c>
      <c r="D91" s="237">
        <f>Assumptions!$J$30*Assumptions!$C$5*10^6</f>
        <v>90000000</v>
      </c>
      <c r="E91" s="233"/>
      <c r="F91" s="233" t="s">
        <v>543</v>
      </c>
    </row>
    <row r="92" spans="3:6" hidden="1" x14ac:dyDescent="0.2">
      <c r="C92" s="236" t="s">
        <v>542</v>
      </c>
      <c r="D92" s="237">
        <f>'B-Syrup (Sucrosic)'!$L$44</f>
        <v>17666365.48501306</v>
      </c>
      <c r="E92" s="233"/>
      <c r="F92" s="233"/>
    </row>
    <row r="93" spans="3:6" ht="13.5" hidden="1" thickBot="1" x14ac:dyDescent="0.25">
      <c r="C93" s="229" t="s">
        <v>488</v>
      </c>
      <c r="D93" s="230">
        <f>SUM(D91:D92)</f>
        <v>107666365.48501307</v>
      </c>
      <c r="E93" s="235"/>
      <c r="F93" s="235"/>
    </row>
    <row r="94" spans="3:6" hidden="1" x14ac:dyDescent="0.2">
      <c r="C94" s="238" t="s">
        <v>541</v>
      </c>
      <c r="D94" s="239">
        <f>D91/D93</f>
        <v>0.83591565104450205</v>
      </c>
      <c r="E94" s="513">
        <v>14</v>
      </c>
      <c r="F94" s="235"/>
    </row>
    <row r="95" spans="3:6" ht="15" hidden="1" x14ac:dyDescent="0.25">
      <c r="C95" s="178"/>
      <c r="D95" s="168"/>
      <c r="E95" s="168"/>
      <c r="F95" s="168"/>
    </row>
    <row r="96" spans="3:6" hidden="1" x14ac:dyDescent="0.2">
      <c r="C96" s="227" t="s">
        <v>86</v>
      </c>
      <c r="D96" s="228"/>
      <c r="E96" s="228"/>
      <c r="F96" s="228"/>
    </row>
    <row r="97" spans="3:6" hidden="1" x14ac:dyDescent="0.2">
      <c r="C97" s="233" t="s">
        <v>486</v>
      </c>
      <c r="D97" s="234">
        <f>SUM('B-Syrup (Sucrosic)'!$L$58:$L$74)</f>
        <v>1263194.5</v>
      </c>
      <c r="E97" s="233"/>
      <c r="F97" s="233"/>
    </row>
    <row r="98" spans="3:6" hidden="1" x14ac:dyDescent="0.2">
      <c r="C98" s="236" t="s">
        <v>492</v>
      </c>
      <c r="D98" s="237">
        <f>SUM('B-Syrup (Sucrosic)'!$L$77:$L$79)</f>
        <v>2492694.4484518273</v>
      </c>
      <c r="E98" s="233"/>
      <c r="F98" s="233"/>
    </row>
    <row r="99" spans="3:6" ht="13.5" hidden="1" thickBot="1" x14ac:dyDescent="0.25">
      <c r="C99" s="229" t="s">
        <v>488</v>
      </c>
      <c r="D99" s="230">
        <f>SUM(D97:D98)</f>
        <v>3755888.9484518273</v>
      </c>
      <c r="E99" s="235"/>
      <c r="F99" s="235"/>
    </row>
    <row r="100" spans="3:6" hidden="1" x14ac:dyDescent="0.2">
      <c r="C100" s="238" t="s">
        <v>499</v>
      </c>
      <c r="D100" s="239">
        <f>D97/D99</f>
        <v>0.33632370853794469</v>
      </c>
      <c r="E100" s="513">
        <v>15</v>
      </c>
      <c r="F100" s="235"/>
    </row>
    <row r="101" spans="3:6" hidden="1" x14ac:dyDescent="0.2">
      <c r="C101" s="159"/>
      <c r="D101" s="159"/>
      <c r="E101" s="159"/>
      <c r="F101" s="159"/>
    </row>
    <row r="102" spans="3:6" hidden="1" x14ac:dyDescent="0.2">
      <c r="C102" s="227" t="s">
        <v>129</v>
      </c>
      <c r="D102" s="228"/>
      <c r="E102" s="228"/>
      <c r="F102" s="228"/>
    </row>
    <row r="103" spans="3:6" hidden="1" x14ac:dyDescent="0.2">
      <c r="C103" s="233" t="s">
        <v>486</v>
      </c>
      <c r="D103" s="234">
        <f>D105-D104</f>
        <v>6369828.7999999998</v>
      </c>
      <c r="E103" s="233"/>
      <c r="F103" s="233"/>
    </row>
    <row r="104" spans="3:6" hidden="1" x14ac:dyDescent="0.2">
      <c r="C104" s="233" t="s">
        <v>492</v>
      </c>
      <c r="D104" s="234">
        <f>'B-Syrup (Sucrosic)'!$J$107*'B-Syrup (Sucrosic)'!$K$110</f>
        <v>40000</v>
      </c>
      <c r="E104" s="233"/>
      <c r="F104" s="233"/>
    </row>
    <row r="105" spans="3:6" ht="13.5" hidden="1" thickBot="1" x14ac:dyDescent="0.25">
      <c r="C105" s="231" t="s">
        <v>488</v>
      </c>
      <c r="D105" s="232">
        <f>'B-Syrup (Sucrosic)'!L86+'B-Syrup (Sucrosic)'!L91+'B-Syrup (Sucrosic)'!L100+'B-Syrup (Sucrosic)'!L110</f>
        <v>6409828.7999999998</v>
      </c>
      <c r="E105" s="235"/>
      <c r="F105" s="235"/>
    </row>
    <row r="106" spans="3:6" hidden="1" x14ac:dyDescent="0.2">
      <c r="C106" s="238" t="s">
        <v>500</v>
      </c>
      <c r="D106" s="239">
        <f>D103/D105</f>
        <v>0.99375958371930306</v>
      </c>
      <c r="E106" s="513">
        <v>16</v>
      </c>
      <c r="F106" s="235" t="s">
        <v>489</v>
      </c>
    </row>
    <row r="107" spans="3:6" hidden="1" x14ac:dyDescent="0.2">
      <c r="C107" s="159"/>
      <c r="D107" s="159"/>
      <c r="E107" s="159"/>
      <c r="F107" s="159"/>
    </row>
    <row r="108" spans="3:6" hidden="1" x14ac:dyDescent="0.2">
      <c r="C108" s="227" t="s">
        <v>184</v>
      </c>
      <c r="D108" s="228"/>
      <c r="E108" s="228"/>
      <c r="F108" s="228"/>
    </row>
    <row r="109" spans="3:6" hidden="1" x14ac:dyDescent="0.2">
      <c r="C109" s="233" t="s">
        <v>490</v>
      </c>
      <c r="D109" s="234">
        <f>-'B-Syrup (Sucrosic)'!K189</f>
        <v>8364386.25</v>
      </c>
      <c r="E109" s="233"/>
      <c r="F109" s="233"/>
    </row>
    <row r="110" spans="3:6" hidden="1" x14ac:dyDescent="0.2">
      <c r="C110" s="233" t="s">
        <v>491</v>
      </c>
      <c r="D110" s="234">
        <f>-'B-Syrup (Sucrosic)'!K190</f>
        <v>4734450</v>
      </c>
      <c r="E110" s="233"/>
      <c r="F110" s="233"/>
    </row>
    <row r="111" spans="3:6" ht="13.5" hidden="1" thickBot="1" x14ac:dyDescent="0.25">
      <c r="C111" s="231" t="s">
        <v>488</v>
      </c>
      <c r="D111" s="232">
        <f>SUM(D109:D110)</f>
        <v>13098836.25</v>
      </c>
      <c r="E111" s="235"/>
      <c r="F111" s="235"/>
    </row>
    <row r="112" spans="3:6" hidden="1" x14ac:dyDescent="0.2">
      <c r="C112" s="238" t="s">
        <v>501</v>
      </c>
      <c r="D112" s="239">
        <f>D109/D111</f>
        <v>0.63855949416880453</v>
      </c>
      <c r="E112" s="513">
        <v>17</v>
      </c>
      <c r="F112" s="235"/>
    </row>
    <row r="113" spans="3:6" hidden="1" x14ac:dyDescent="0.2">
      <c r="C113" s="159"/>
      <c r="D113" s="159"/>
      <c r="E113" s="159"/>
      <c r="F113" s="159"/>
    </row>
    <row r="114" spans="3:6" hidden="1" x14ac:dyDescent="0.2">
      <c r="C114" s="227" t="s">
        <v>507</v>
      </c>
      <c r="D114" s="228"/>
      <c r="E114" s="228"/>
      <c r="F114" s="228"/>
    </row>
    <row r="115" spans="3:6" hidden="1" x14ac:dyDescent="0.2">
      <c r="C115" s="233" t="s">
        <v>498</v>
      </c>
      <c r="D115" s="234">
        <f>'B-Syrup (Sucrosic)'!L132</f>
        <v>2865000</v>
      </c>
      <c r="E115" s="233"/>
      <c r="F115" s="233"/>
    </row>
    <row r="116" spans="3:6" hidden="1" x14ac:dyDescent="0.2">
      <c r="C116" s="233" t="s">
        <v>497</v>
      </c>
      <c r="D116" s="234">
        <f>'B-Syrup (Sucrosic)'!$L$130</f>
        <v>300000</v>
      </c>
      <c r="E116" s="233"/>
      <c r="F116" s="233" t="s">
        <v>202</v>
      </c>
    </row>
    <row r="117" spans="3:6" ht="13.5" hidden="1" thickBot="1" x14ac:dyDescent="0.25">
      <c r="C117" s="231" t="s">
        <v>488</v>
      </c>
      <c r="D117" s="232">
        <f>SUM(D115:D116)</f>
        <v>3165000</v>
      </c>
      <c r="E117" s="235"/>
      <c r="F117" s="235" t="s">
        <v>202</v>
      </c>
    </row>
    <row r="118" spans="3:6" hidden="1" x14ac:dyDescent="0.2">
      <c r="C118" s="238" t="s">
        <v>502</v>
      </c>
      <c r="D118" s="239">
        <f>D115/D117</f>
        <v>0.90521327014218012</v>
      </c>
      <c r="E118" s="513">
        <v>18</v>
      </c>
      <c r="F118" s="235"/>
    </row>
    <row r="119" spans="3:6" hidden="1" x14ac:dyDescent="0.2"/>
    <row r="120" spans="3:6" hidden="1" x14ac:dyDescent="0.2">
      <c r="C120" s="227" t="s">
        <v>508</v>
      </c>
      <c r="D120" s="228"/>
      <c r="E120" s="228"/>
      <c r="F120" s="228"/>
    </row>
    <row r="121" spans="3:6" hidden="1" x14ac:dyDescent="0.2">
      <c r="C121" s="233" t="s">
        <v>522</v>
      </c>
      <c r="D121" s="234">
        <f>SUM('B-Syrup (Sucrosic)'!H206:H209,'B-Syrup (Sucrosic)'!H211:H213)</f>
        <v>79.5</v>
      </c>
      <c r="E121" s="233"/>
      <c r="F121" s="233"/>
    </row>
    <row r="122" spans="3:6" hidden="1" x14ac:dyDescent="0.2">
      <c r="C122" s="233" t="s">
        <v>523</v>
      </c>
      <c r="D122" s="234">
        <f>'B-Syrup (Sucrosic)'!H210</f>
        <v>17</v>
      </c>
      <c r="E122" s="233"/>
      <c r="F122" s="233" t="s">
        <v>202</v>
      </c>
    </row>
    <row r="123" spans="3:6" ht="13.5" hidden="1" thickBot="1" x14ac:dyDescent="0.25">
      <c r="C123" s="231" t="s">
        <v>488</v>
      </c>
      <c r="D123" s="232">
        <f>SUM(D121:D122)</f>
        <v>96.5</v>
      </c>
      <c r="E123" s="235"/>
      <c r="F123" s="235"/>
    </row>
    <row r="124" spans="3:6" hidden="1" x14ac:dyDescent="0.2">
      <c r="C124" s="238" t="s">
        <v>524</v>
      </c>
      <c r="D124" s="239">
        <f>D121/D123</f>
        <v>0.82383419689119175</v>
      </c>
      <c r="E124" s="513">
        <v>19</v>
      </c>
      <c r="F124" s="235"/>
    </row>
  </sheetData>
  <sheetProtection password="C82C" sheet="1" objects="1" scenarios="1" selectLockedCells="1" selectUnlockedCells="1"/>
  <mergeCells count="1">
    <mergeCell ref="C4:F4"/>
  </mergeCells>
  <pageMargins left="0.7" right="0.7" top="0.75" bottom="0.75" header="0.3" footer="0.3"/>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B239"/>
  <sheetViews>
    <sheetView showGridLines="0" topLeftCell="D1" workbookViewId="0">
      <pane ySplit="8" topLeftCell="A9" activePane="bottomLeft" state="frozen"/>
      <selection activeCell="N9" sqref="K5:N9"/>
      <selection pane="bottomLeft" activeCell="S1" sqref="S1"/>
    </sheetView>
  </sheetViews>
  <sheetFormatPr defaultRowHeight="12.75" x14ac:dyDescent="0.2"/>
  <cols>
    <col min="1" max="1" width="3.140625" customWidth="1"/>
    <col min="2" max="2" width="37" customWidth="1"/>
    <col min="3" max="3" width="20" customWidth="1"/>
    <col min="4" max="4" width="3" customWidth="1"/>
    <col min="5" max="5" width="1.28515625" customWidth="1"/>
    <col min="6" max="6" width="8" hidden="1" customWidth="1"/>
    <col min="7" max="7" width="30.28515625" hidden="1" customWidth="1"/>
    <col min="8" max="8" width="9.140625" hidden="1" customWidth="1"/>
    <col min="9" max="9" width="56.5703125" bestFit="1" customWidth="1"/>
    <col min="10" max="10" width="10.140625" hidden="1" customWidth="1"/>
    <col min="11" max="11" width="9.140625" hidden="1" customWidth="1"/>
    <col min="26" max="26" width="9.140625" customWidth="1"/>
    <col min="27" max="27" width="10.7109375" customWidth="1"/>
  </cols>
  <sheetData>
    <row r="1" spans="2:27" ht="15.75" x14ac:dyDescent="0.25">
      <c r="E1" s="180" t="s">
        <v>466</v>
      </c>
      <c r="F1" s="180"/>
      <c r="G1" s="180"/>
      <c r="H1" s="180"/>
      <c r="N1" s="1616" t="s">
        <v>24</v>
      </c>
      <c r="O1" s="1616"/>
      <c r="P1" s="1616"/>
      <c r="Q1" s="1616"/>
      <c r="R1" s="1616"/>
    </row>
    <row r="2" spans="2:27" ht="20.25" x14ac:dyDescent="0.3">
      <c r="N2" s="219"/>
      <c r="O2" s="668">
        <f>Assumptions!$C$5</f>
        <v>100</v>
      </c>
      <c r="P2" s="669" t="s">
        <v>339</v>
      </c>
      <c r="Q2" s="219"/>
      <c r="R2" s="164"/>
    </row>
    <row r="3" spans="2:27" s="158" customFormat="1" ht="12" customHeight="1" x14ac:dyDescent="0.3">
      <c r="N3" s="219"/>
      <c r="O3" s="220"/>
      <c r="P3" s="221"/>
      <c r="Q3" s="219"/>
      <c r="R3" s="164"/>
    </row>
    <row r="4" spans="2:27" x14ac:dyDescent="0.2">
      <c r="L4" s="562"/>
      <c r="M4" s="161"/>
    </row>
    <row r="5" spans="2:27" x14ac:dyDescent="0.2">
      <c r="E5" s="156"/>
      <c r="F5" s="156"/>
      <c r="G5" s="156"/>
      <c r="H5" s="156"/>
      <c r="I5" s="166" t="s">
        <v>469</v>
      </c>
      <c r="J5" s="156"/>
      <c r="K5" s="156"/>
      <c r="L5" s="195">
        <v>0.75</v>
      </c>
      <c r="M5" s="195">
        <v>1</v>
      </c>
      <c r="N5" s="195">
        <f>M5</f>
        <v>1</v>
      </c>
      <c r="O5" s="195">
        <f t="shared" ref="O5:Z5" si="0">N5</f>
        <v>1</v>
      </c>
      <c r="P5" s="195">
        <f t="shared" si="0"/>
        <v>1</v>
      </c>
      <c r="Q5" s="195">
        <f t="shared" si="0"/>
        <v>1</v>
      </c>
      <c r="R5" s="195">
        <f t="shared" si="0"/>
        <v>1</v>
      </c>
      <c r="S5" s="195">
        <f t="shared" si="0"/>
        <v>1</v>
      </c>
      <c r="T5" s="195">
        <f t="shared" si="0"/>
        <v>1</v>
      </c>
      <c r="U5" s="195">
        <f t="shared" si="0"/>
        <v>1</v>
      </c>
      <c r="V5" s="195">
        <f t="shared" si="0"/>
        <v>1</v>
      </c>
      <c r="W5" s="195">
        <f t="shared" si="0"/>
        <v>1</v>
      </c>
      <c r="X5" s="195">
        <f t="shared" si="0"/>
        <v>1</v>
      </c>
      <c r="Y5" s="195">
        <f t="shared" si="0"/>
        <v>1</v>
      </c>
      <c r="Z5" s="195">
        <f t="shared" si="0"/>
        <v>1</v>
      </c>
    </row>
    <row r="6" spans="2:27" x14ac:dyDescent="0.2">
      <c r="L6" s="161"/>
      <c r="M6" s="161"/>
    </row>
    <row r="7" spans="2:27" ht="15" customHeight="1" x14ac:dyDescent="0.2">
      <c r="D7" s="177"/>
      <c r="E7" s="166"/>
      <c r="F7" s="166" t="s">
        <v>485</v>
      </c>
      <c r="G7" s="166" t="s">
        <v>485</v>
      </c>
      <c r="H7" s="166" t="s">
        <v>485</v>
      </c>
      <c r="I7" s="166" t="s">
        <v>346</v>
      </c>
      <c r="J7" s="166">
        <f>Assumptions!$J$40</f>
        <v>2017</v>
      </c>
      <c r="K7" s="166">
        <f>J7+1</f>
        <v>2018</v>
      </c>
      <c r="L7" s="166">
        <f t="shared" ref="L7:Z7" si="1">K7+1</f>
        <v>2019</v>
      </c>
      <c r="M7" s="166">
        <f t="shared" si="1"/>
        <v>2020</v>
      </c>
      <c r="N7" s="166">
        <f t="shared" si="1"/>
        <v>2021</v>
      </c>
      <c r="O7" s="166">
        <f t="shared" si="1"/>
        <v>2022</v>
      </c>
      <c r="P7" s="166">
        <f t="shared" si="1"/>
        <v>2023</v>
      </c>
      <c r="Q7" s="166">
        <f t="shared" si="1"/>
        <v>2024</v>
      </c>
      <c r="R7" s="166">
        <f t="shared" si="1"/>
        <v>2025</v>
      </c>
      <c r="S7" s="166">
        <f t="shared" si="1"/>
        <v>2026</v>
      </c>
      <c r="T7" s="166">
        <f t="shared" si="1"/>
        <v>2027</v>
      </c>
      <c r="U7" s="166">
        <f t="shared" si="1"/>
        <v>2028</v>
      </c>
      <c r="V7" s="166">
        <f t="shared" si="1"/>
        <v>2029</v>
      </c>
      <c r="W7" s="166">
        <f t="shared" si="1"/>
        <v>2030</v>
      </c>
      <c r="X7" s="166">
        <f t="shared" si="1"/>
        <v>2031</v>
      </c>
      <c r="Y7" s="166">
        <f t="shared" si="1"/>
        <v>2032</v>
      </c>
      <c r="Z7" s="166">
        <f t="shared" si="1"/>
        <v>2033</v>
      </c>
      <c r="AA7" s="1617" t="s">
        <v>472</v>
      </c>
    </row>
    <row r="8" spans="2:27" ht="15" customHeight="1" x14ac:dyDescent="0.2">
      <c r="D8" s="177"/>
      <c r="E8" s="166"/>
      <c r="F8" s="166" t="s">
        <v>325</v>
      </c>
      <c r="G8" s="166" t="s">
        <v>302</v>
      </c>
      <c r="H8" s="166" t="s">
        <v>248</v>
      </c>
      <c r="I8" s="166" t="s">
        <v>465</v>
      </c>
      <c r="J8" s="166">
        <v>-2</v>
      </c>
      <c r="K8" s="166">
        <v>-1</v>
      </c>
      <c r="L8" s="166">
        <v>1</v>
      </c>
      <c r="M8" s="166">
        <v>2</v>
      </c>
      <c r="N8" s="166">
        <v>3</v>
      </c>
      <c r="O8" s="166">
        <v>4</v>
      </c>
      <c r="P8" s="166">
        <v>5</v>
      </c>
      <c r="Q8" s="166">
        <v>6</v>
      </c>
      <c r="R8" s="166">
        <v>7</v>
      </c>
      <c r="S8" s="166">
        <v>8</v>
      </c>
      <c r="T8" s="166">
        <v>9</v>
      </c>
      <c r="U8" s="166">
        <v>10</v>
      </c>
      <c r="V8" s="166">
        <v>11</v>
      </c>
      <c r="W8" s="166">
        <v>12</v>
      </c>
      <c r="X8" s="166">
        <v>13</v>
      </c>
      <c r="Y8" s="166">
        <v>14</v>
      </c>
      <c r="Z8" s="166">
        <v>15</v>
      </c>
      <c r="AA8" s="1618"/>
    </row>
    <row r="9" spans="2:27" ht="11.25" customHeight="1" x14ac:dyDescent="0.2">
      <c r="AA9" s="214"/>
    </row>
    <row r="10" spans="2:27" ht="19.5" customHeight="1" x14ac:dyDescent="0.2">
      <c r="C10" s="564" t="str">
        <f>E$10</f>
        <v>C-Syrup (Sucrosic)</v>
      </c>
      <c r="E10" s="550" t="s">
        <v>698</v>
      </c>
      <c r="F10" s="225"/>
      <c r="G10" s="225"/>
      <c r="H10" s="225"/>
      <c r="I10" s="551"/>
      <c r="J10" s="551"/>
      <c r="K10" s="551"/>
      <c r="L10" s="551"/>
      <c r="M10" s="551"/>
      <c r="N10" s="551"/>
      <c r="O10" s="551"/>
      <c r="P10" s="551"/>
      <c r="Q10" s="551"/>
      <c r="R10" s="551"/>
      <c r="S10" s="551"/>
      <c r="T10" s="551"/>
      <c r="U10" s="551"/>
      <c r="V10" s="551"/>
      <c r="W10" s="551"/>
      <c r="X10" s="551"/>
      <c r="Y10" s="551"/>
      <c r="Z10" s="551"/>
      <c r="AA10" s="551"/>
    </row>
    <row r="11" spans="2:27" ht="15" customHeight="1" x14ac:dyDescent="0.2">
      <c r="B11" s="564">
        <f>IF(D11&gt;0,0,C11&amp;"."&amp;I11)</f>
        <v>0</v>
      </c>
      <c r="C11" s="564" t="str">
        <f>IF(ISBLANK(E11),C10,E11)</f>
        <v>C-Syrup (Sucrosic)</v>
      </c>
      <c r="D11" s="157">
        <v>1</v>
      </c>
      <c r="F11" s="250"/>
      <c r="G11" s="251">
        <f>IFERROR(INDEX(Allocators!$C:$C,MATCH($F11,Allocators!$E:$E,0)),0)</f>
        <v>0</v>
      </c>
      <c r="H11" s="257">
        <f>IFERROR(INDEX(Allocators!$D:$D,MATCH($F11,Allocators!$E:$E,0)),1)</f>
        <v>1</v>
      </c>
      <c r="I11" s="181" t="s">
        <v>285</v>
      </c>
      <c r="J11" s="191"/>
      <c r="K11" s="192"/>
      <c r="L11" s="192">
        <f>-SUMIF('C-Syrup (Sucrosic)'!$C:$C,'Costs per L'!$D11,'C-Syrup (Sucrosic)'!K:K)
/($O$2*10^6)/L$5*$H11</f>
        <v>0.45639812910317251</v>
      </c>
      <c r="M11" s="192">
        <f>-SUMIF('C-Syrup (Sucrosic)'!$C:$C,'Costs per L'!$D11,'C-Syrup (Sucrosic)'!L:L)
/($O$2*10^6)/M$5*$H11</f>
        <v>0.45639812910317251</v>
      </c>
      <c r="N11" s="192">
        <f>-SUMIF('C-Syrup (Sucrosic)'!$C:$C,'Costs per L'!$D11,'C-Syrup (Sucrosic)'!M:M)
/($O$2*10^6)/N$5*$H11</f>
        <v>0.45639812910317251</v>
      </c>
      <c r="O11" s="192">
        <f>-SUMIF('C-Syrup (Sucrosic)'!$C:$C,'Costs per L'!$D11,'C-Syrup (Sucrosic)'!N:N)
/($O$2*10^6)/O$5*$H11</f>
        <v>0.45639812910317251</v>
      </c>
      <c r="P11" s="192">
        <f>-SUMIF('C-Syrup (Sucrosic)'!$C:$C,'Costs per L'!$D11,'C-Syrup (Sucrosic)'!O:O)
/($O$2*10^6)/P$5*$H11</f>
        <v>0.45639812910317251</v>
      </c>
      <c r="Q11" s="192">
        <f>-SUMIF('C-Syrup (Sucrosic)'!$C:$C,'Costs per L'!$D11,'C-Syrup (Sucrosic)'!P:P)
/($O$2*10^6)/Q$5*$H11</f>
        <v>0.45639812910317251</v>
      </c>
      <c r="R11" s="192">
        <f>-SUMIF('C-Syrup (Sucrosic)'!$C:$C,'Costs per L'!$D11,'C-Syrup (Sucrosic)'!Q:Q)
/($O$2*10^6)/R$5*$H11</f>
        <v>0.45639812910317251</v>
      </c>
      <c r="S11" s="192">
        <f>-SUMIF('C-Syrup (Sucrosic)'!$C:$C,'Costs per L'!$D11,'C-Syrup (Sucrosic)'!R:R)
/($O$2*10^6)/S$5*$H11</f>
        <v>0.45639812910317251</v>
      </c>
      <c r="T11" s="192">
        <f>-SUMIF('C-Syrup (Sucrosic)'!$C:$C,'Costs per L'!$D11,'C-Syrup (Sucrosic)'!S:S)
/($O$2*10^6)/T$5*$H11</f>
        <v>0.45639812910317251</v>
      </c>
      <c r="U11" s="192">
        <f>-SUMIF('C-Syrup (Sucrosic)'!$C:$C,'Costs per L'!$D11,'C-Syrup (Sucrosic)'!T:T)
/($O$2*10^6)/U$5*$H11</f>
        <v>0.45639812910317251</v>
      </c>
      <c r="V11" s="192">
        <f>-SUMIF('C-Syrup (Sucrosic)'!$C:$C,'Costs per L'!$D11,'C-Syrup (Sucrosic)'!U:U)
/($O$2*10^6)/V$5*$H11</f>
        <v>0.45639812910317251</v>
      </c>
      <c r="W11" s="192">
        <f>-SUMIF('C-Syrup (Sucrosic)'!$C:$C,'Costs per L'!$D11,'C-Syrup (Sucrosic)'!V:V)
/($O$2*10^6)/W$5*$H11</f>
        <v>0.45639812910317251</v>
      </c>
      <c r="X11" s="192">
        <f>-SUMIF('C-Syrup (Sucrosic)'!$C:$C,'Costs per L'!$D11,'C-Syrup (Sucrosic)'!W:W)
/($O$2*10^6)/X$5*$H11</f>
        <v>0.45639812910317251</v>
      </c>
      <c r="Y11" s="192">
        <f>-SUMIF('C-Syrup (Sucrosic)'!$C:$C,'Costs per L'!$D11,'C-Syrup (Sucrosic)'!X:X)
/($O$2*10^6)/Y$5*$H11</f>
        <v>0.45639812910317251</v>
      </c>
      <c r="Z11" s="192">
        <f>-SUMIF('C-Syrup (Sucrosic)'!$C:$C,'Costs per L'!$D11,'C-Syrup (Sucrosic)'!Y:Y)
/($O$2*10^6)/Z$5*$H11</f>
        <v>0.45639812910317251</v>
      </c>
      <c r="AA11" s="488">
        <f t="shared" ref="AA11:AA18" si="2">AVERAGE(L11:Z11)</f>
        <v>0.45639812910317262</v>
      </c>
    </row>
    <row r="12" spans="2:27" ht="15" customHeight="1" x14ac:dyDescent="0.2">
      <c r="B12" s="564">
        <f t="shared" ref="B12:B75" si="3">IF(D12&gt;0,0,C12&amp;"."&amp;I12)</f>
        <v>0</v>
      </c>
      <c r="C12" s="564" t="str">
        <f t="shared" ref="C12:C75" si="4">IF(ISBLANK(E12),C11,E12)</f>
        <v>C-Syrup (Sucrosic)</v>
      </c>
      <c r="D12" s="157">
        <v>2</v>
      </c>
      <c r="F12" s="250"/>
      <c r="G12" s="251">
        <f>IFERROR(INDEX(Allocators!$C:$C,MATCH($F12,Allocators!$E:$E,0)),0)</f>
        <v>0</v>
      </c>
      <c r="H12" s="257">
        <f>IFERROR(INDEX(Allocators!$D:$D,MATCH($F12,Allocators!$E:$E,0)),1)</f>
        <v>1</v>
      </c>
      <c r="I12" s="182" t="s">
        <v>86</v>
      </c>
      <c r="J12" s="191"/>
      <c r="K12" s="193"/>
      <c r="L12" s="193">
        <f>-SUMIF('C-Syrup (Sucrosic)'!$C:$C,'Costs per L'!$D12,'C-Syrup (Sucrosic)'!K:K)
/($O$2*10^6)/L$5*$H12</f>
        <v>4.6154387582628013E-2</v>
      </c>
      <c r="M12" s="193">
        <f>-SUMIF('C-Syrup (Sucrosic)'!$C:$C,'Costs per L'!$D12,'C-Syrup (Sucrosic)'!L:L)
/($O$2*10^6)/M$5*$H12</f>
        <v>4.6154387582628006E-2</v>
      </c>
      <c r="N12" s="193">
        <f>-SUMIF('C-Syrup (Sucrosic)'!$C:$C,'Costs per L'!$D12,'C-Syrup (Sucrosic)'!M:M)
/($O$2*10^6)/N$5*$H12</f>
        <v>4.6154387582628006E-2</v>
      </c>
      <c r="O12" s="193">
        <f>-SUMIF('C-Syrup (Sucrosic)'!$C:$C,'Costs per L'!$D12,'C-Syrup (Sucrosic)'!N:N)
/($O$2*10^6)/O$5*$H12</f>
        <v>4.6154387582628006E-2</v>
      </c>
      <c r="P12" s="193">
        <f>-SUMIF('C-Syrup (Sucrosic)'!$C:$C,'Costs per L'!$D12,'C-Syrup (Sucrosic)'!O:O)
/($O$2*10^6)/P$5*$H12</f>
        <v>4.6154387582628006E-2</v>
      </c>
      <c r="Q12" s="193">
        <f>-SUMIF('C-Syrup (Sucrosic)'!$C:$C,'Costs per L'!$D12,'C-Syrup (Sucrosic)'!P:P)
/($O$2*10^6)/Q$5*$H12</f>
        <v>4.6154387582628006E-2</v>
      </c>
      <c r="R12" s="193">
        <f>-SUMIF('C-Syrup (Sucrosic)'!$C:$C,'Costs per L'!$D12,'C-Syrup (Sucrosic)'!Q:Q)
/($O$2*10^6)/R$5*$H12</f>
        <v>4.6154387582628006E-2</v>
      </c>
      <c r="S12" s="193">
        <f>-SUMIF('C-Syrup (Sucrosic)'!$C:$C,'Costs per L'!$D12,'C-Syrup (Sucrosic)'!R:R)
/($O$2*10^6)/S$5*$H12</f>
        <v>4.6154387582628006E-2</v>
      </c>
      <c r="T12" s="193">
        <f>-SUMIF('C-Syrup (Sucrosic)'!$C:$C,'Costs per L'!$D12,'C-Syrup (Sucrosic)'!S:S)
/($O$2*10^6)/T$5*$H12</f>
        <v>4.6154387582628006E-2</v>
      </c>
      <c r="U12" s="193">
        <f>-SUMIF('C-Syrup (Sucrosic)'!$C:$C,'Costs per L'!$D12,'C-Syrup (Sucrosic)'!T:T)
/($O$2*10^6)/U$5*$H12</f>
        <v>4.6154387582628006E-2</v>
      </c>
      <c r="V12" s="193">
        <f>-SUMIF('C-Syrup (Sucrosic)'!$C:$C,'Costs per L'!$D12,'C-Syrup (Sucrosic)'!U:U)
/($O$2*10^6)/V$5*$H12</f>
        <v>4.6154387582628006E-2</v>
      </c>
      <c r="W12" s="193">
        <f>-SUMIF('C-Syrup (Sucrosic)'!$C:$C,'Costs per L'!$D12,'C-Syrup (Sucrosic)'!V:V)
/($O$2*10^6)/W$5*$H12</f>
        <v>4.6154387582628006E-2</v>
      </c>
      <c r="X12" s="193">
        <f>-SUMIF('C-Syrup (Sucrosic)'!$C:$C,'Costs per L'!$D12,'C-Syrup (Sucrosic)'!W:W)
/($O$2*10^6)/X$5*$H12</f>
        <v>4.6154387582628006E-2</v>
      </c>
      <c r="Y12" s="193">
        <f>-SUMIF('C-Syrup (Sucrosic)'!$C:$C,'Costs per L'!$D12,'C-Syrup (Sucrosic)'!X:X)
/($O$2*10^6)/Y$5*$H12</f>
        <v>4.6154387582628006E-2</v>
      </c>
      <c r="Z12" s="193">
        <f>-SUMIF('C-Syrup (Sucrosic)'!$C:$C,'Costs per L'!$D12,'C-Syrup (Sucrosic)'!Y:Y)
/($O$2*10^6)/Z$5*$H12</f>
        <v>4.6154387582628006E-2</v>
      </c>
      <c r="AA12" s="489">
        <f t="shared" si="2"/>
        <v>4.6154387582628013E-2</v>
      </c>
    </row>
    <row r="13" spans="2:27" ht="15" customHeight="1" x14ac:dyDescent="0.2">
      <c r="B13" s="564">
        <f t="shared" si="3"/>
        <v>0</v>
      </c>
      <c r="C13" s="564" t="str">
        <f t="shared" si="4"/>
        <v>C-Syrup (Sucrosic)</v>
      </c>
      <c r="D13" s="157">
        <v>3</v>
      </c>
      <c r="F13" s="250"/>
      <c r="G13" s="251">
        <f>IFERROR(INDEX(Allocators!$C:$C,MATCH($F13,Allocators!$E:$E,0)),0)</f>
        <v>0</v>
      </c>
      <c r="H13" s="257">
        <f>IFERROR(INDEX(Allocators!$D:$D,MATCH($F13,Allocators!$E:$E,0)),1)</f>
        <v>1</v>
      </c>
      <c r="I13" s="181" t="s">
        <v>129</v>
      </c>
      <c r="J13" s="191"/>
      <c r="K13" s="193"/>
      <c r="L13" s="193">
        <f>-SUMIF('C-Syrup (Sucrosic)'!$C:$C,'Costs per L'!$D13,'C-Syrup (Sucrosic)'!K:K)
/($O$2*10^6)/L$5*$H13</f>
        <v>5.1798287999999998E-2</v>
      </c>
      <c r="M13" s="193">
        <f>-SUMIF('C-Syrup (Sucrosic)'!$C:$C,'Costs per L'!$D13,'C-Syrup (Sucrosic)'!L:L)
/($O$2*10^6)/M$5*$H13</f>
        <v>5.1798287999999998E-2</v>
      </c>
      <c r="N13" s="193">
        <f>-SUMIF('C-Syrup (Sucrosic)'!$C:$C,'Costs per L'!$D13,'C-Syrup (Sucrosic)'!M:M)
/($O$2*10^6)/N$5*$H13</f>
        <v>5.1798287999999998E-2</v>
      </c>
      <c r="O13" s="193">
        <f>-SUMIF('C-Syrup (Sucrosic)'!$C:$C,'Costs per L'!$D13,'C-Syrup (Sucrosic)'!N:N)
/($O$2*10^6)/O$5*$H13</f>
        <v>5.1798287999999998E-2</v>
      </c>
      <c r="P13" s="193">
        <f>-SUMIF('C-Syrup (Sucrosic)'!$C:$C,'Costs per L'!$D13,'C-Syrup (Sucrosic)'!O:O)
/($O$2*10^6)/P$5*$H13</f>
        <v>5.1798287999999998E-2</v>
      </c>
      <c r="Q13" s="193">
        <f>-SUMIF('C-Syrup (Sucrosic)'!$C:$C,'Costs per L'!$D13,'C-Syrup (Sucrosic)'!P:P)
/($O$2*10^6)/Q$5*$H13</f>
        <v>5.1798287999999998E-2</v>
      </c>
      <c r="R13" s="193">
        <f>-SUMIF('C-Syrup (Sucrosic)'!$C:$C,'Costs per L'!$D13,'C-Syrup (Sucrosic)'!Q:Q)
/($O$2*10^6)/R$5*$H13</f>
        <v>5.1798287999999998E-2</v>
      </c>
      <c r="S13" s="193">
        <f>-SUMIF('C-Syrup (Sucrosic)'!$C:$C,'Costs per L'!$D13,'C-Syrup (Sucrosic)'!R:R)
/($O$2*10^6)/S$5*$H13</f>
        <v>5.1798287999999998E-2</v>
      </c>
      <c r="T13" s="193">
        <f>-SUMIF('C-Syrup (Sucrosic)'!$C:$C,'Costs per L'!$D13,'C-Syrup (Sucrosic)'!S:S)
/($O$2*10^6)/T$5*$H13</f>
        <v>5.1798287999999998E-2</v>
      </c>
      <c r="U13" s="193">
        <f>-SUMIF('C-Syrup (Sucrosic)'!$C:$C,'Costs per L'!$D13,'C-Syrup (Sucrosic)'!T:T)
/($O$2*10^6)/U$5*$H13</f>
        <v>5.1798287999999998E-2</v>
      </c>
      <c r="V13" s="193">
        <f>-SUMIF('C-Syrup (Sucrosic)'!$C:$C,'Costs per L'!$D13,'C-Syrup (Sucrosic)'!U:U)
/($O$2*10^6)/V$5*$H13</f>
        <v>5.1798287999999998E-2</v>
      </c>
      <c r="W13" s="193">
        <f>-SUMIF('C-Syrup (Sucrosic)'!$C:$C,'Costs per L'!$D13,'C-Syrup (Sucrosic)'!V:V)
/($O$2*10^6)/W$5*$H13</f>
        <v>5.1798287999999998E-2</v>
      </c>
      <c r="X13" s="193">
        <f>-SUMIF('C-Syrup (Sucrosic)'!$C:$C,'Costs per L'!$D13,'C-Syrup (Sucrosic)'!W:W)
/($O$2*10^6)/X$5*$H13</f>
        <v>5.1798287999999998E-2</v>
      </c>
      <c r="Y13" s="193">
        <f>-SUMIF('C-Syrup (Sucrosic)'!$C:$C,'Costs per L'!$D13,'C-Syrup (Sucrosic)'!X:X)
/($O$2*10^6)/Y$5*$H13</f>
        <v>5.1798287999999998E-2</v>
      </c>
      <c r="Z13" s="193">
        <f>-SUMIF('C-Syrup (Sucrosic)'!$C:$C,'Costs per L'!$D13,'C-Syrup (Sucrosic)'!Y:Y)
/($O$2*10^6)/Z$5*$H13</f>
        <v>5.1798287999999998E-2</v>
      </c>
      <c r="AA13" s="489">
        <f t="shared" si="2"/>
        <v>5.1798287999999977E-2</v>
      </c>
    </row>
    <row r="14" spans="2:27" ht="15" customHeight="1" x14ac:dyDescent="0.2">
      <c r="B14" s="564">
        <f t="shared" si="3"/>
        <v>0</v>
      </c>
      <c r="C14" s="564" t="str">
        <f t="shared" si="4"/>
        <v>C-Syrup (Sucrosic)</v>
      </c>
      <c r="D14" s="157">
        <v>4</v>
      </c>
      <c r="F14" s="250"/>
      <c r="G14" s="251">
        <f>IFERROR(INDEX(Allocators!$C:$C,MATCH($F14,Allocators!$E:$E,0)),0)</f>
        <v>0</v>
      </c>
      <c r="H14" s="257">
        <f>IFERROR(INDEX(Allocators!$D:$D,MATCH($F14,Allocators!$E:$E,0)),1)</f>
        <v>1</v>
      </c>
      <c r="I14" s="182" t="s">
        <v>218</v>
      </c>
      <c r="J14" s="191"/>
      <c r="K14" s="193"/>
      <c r="L14" s="193">
        <f>-SUMIF('C-Syrup (Sucrosic)'!$C:$C,'Costs per L'!$D14,'C-Syrup (Sucrosic)'!K:K)
/($O$2*10^6)/L$5*$H14</f>
        <v>4.7164730285249999E-2</v>
      </c>
      <c r="M14" s="193">
        <f>-SUMIF('C-Syrup (Sucrosic)'!$C:$C,'Costs per L'!$D14,'C-Syrup (Sucrosic)'!L:L)
/($O$2*10^6)/M$5*$H14</f>
        <v>4.2236047713937498E-2</v>
      </c>
      <c r="N14" s="193">
        <f>-SUMIF('C-Syrup (Sucrosic)'!$C:$C,'Costs per L'!$D14,'C-Syrup (Sucrosic)'!M:M)
/($O$2*10^6)/N$5*$H14</f>
        <v>4.2236047713937498E-2</v>
      </c>
      <c r="O14" s="193">
        <f>-SUMIF('C-Syrup (Sucrosic)'!$C:$C,'Costs per L'!$D14,'C-Syrup (Sucrosic)'!N:N)
/($O$2*10^6)/O$5*$H14</f>
        <v>4.2236047713937498E-2</v>
      </c>
      <c r="P14" s="193">
        <f>-SUMIF('C-Syrup (Sucrosic)'!$C:$C,'Costs per L'!$D14,'C-Syrup (Sucrosic)'!O:O)
/($O$2*10^6)/P$5*$H14</f>
        <v>4.2236047713937498E-2</v>
      </c>
      <c r="Q14" s="193">
        <f>-SUMIF('C-Syrup (Sucrosic)'!$C:$C,'Costs per L'!$D14,'C-Syrup (Sucrosic)'!P:P)
/($O$2*10^6)/Q$5*$H14</f>
        <v>4.2236047713937498E-2</v>
      </c>
      <c r="R14" s="193">
        <f>-SUMIF('C-Syrup (Sucrosic)'!$C:$C,'Costs per L'!$D14,'C-Syrup (Sucrosic)'!Q:Q)
/($O$2*10^6)/R$5*$H14</f>
        <v>4.2236047713937498E-2</v>
      </c>
      <c r="S14" s="193">
        <f>-SUMIF('C-Syrup (Sucrosic)'!$C:$C,'Costs per L'!$D14,'C-Syrup (Sucrosic)'!R:R)
/($O$2*10^6)/S$5*$H14</f>
        <v>4.2236047713937498E-2</v>
      </c>
      <c r="T14" s="193">
        <f>-SUMIF('C-Syrup (Sucrosic)'!$C:$C,'Costs per L'!$D14,'C-Syrup (Sucrosic)'!S:S)
/($O$2*10^6)/T$5*$H14</f>
        <v>4.2236047713937498E-2</v>
      </c>
      <c r="U14" s="193">
        <f>-SUMIF('C-Syrup (Sucrosic)'!$C:$C,'Costs per L'!$D14,'C-Syrup (Sucrosic)'!T:T)
/($O$2*10^6)/U$5*$H14</f>
        <v>4.2236047713937498E-2</v>
      </c>
      <c r="V14" s="193">
        <f>-SUMIF('C-Syrup (Sucrosic)'!$C:$C,'Costs per L'!$D14,'C-Syrup (Sucrosic)'!U:U)
/($O$2*10^6)/V$5*$H14</f>
        <v>4.2236047713937498E-2</v>
      </c>
      <c r="W14" s="193">
        <f>-SUMIF('C-Syrup (Sucrosic)'!$C:$C,'Costs per L'!$D14,'C-Syrup (Sucrosic)'!V:V)
/($O$2*10^6)/W$5*$H14</f>
        <v>4.2236047713937498E-2</v>
      </c>
      <c r="X14" s="193">
        <f>-SUMIF('C-Syrup (Sucrosic)'!$C:$C,'Costs per L'!$D14,'C-Syrup (Sucrosic)'!W:W)
/($O$2*10^6)/X$5*$H14</f>
        <v>4.2236047713937498E-2</v>
      </c>
      <c r="Y14" s="193">
        <f>-SUMIF('C-Syrup (Sucrosic)'!$C:$C,'Costs per L'!$D14,'C-Syrup (Sucrosic)'!X:X)
/($O$2*10^6)/Y$5*$H14</f>
        <v>4.2236047713937498E-2</v>
      </c>
      <c r="Z14" s="193">
        <f>-SUMIF('C-Syrup (Sucrosic)'!$C:$C,'Costs per L'!$D14,'C-Syrup (Sucrosic)'!Y:Y)
/($O$2*10^6)/Z$5*$H14</f>
        <v>4.2236047713937498E-2</v>
      </c>
      <c r="AA14" s="489">
        <f t="shared" si="2"/>
        <v>4.2564626552025003E-2</v>
      </c>
    </row>
    <row r="15" spans="2:27" ht="15" customHeight="1" x14ac:dyDescent="0.2">
      <c r="B15" s="564">
        <f t="shared" si="3"/>
        <v>0</v>
      </c>
      <c r="C15" s="564" t="str">
        <f t="shared" si="4"/>
        <v>C-Syrup (Sucrosic)</v>
      </c>
      <c r="D15" s="157">
        <v>5</v>
      </c>
      <c r="F15" s="250"/>
      <c r="G15" s="251">
        <f>IFERROR(INDEX(Allocators!$C:$C,MATCH($F15,Allocators!$E:$E,0)),0)</f>
        <v>0</v>
      </c>
      <c r="H15" s="257">
        <f>IFERROR(INDEX(Allocators!$D:$D,MATCH($F15,Allocators!$E:$E,0)),1)</f>
        <v>1</v>
      </c>
      <c r="I15" s="182" t="s">
        <v>190</v>
      </c>
      <c r="J15" s="191"/>
      <c r="K15" s="193"/>
      <c r="L15" s="193">
        <f>-SUMIF('C-Syrup (Sucrosic)'!$C:$C,'Costs per L'!$D15,'C-Syrup (Sucrosic)'!K:K)
/($O$2*10^6)/L$5*$H15</f>
        <v>3.4380000000000001E-2</v>
      </c>
      <c r="M15" s="193">
        <f>-SUMIF('C-Syrup (Sucrosic)'!$C:$C,'Costs per L'!$D15,'C-Syrup (Sucrosic)'!L:L)
/($O$2*10^6)/M$5*$H15</f>
        <v>3.4380000000000001E-2</v>
      </c>
      <c r="N15" s="193">
        <f>-SUMIF('C-Syrup (Sucrosic)'!$C:$C,'Costs per L'!$D15,'C-Syrup (Sucrosic)'!M:M)
/($O$2*10^6)/N$5*$H15</f>
        <v>3.4380000000000001E-2</v>
      </c>
      <c r="O15" s="193">
        <f>-SUMIF('C-Syrup (Sucrosic)'!$C:$C,'Costs per L'!$D15,'C-Syrup (Sucrosic)'!N:N)
/($O$2*10^6)/O$5*$H15</f>
        <v>3.4380000000000001E-2</v>
      </c>
      <c r="P15" s="193">
        <f>-SUMIF('C-Syrup (Sucrosic)'!$C:$C,'Costs per L'!$D15,'C-Syrup (Sucrosic)'!O:O)
/($O$2*10^6)/P$5*$H15</f>
        <v>3.4380000000000001E-2</v>
      </c>
      <c r="Q15" s="193">
        <f>-SUMIF('C-Syrup (Sucrosic)'!$C:$C,'Costs per L'!$D15,'C-Syrup (Sucrosic)'!P:P)
/($O$2*10^6)/Q$5*$H15</f>
        <v>3.4380000000000001E-2</v>
      </c>
      <c r="R15" s="193">
        <f>-SUMIF('C-Syrup (Sucrosic)'!$C:$C,'Costs per L'!$D15,'C-Syrup (Sucrosic)'!Q:Q)
/($O$2*10^6)/R$5*$H15</f>
        <v>3.4380000000000001E-2</v>
      </c>
      <c r="S15" s="193">
        <f>-SUMIF('C-Syrup (Sucrosic)'!$C:$C,'Costs per L'!$D15,'C-Syrup (Sucrosic)'!R:R)
/($O$2*10^6)/S$5*$H15</f>
        <v>3.4380000000000001E-2</v>
      </c>
      <c r="T15" s="193">
        <f>-SUMIF('C-Syrup (Sucrosic)'!$C:$C,'Costs per L'!$D15,'C-Syrup (Sucrosic)'!S:S)
/($O$2*10^6)/T$5*$H15</f>
        <v>3.4380000000000001E-2</v>
      </c>
      <c r="U15" s="193">
        <f>-SUMIF('C-Syrup (Sucrosic)'!$C:$C,'Costs per L'!$D15,'C-Syrup (Sucrosic)'!T:T)
/($O$2*10^6)/U$5*$H15</f>
        <v>3.4380000000000001E-2</v>
      </c>
      <c r="V15" s="193">
        <f>-SUMIF('C-Syrup (Sucrosic)'!$C:$C,'Costs per L'!$D15,'C-Syrup (Sucrosic)'!U:U)
/($O$2*10^6)/V$5*$H15</f>
        <v>3.4380000000000001E-2</v>
      </c>
      <c r="W15" s="193">
        <f>-SUMIF('C-Syrup (Sucrosic)'!$C:$C,'Costs per L'!$D15,'C-Syrup (Sucrosic)'!V:V)
/($O$2*10^6)/W$5*$H15</f>
        <v>3.4380000000000001E-2</v>
      </c>
      <c r="X15" s="193">
        <f>-SUMIF('C-Syrup (Sucrosic)'!$C:$C,'Costs per L'!$D15,'C-Syrup (Sucrosic)'!W:W)
/($O$2*10^6)/X$5*$H15</f>
        <v>3.4380000000000001E-2</v>
      </c>
      <c r="Y15" s="193">
        <f>-SUMIF('C-Syrup (Sucrosic)'!$C:$C,'Costs per L'!$D15,'C-Syrup (Sucrosic)'!X:X)
/($O$2*10^6)/Y$5*$H15</f>
        <v>3.4380000000000001E-2</v>
      </c>
      <c r="Z15" s="193">
        <f>-SUMIF('C-Syrup (Sucrosic)'!$C:$C,'Costs per L'!$D15,'C-Syrup (Sucrosic)'!Y:Y)
/($O$2*10^6)/Z$5*$H15</f>
        <v>3.4380000000000001E-2</v>
      </c>
      <c r="AA15" s="489">
        <f t="shared" si="2"/>
        <v>3.4380000000000008E-2</v>
      </c>
    </row>
    <row r="16" spans="2:27" ht="15" customHeight="1" x14ac:dyDescent="0.2">
      <c r="B16" s="564">
        <f t="shared" si="3"/>
        <v>0</v>
      </c>
      <c r="C16" s="564" t="str">
        <f t="shared" si="4"/>
        <v>C-Syrup (Sucrosic)</v>
      </c>
      <c r="D16" s="157">
        <v>6</v>
      </c>
      <c r="F16" s="250"/>
      <c r="G16" s="251">
        <f>IFERROR(INDEX(Allocators!$C:$C,MATCH($F16,Allocators!$E:$E,0)),0)</f>
        <v>0</v>
      </c>
      <c r="H16" s="257">
        <f>IFERROR(INDEX(Allocators!$D:$D,MATCH($F16,Allocators!$E:$E,0)),1)</f>
        <v>1</v>
      </c>
      <c r="I16" s="181" t="s">
        <v>448</v>
      </c>
      <c r="J16" s="191"/>
      <c r="K16" s="193"/>
      <c r="L16" s="193">
        <f>-SUMIF('C-Syrup (Sucrosic)'!$C:$C,'Costs per L'!$D16,'C-Syrup (Sucrosic)'!K:K)
/($O$2*10^6)/L$5*$H16</f>
        <v>1.5857418750000001E-2</v>
      </c>
      <c r="M16" s="193">
        <f>-SUMIF('C-Syrup (Sucrosic)'!$C:$C,'Costs per L'!$D16,'C-Syrup (Sucrosic)'!L:L)
/($O$2*10^6)/M$5*$H16</f>
        <v>1.5857418750000001E-2</v>
      </c>
      <c r="N16" s="193">
        <f>-SUMIF('C-Syrup (Sucrosic)'!$C:$C,'Costs per L'!$D16,'C-Syrup (Sucrosic)'!M:M)
/($O$2*10^6)/N$5*$H16</f>
        <v>1.5857418750000001E-2</v>
      </c>
      <c r="O16" s="193">
        <f>-SUMIF('C-Syrup (Sucrosic)'!$C:$C,'Costs per L'!$D16,'C-Syrup (Sucrosic)'!N:N)
/($O$2*10^6)/O$5*$H16</f>
        <v>1.5857418750000001E-2</v>
      </c>
      <c r="P16" s="193">
        <f>-SUMIF('C-Syrup (Sucrosic)'!$C:$C,'Costs per L'!$D16,'C-Syrup (Sucrosic)'!O:O)
/($O$2*10^6)/P$5*$H16</f>
        <v>1.5857418750000001E-2</v>
      </c>
      <c r="Q16" s="193">
        <f>-SUMIF('C-Syrup (Sucrosic)'!$C:$C,'Costs per L'!$D16,'C-Syrup (Sucrosic)'!P:P)
/($O$2*10^6)/Q$5*$H16</f>
        <v>1.5857418750000001E-2</v>
      </c>
      <c r="R16" s="193">
        <f>-SUMIF('C-Syrup (Sucrosic)'!$C:$C,'Costs per L'!$D16,'C-Syrup (Sucrosic)'!Q:Q)
/($O$2*10^6)/R$5*$H16</f>
        <v>1.5857418750000001E-2</v>
      </c>
      <c r="S16" s="193">
        <f>-SUMIF('C-Syrup (Sucrosic)'!$C:$C,'Costs per L'!$D16,'C-Syrup (Sucrosic)'!R:R)
/($O$2*10^6)/S$5*$H16</f>
        <v>1.5857418750000001E-2</v>
      </c>
      <c r="T16" s="193">
        <f>-SUMIF('C-Syrup (Sucrosic)'!$C:$C,'Costs per L'!$D16,'C-Syrup (Sucrosic)'!S:S)
/($O$2*10^6)/T$5*$H16</f>
        <v>1.5857418750000001E-2</v>
      </c>
      <c r="U16" s="193">
        <f>-SUMIF('C-Syrup (Sucrosic)'!$C:$C,'Costs per L'!$D16,'C-Syrup (Sucrosic)'!T:T)
/($O$2*10^6)/U$5*$H16</f>
        <v>1.5857418750000001E-2</v>
      </c>
      <c r="V16" s="193">
        <f>-SUMIF('C-Syrup (Sucrosic)'!$C:$C,'Costs per L'!$D16,'C-Syrup (Sucrosic)'!U:U)
/($O$2*10^6)/V$5*$H16</f>
        <v>1.5857418750000001E-2</v>
      </c>
      <c r="W16" s="193">
        <f>-SUMIF('C-Syrup (Sucrosic)'!$C:$C,'Costs per L'!$D16,'C-Syrup (Sucrosic)'!V:V)
/($O$2*10^6)/W$5*$H16</f>
        <v>1.5857418750000001E-2</v>
      </c>
      <c r="X16" s="193">
        <f>-SUMIF('C-Syrup (Sucrosic)'!$C:$C,'Costs per L'!$D16,'C-Syrup (Sucrosic)'!W:W)
/($O$2*10^6)/X$5*$H16</f>
        <v>1.5857418750000001E-2</v>
      </c>
      <c r="Y16" s="193">
        <f>-SUMIF('C-Syrup (Sucrosic)'!$C:$C,'Costs per L'!$D16,'C-Syrup (Sucrosic)'!X:X)
/($O$2*10^6)/Y$5*$H16</f>
        <v>1.5857418750000001E-2</v>
      </c>
      <c r="Z16" s="193">
        <f>-SUMIF('C-Syrup (Sucrosic)'!$C:$C,'Costs per L'!$D16,'C-Syrup (Sucrosic)'!Y:Y)
/($O$2*10^6)/Z$5*$H16</f>
        <v>1.5857418750000001E-2</v>
      </c>
      <c r="AA16" s="489">
        <f t="shared" si="2"/>
        <v>1.5857418749999998E-2</v>
      </c>
    </row>
    <row r="17" spans="2:27" ht="15" customHeight="1" x14ac:dyDescent="0.2">
      <c r="B17" s="564">
        <f t="shared" si="3"/>
        <v>0</v>
      </c>
      <c r="C17" s="564" t="str">
        <f t="shared" si="4"/>
        <v>C-Syrup (Sucrosic)</v>
      </c>
      <c r="D17" s="157">
        <v>7</v>
      </c>
      <c r="F17" s="250"/>
      <c r="G17" s="251">
        <f>IFERROR(INDEX(Allocators!$C:$C,MATCH($F17,Allocators!$E:$E,0)),0)</f>
        <v>0</v>
      </c>
      <c r="H17" s="257">
        <f>IFERROR(INDEX(Allocators!$D:$D,MATCH($F17,Allocators!$E:$E,0)),1)</f>
        <v>1</v>
      </c>
      <c r="I17" s="181" t="s">
        <v>184</v>
      </c>
      <c r="J17" s="191"/>
      <c r="K17" s="194"/>
      <c r="L17" s="194">
        <f>-SUMIF('C-Syrup (Sucrosic)'!$C:$C,'Costs per L'!$D17,'C-Syrup (Sucrosic)'!K:K)
/($O$2*10^6)/L$5*$H17</f>
        <v>0.17465115000000001</v>
      </c>
      <c r="M17" s="194">
        <f>-SUMIF('C-Syrup (Sucrosic)'!$C:$C,'Costs per L'!$D17,'C-Syrup (Sucrosic)'!L:L)
/($O$2*10^6)/M$5*$H17</f>
        <v>0.17465115000000001</v>
      </c>
      <c r="N17" s="194">
        <f>-SUMIF('C-Syrup (Sucrosic)'!$C:$C,'Costs per L'!$D17,'C-Syrup (Sucrosic)'!M:M)
/($O$2*10^6)/N$5*$H17</f>
        <v>0.17465115000000001</v>
      </c>
      <c r="O17" s="194">
        <f>-SUMIF('C-Syrup (Sucrosic)'!$C:$C,'Costs per L'!$D17,'C-Syrup (Sucrosic)'!N:N)
/($O$2*10^6)/O$5*$H17</f>
        <v>0.17465115000000001</v>
      </c>
      <c r="P17" s="194">
        <f>-SUMIF('C-Syrup (Sucrosic)'!$C:$C,'Costs per L'!$D17,'C-Syrup (Sucrosic)'!O:O)
/($O$2*10^6)/P$5*$H17</f>
        <v>0.17465115000000001</v>
      </c>
      <c r="Q17" s="194">
        <f>-SUMIF('C-Syrup (Sucrosic)'!$C:$C,'Costs per L'!$D17,'C-Syrup (Sucrosic)'!P:P)
/($O$2*10^6)/Q$5*$H17</f>
        <v>0.17465115000000001</v>
      </c>
      <c r="R17" s="194">
        <f>-SUMIF('C-Syrup (Sucrosic)'!$C:$C,'Costs per L'!$D17,'C-Syrup (Sucrosic)'!Q:Q)
/($O$2*10^6)/R$5*$H17</f>
        <v>0.17465115000000001</v>
      </c>
      <c r="S17" s="194">
        <f>-SUMIF('C-Syrup (Sucrosic)'!$C:$C,'Costs per L'!$D17,'C-Syrup (Sucrosic)'!R:R)
/($O$2*10^6)/S$5*$H17</f>
        <v>0.17465115000000001</v>
      </c>
      <c r="T17" s="194">
        <f>-SUMIF('C-Syrup (Sucrosic)'!$C:$C,'Costs per L'!$D17,'C-Syrup (Sucrosic)'!S:S)
/($O$2*10^6)/T$5*$H17</f>
        <v>0.17465115000000001</v>
      </c>
      <c r="U17" s="194">
        <f>-SUMIF('C-Syrup (Sucrosic)'!$C:$C,'Costs per L'!$D17,'C-Syrup (Sucrosic)'!T:T)
/($O$2*10^6)/U$5*$H17</f>
        <v>0.17465115000000001</v>
      </c>
      <c r="V17" s="194">
        <f>-SUMIF('C-Syrup (Sucrosic)'!$C:$C,'Costs per L'!$D17,'C-Syrup (Sucrosic)'!U:U)
/($O$2*10^6)/V$5*$H17</f>
        <v>0.17465115000000001</v>
      </c>
      <c r="W17" s="194">
        <f>-SUMIF('C-Syrup (Sucrosic)'!$C:$C,'Costs per L'!$D17,'C-Syrup (Sucrosic)'!V:V)
/($O$2*10^6)/W$5*$H17</f>
        <v>0.17465115000000001</v>
      </c>
      <c r="X17" s="194">
        <f>-SUMIF('C-Syrup (Sucrosic)'!$C:$C,'Costs per L'!$D17,'C-Syrup (Sucrosic)'!W:W)
/($O$2*10^6)/X$5*$H17</f>
        <v>0.17465115000000001</v>
      </c>
      <c r="Y17" s="194">
        <f>-SUMIF('C-Syrup (Sucrosic)'!$C:$C,'Costs per L'!$D17,'C-Syrup (Sucrosic)'!X:X)
/($O$2*10^6)/Y$5*$H17</f>
        <v>0.17465115000000001</v>
      </c>
      <c r="Z17" s="194">
        <f>-SUMIF('C-Syrup (Sucrosic)'!$C:$C,'Costs per L'!$D17,'C-Syrup (Sucrosic)'!Y:Y)
/($O$2*10^6)/Z$5*$H17</f>
        <v>0.17465115000000001</v>
      </c>
      <c r="AA17" s="490">
        <f t="shared" si="2"/>
        <v>0.17465115000000001</v>
      </c>
    </row>
    <row r="18" spans="2:27" ht="15" customHeight="1" thickBot="1" x14ac:dyDescent="0.25">
      <c r="B18" s="564" t="str">
        <f t="shared" si="3"/>
        <v>C-Syrup (Sucrosic).Total production costs ($/L) before depreciation and interest</v>
      </c>
      <c r="C18" s="564" t="str">
        <f t="shared" si="4"/>
        <v>C-Syrup (Sucrosic)</v>
      </c>
      <c r="F18" s="250"/>
      <c r="G18" s="251">
        <f>IFERROR(INDEX(Allocators!$C:$C,MATCH($F18,Allocators!$E:$E,0)),0)</f>
        <v>0</v>
      </c>
      <c r="H18" s="257">
        <f>IFERROR(INDEX(Allocators!$D:$D,MATCH($F18,Allocators!$E:$E,0)),1)</f>
        <v>1</v>
      </c>
      <c r="I18" s="183" t="s">
        <v>633</v>
      </c>
      <c r="J18" s="190"/>
      <c r="K18" s="190"/>
      <c r="L18" s="190">
        <f t="shared" ref="L18:Z18" si="5">SUM(L11:L17)</f>
        <v>0.82640410372105044</v>
      </c>
      <c r="M18" s="190">
        <f t="shared" si="5"/>
        <v>0.82147542114973793</v>
      </c>
      <c r="N18" s="190">
        <f t="shared" si="5"/>
        <v>0.82147542114973793</v>
      </c>
      <c r="O18" s="190">
        <f t="shared" si="5"/>
        <v>0.82147542114973793</v>
      </c>
      <c r="P18" s="190">
        <f t="shared" si="5"/>
        <v>0.82147542114973793</v>
      </c>
      <c r="Q18" s="190">
        <f t="shared" si="5"/>
        <v>0.82147542114973793</v>
      </c>
      <c r="R18" s="190">
        <f t="shared" si="5"/>
        <v>0.82147542114973793</v>
      </c>
      <c r="S18" s="190">
        <f t="shared" si="5"/>
        <v>0.82147542114973793</v>
      </c>
      <c r="T18" s="190">
        <f t="shared" si="5"/>
        <v>0.82147542114973793</v>
      </c>
      <c r="U18" s="190">
        <f t="shared" si="5"/>
        <v>0.82147542114973793</v>
      </c>
      <c r="V18" s="190">
        <f t="shared" si="5"/>
        <v>0.82147542114973793</v>
      </c>
      <c r="W18" s="190">
        <f t="shared" si="5"/>
        <v>0.82147542114973793</v>
      </c>
      <c r="X18" s="190">
        <f t="shared" si="5"/>
        <v>0.82147542114973793</v>
      </c>
      <c r="Y18" s="190">
        <f t="shared" si="5"/>
        <v>0.82147542114973793</v>
      </c>
      <c r="Z18" s="190">
        <f t="shared" si="5"/>
        <v>0.82147542114973793</v>
      </c>
      <c r="AA18" s="491">
        <f t="shared" si="2"/>
        <v>0.8218039999878255</v>
      </c>
    </row>
    <row r="19" spans="2:27" ht="15" customHeight="1" x14ac:dyDescent="0.2">
      <c r="B19" s="564" t="str">
        <f t="shared" si="3"/>
        <v>C-Syrup (Sucrosic).Cost of Capital (Depreciation)</v>
      </c>
      <c r="C19" s="564" t="str">
        <f t="shared" si="4"/>
        <v>C-Syrup (Sucrosic)</v>
      </c>
      <c r="F19" s="250"/>
      <c r="G19" s="251">
        <f>IFERROR(INDEX(Allocators!$C:$C,MATCH($F19,Allocators!$E:$E,0)),0)</f>
        <v>0</v>
      </c>
      <c r="H19" s="257">
        <f>IFERROR(INDEX(Allocators!$D:$D,MATCH($F19,Allocators!$E:$E,0)),1)</f>
        <v>1</v>
      </c>
      <c r="I19" s="181" t="s">
        <v>471</v>
      </c>
      <c r="J19" s="197"/>
      <c r="K19" s="198"/>
      <c r="L19" s="199">
        <f>Depreciation!L34/$O$2
/(10^6)/L$5*$H19</f>
        <v>6.5715833333333348E-2</v>
      </c>
      <c r="M19" s="199">
        <f>Depreciation!M34/$O$2
/(10^6)/M$5*$H19</f>
        <v>4.9286875000000008E-2</v>
      </c>
      <c r="N19" s="199">
        <f>Depreciation!N34/$O$2
/(10^6)/N$5*$H19</f>
        <v>4.9286875000000008E-2</v>
      </c>
      <c r="O19" s="199">
        <f>Depreciation!O34/$O$2
/(10^6)/O$5*$H19</f>
        <v>4.9286875000000008E-2</v>
      </c>
      <c r="P19" s="199">
        <f>Depreciation!P34/$O$2
/(10^6)/P$5*$H19</f>
        <v>4.9286875000000008E-2</v>
      </c>
      <c r="Q19" s="199">
        <f>Depreciation!Q34/$O$2
/(10^6)/Q$5*$H19</f>
        <v>4.9286875000000008E-2</v>
      </c>
      <c r="R19" s="199">
        <f>Depreciation!R34/$O$2
/(10^6)/R$5*$H19</f>
        <v>4.9286875000000008E-2</v>
      </c>
      <c r="S19" s="199">
        <f>Depreciation!S34/$O$2
/(10^6)/S$5*$H19</f>
        <v>4.9286875000000008E-2</v>
      </c>
      <c r="T19" s="199">
        <f>Depreciation!T34/$O$2
/(10^6)/T$5*$H19</f>
        <v>4.9286875000000008E-2</v>
      </c>
      <c r="U19" s="199">
        <f>Depreciation!U34/$O$2
/(10^6)/U$5*$H19</f>
        <v>4.9286875000000008E-2</v>
      </c>
      <c r="V19" s="199">
        <f>Depreciation!V34/$O$2
/(10^6)/V$5*$H19</f>
        <v>4.9286875000000008E-2</v>
      </c>
      <c r="W19" s="199">
        <f>Depreciation!W34/$O$2
/(10^6)/W$5*$H19</f>
        <v>4.9286875000000008E-2</v>
      </c>
      <c r="X19" s="199">
        <f>Depreciation!X34/$O$2
/(10^6)/X$5*$H19</f>
        <v>4.9286875000000008E-2</v>
      </c>
      <c r="Y19" s="199">
        <f>Depreciation!Y34/$O$2
/(10^6)/Y$5*$H19</f>
        <v>4.9286875000000008E-2</v>
      </c>
      <c r="Z19" s="199">
        <f>Depreciation!Z34/$O$2
/(10^6)/Z$5*$H19</f>
        <v>4.9286875000000008E-2</v>
      </c>
      <c r="AA19" s="492">
        <f t="shared" ref="AA19:AA20" si="6">AVERAGE(L19:Z19)</f>
        <v>5.0382138888888879E-2</v>
      </c>
    </row>
    <row r="20" spans="2:27" ht="15" customHeight="1" x14ac:dyDescent="0.2">
      <c r="B20" s="564" t="str">
        <f t="shared" si="3"/>
        <v>C-Syrup (Sucrosic).Interest</v>
      </c>
      <c r="C20" s="564" t="str">
        <f t="shared" si="4"/>
        <v>C-Syrup (Sucrosic)</v>
      </c>
      <c r="F20" s="250"/>
      <c r="G20" s="251">
        <f>IFERROR(INDEX(Allocators!$C:$C,MATCH($F20,Allocators!$E:$E,0)),0)</f>
        <v>0</v>
      </c>
      <c r="H20" s="257">
        <f>IFERROR(INDEX(Allocators!$D:$D,MATCH($F20,Allocators!$E:$E,0)),1)</f>
        <v>1</v>
      </c>
      <c r="I20" s="181" t="s">
        <v>470</v>
      </c>
      <c r="J20" s="200">
        <f>INDEX('Loan Repayments'!$H$14:$H$63,MATCH(J$8,'Loan Repayments'!$C$14:$C$63,0))
/($O$2*10^6)</f>
        <v>0</v>
      </c>
      <c r="K20" s="201">
        <f>INDEX('Loan Repayments'!$H$14:$H$63,MATCH(K$8,'Loan Repayments'!$C$14:$C$63,0))
/($O$2*10^6)</f>
        <v>0</v>
      </c>
      <c r="L20" s="202">
        <f>INDEX('Loan Repayments'!$H$14:$H$63,MATCH(L$8,'Loan Repayments'!$C$14:$C$63,0))
/($O$2*10^6)/L5*$H20</f>
        <v>4.0029943173847782E-2</v>
      </c>
      <c r="M20" s="202">
        <f>INDEX('Loan Repayments'!$H$14:$H$63,MATCH(M$8,'Loan Repayments'!$C$14:$C$63,0))
/($O$2*10^6)/M5*$H20</f>
        <v>3.0022457380385836E-2</v>
      </c>
      <c r="N20" s="202">
        <f>INDEX('Loan Repayments'!$H$14:$H$63,MATCH(N$8,'Loan Repayments'!$C$14:$C$63,0))
/($O$2*10^6)/N5*$H20</f>
        <v>3.0022457380385836E-2</v>
      </c>
      <c r="O20" s="202">
        <f>INDEX('Loan Repayments'!$H$14:$H$63,MATCH(O$8,'Loan Repayments'!$C$14:$C$63,0))
/($O$2*10^6)/O5*$H20</f>
        <v>3.0022457380385836E-2</v>
      </c>
      <c r="P20" s="202">
        <f>INDEX('Loan Repayments'!$H$14:$H$63,MATCH(P$8,'Loan Repayments'!$C$14:$C$63,0))
/($O$2*10^6)/P5*$H20</f>
        <v>3.0022457380385836E-2</v>
      </c>
      <c r="Q20" s="202">
        <f>INDEX('Loan Repayments'!$H$14:$H$63,MATCH(Q$8,'Loan Repayments'!$C$14:$C$63,0))
/($O$2*10^6)/Q5*$H20</f>
        <v>3.0022457380385836E-2</v>
      </c>
      <c r="R20" s="202">
        <f>INDEX('Loan Repayments'!$H$14:$H$63,MATCH(R$8,'Loan Repayments'!$C$14:$C$63,0))
/($O$2*10^6)/R5*$H20</f>
        <v>3.0022457380385836E-2</v>
      </c>
      <c r="S20" s="202">
        <f>INDEX('Loan Repayments'!$H$14:$H$63,MATCH(S$8,'Loan Repayments'!$C$14:$C$63,0))
/($O$2*10^6)/S5*$H20</f>
        <v>3.0022457380385836E-2</v>
      </c>
      <c r="T20" s="202">
        <f>INDEX('Loan Repayments'!$H$14:$H$63,MATCH(T$8,'Loan Repayments'!$C$14:$C$63,0))
/($O$2*10^6)/T5*$H20</f>
        <v>3.0022457380385836E-2</v>
      </c>
      <c r="U20" s="202">
        <f>INDEX('Loan Repayments'!$H$14:$H$63,MATCH(U$8,'Loan Repayments'!$C$14:$C$63,0))
/($O$2*10^6)/U5*$H20</f>
        <v>3.0022457380385836E-2</v>
      </c>
      <c r="V20" s="202">
        <f>INDEX('Loan Repayments'!$H$14:$H$63,MATCH(V$8,'Loan Repayments'!$C$14:$C$63,0))
/($O$2*10^6)/V5*$H20</f>
        <v>3.0022457380385836E-2</v>
      </c>
      <c r="W20" s="202">
        <f>INDEX('Loan Repayments'!$H$14:$H$63,MATCH(W$8,'Loan Repayments'!$C$14:$C$63,0))
/($O$2*10^6)/W5*$H20</f>
        <v>3.0022457380385836E-2</v>
      </c>
      <c r="X20" s="202">
        <f>INDEX('Loan Repayments'!$H$14:$H$63,MATCH(X$8,'Loan Repayments'!$C$14:$C$63,0))
/($O$2*10^6)/X5*$H20</f>
        <v>3.0022457380385836E-2</v>
      </c>
      <c r="Y20" s="202">
        <f>INDEX('Loan Repayments'!$H$14:$H$63,MATCH(Y$8,'Loan Repayments'!$C$14:$C$63,0))
/($O$2*10^6)/Y5*$H20</f>
        <v>3.0022457380385836E-2</v>
      </c>
      <c r="Z20" s="202">
        <f>INDEX('Loan Repayments'!$H$14:$H$63,MATCH(Z$8,'Loan Repayments'!$C$14:$C$63,0))
/($O$2*10^6)/Z5*$H20</f>
        <v>3.0022457380385836E-2</v>
      </c>
      <c r="AA20" s="493">
        <f t="shared" si="6"/>
        <v>3.0689623099949968E-2</v>
      </c>
    </row>
    <row r="21" spans="2:27" ht="15" customHeight="1" thickBot="1" x14ac:dyDescent="0.25">
      <c r="B21" s="564" t="str">
        <f t="shared" si="3"/>
        <v>C-Syrup (Sucrosic).Total production cost ($/L)</v>
      </c>
      <c r="C21" s="564" t="str">
        <f t="shared" si="4"/>
        <v>C-Syrup (Sucrosic)</v>
      </c>
      <c r="G21" s="249">
        <f>IFERROR(INDEX(Allocators!$C:$C,MATCH($F21,Allocators!$E:$E,0)),0)</f>
        <v>0</v>
      </c>
      <c r="H21" s="207">
        <f>IFERROR(INDEX(Allocators!$D:$D,MATCH($F21,Allocators!$E:$E,0)),1)</f>
        <v>1</v>
      </c>
      <c r="I21" s="183" t="s">
        <v>632</v>
      </c>
      <c r="J21" s="190"/>
      <c r="K21" s="190"/>
      <c r="L21" s="190">
        <f t="shared" ref="L21:Z21" si="7">SUM(L18,L19:L20)</f>
        <v>0.93214988022823153</v>
      </c>
      <c r="M21" s="190">
        <f t="shared" si="7"/>
        <v>0.90078475353012366</v>
      </c>
      <c r="N21" s="190">
        <f t="shared" si="7"/>
        <v>0.90078475353012366</v>
      </c>
      <c r="O21" s="190">
        <f t="shared" si="7"/>
        <v>0.90078475353012366</v>
      </c>
      <c r="P21" s="190">
        <f t="shared" si="7"/>
        <v>0.90078475353012366</v>
      </c>
      <c r="Q21" s="190">
        <f t="shared" si="7"/>
        <v>0.90078475353012366</v>
      </c>
      <c r="R21" s="190">
        <f t="shared" si="7"/>
        <v>0.90078475353012366</v>
      </c>
      <c r="S21" s="190">
        <f t="shared" si="7"/>
        <v>0.90078475353012366</v>
      </c>
      <c r="T21" s="190">
        <f t="shared" si="7"/>
        <v>0.90078475353012366</v>
      </c>
      <c r="U21" s="190">
        <f t="shared" si="7"/>
        <v>0.90078475353012366</v>
      </c>
      <c r="V21" s="190">
        <f t="shared" si="7"/>
        <v>0.90078475353012366</v>
      </c>
      <c r="W21" s="190">
        <f t="shared" si="7"/>
        <v>0.90078475353012366</v>
      </c>
      <c r="X21" s="190">
        <f t="shared" si="7"/>
        <v>0.90078475353012366</v>
      </c>
      <c r="Y21" s="190">
        <f t="shared" si="7"/>
        <v>0.90078475353012366</v>
      </c>
      <c r="Z21" s="190">
        <f t="shared" si="7"/>
        <v>0.90078475353012366</v>
      </c>
      <c r="AA21" s="491">
        <f>SUM(AA18:AA20)</f>
        <v>0.9028757619766643</v>
      </c>
    </row>
    <row r="22" spans="2:27" ht="15" customHeight="1" x14ac:dyDescent="0.2">
      <c r="B22" s="564">
        <f t="shared" si="3"/>
        <v>0</v>
      </c>
      <c r="C22" s="564" t="str">
        <f t="shared" si="4"/>
        <v>C-Syrup (Sucrosic)</v>
      </c>
      <c r="D22" s="157">
        <v>8</v>
      </c>
      <c r="F22" s="250"/>
      <c r="G22" s="251">
        <f>IFERROR(INDEX(Allocators!$C:$C,MATCH($F22,Allocators!$E:$E,0)),0)</f>
        <v>0</v>
      </c>
      <c r="H22" s="257">
        <f>IFERROR(INDEX(Allocators!$D:$D,MATCH($F22,Allocators!$E:$E,0)),1)</f>
        <v>1</v>
      </c>
      <c r="I22" s="181" t="s">
        <v>636</v>
      </c>
      <c r="J22" s="514"/>
      <c r="K22" s="514"/>
      <c r="L22" s="202">
        <f>-SUMIF('C-Syrup (Sucrosic)'!$C:$C,'Costs per L'!$D22,'C-Syrup (Sucrosic)'!K:K)
/($O$2*10^6)/L$5*$H22</f>
        <v>-0.25327873252258942</v>
      </c>
      <c r="M22" s="202">
        <f>-SUMIF('C-Syrup (Sucrosic)'!$C:$C,'Costs per L'!$D22,'C-Syrup (Sucrosic)'!L:L)
/($O$2*10^6)/M$5*$H22</f>
        <v>-0.25327873252258942</v>
      </c>
      <c r="N22" s="202">
        <f>-SUMIF('C-Syrup (Sucrosic)'!$C:$C,'Costs per L'!$D22,'C-Syrup (Sucrosic)'!M:M)
/($O$2*10^6)/N$5*$H22</f>
        <v>-0.25327873252258942</v>
      </c>
      <c r="O22" s="202">
        <f>-SUMIF('C-Syrup (Sucrosic)'!$C:$C,'Costs per L'!$D22,'C-Syrup (Sucrosic)'!N:N)
/($O$2*10^6)/O$5*$H22</f>
        <v>-0.25327873252258942</v>
      </c>
      <c r="P22" s="202">
        <f>-SUMIF('C-Syrup (Sucrosic)'!$C:$C,'Costs per L'!$D22,'C-Syrup (Sucrosic)'!O:O)
/($O$2*10^6)/P$5*$H22</f>
        <v>-0.25327873252258942</v>
      </c>
      <c r="Q22" s="202">
        <f>-SUMIF('C-Syrup (Sucrosic)'!$C:$C,'Costs per L'!$D22,'C-Syrup (Sucrosic)'!P:P)
/($O$2*10^6)/Q$5*$H22</f>
        <v>-0.25327873252258942</v>
      </c>
      <c r="R22" s="202">
        <f>-SUMIF('C-Syrup (Sucrosic)'!$C:$C,'Costs per L'!$D22,'C-Syrup (Sucrosic)'!Q:Q)
/($O$2*10^6)/R$5*$H22</f>
        <v>-0.25327873252258942</v>
      </c>
      <c r="S22" s="202">
        <f>-SUMIF('C-Syrup (Sucrosic)'!$C:$C,'Costs per L'!$D22,'C-Syrup (Sucrosic)'!R:R)
/($O$2*10^6)/S$5*$H22</f>
        <v>-0.25327873252258942</v>
      </c>
      <c r="T22" s="202">
        <f>-SUMIF('C-Syrup (Sucrosic)'!$C:$C,'Costs per L'!$D22,'C-Syrup (Sucrosic)'!S:S)
/($O$2*10^6)/T$5*$H22</f>
        <v>-0.25327873252258942</v>
      </c>
      <c r="U22" s="202">
        <f>-SUMIF('C-Syrup (Sucrosic)'!$C:$C,'Costs per L'!$D22,'C-Syrup (Sucrosic)'!T:T)
/($O$2*10^6)/U$5*$H22</f>
        <v>-0.25327873252258942</v>
      </c>
      <c r="V22" s="202">
        <f>-SUMIF('C-Syrup (Sucrosic)'!$C:$C,'Costs per L'!$D22,'C-Syrup (Sucrosic)'!U:U)
/($O$2*10^6)/V$5*$H22</f>
        <v>-0.25327873252258942</v>
      </c>
      <c r="W22" s="202">
        <f>-SUMIF('C-Syrup (Sucrosic)'!$C:$C,'Costs per L'!$D22,'C-Syrup (Sucrosic)'!V:V)
/($O$2*10^6)/W$5*$H22</f>
        <v>-0.25327873252258942</v>
      </c>
      <c r="X22" s="202">
        <f>-SUMIF('C-Syrup (Sucrosic)'!$C:$C,'Costs per L'!$D22,'C-Syrup (Sucrosic)'!W:W)
/($O$2*10^6)/X$5*$H22</f>
        <v>-0.25327873252258942</v>
      </c>
      <c r="Y22" s="202">
        <f>-SUMIF('C-Syrup (Sucrosic)'!$C:$C,'Costs per L'!$D22,'C-Syrup (Sucrosic)'!X:X)
/($O$2*10^6)/Y$5*$H22</f>
        <v>-0.25327873252258942</v>
      </c>
      <c r="Z22" s="202">
        <f>-SUMIF('C-Syrup (Sucrosic)'!$C:$C,'Costs per L'!$D22,'C-Syrup (Sucrosic)'!Y:Y)
/($O$2*10^6)/Z$5*$H22</f>
        <v>-0.25327873252258942</v>
      </c>
      <c r="AA22" s="492">
        <f>AVERAGE(L22:Z22)</f>
        <v>-0.25327873252258948</v>
      </c>
    </row>
    <row r="23" spans="2:27" ht="15" customHeight="1" thickBot="1" x14ac:dyDescent="0.25">
      <c r="B23" s="564" t="str">
        <f t="shared" si="3"/>
        <v>C-Syrup (Sucrosic).Net production cost ($/L)</v>
      </c>
      <c r="C23" s="564" t="str">
        <f t="shared" si="4"/>
        <v>C-Syrup (Sucrosic)</v>
      </c>
      <c r="G23" s="171">
        <f>IFERROR(INDEX(Allocators!$C:$C,MATCH($F23,Allocators!$E:$E,0)),0)</f>
        <v>0</v>
      </c>
      <c r="H23" s="171">
        <f>IFERROR(INDEX(Allocators!$D:$D,MATCH($F23,Allocators!$E:$E,0)),1)</f>
        <v>1</v>
      </c>
      <c r="I23" s="183" t="s">
        <v>637</v>
      </c>
      <c r="J23" s="514"/>
      <c r="K23" s="514"/>
      <c r="L23" s="190">
        <f t="shared" ref="L23:AA23" si="8">SUM(L21:L22)</f>
        <v>0.67887114770564216</v>
      </c>
      <c r="M23" s="190">
        <f t="shared" si="8"/>
        <v>0.64750602100753429</v>
      </c>
      <c r="N23" s="190">
        <f t="shared" si="8"/>
        <v>0.64750602100753429</v>
      </c>
      <c r="O23" s="190">
        <f t="shared" si="8"/>
        <v>0.64750602100753429</v>
      </c>
      <c r="P23" s="190">
        <f t="shared" si="8"/>
        <v>0.64750602100753429</v>
      </c>
      <c r="Q23" s="190">
        <f t="shared" si="8"/>
        <v>0.64750602100753429</v>
      </c>
      <c r="R23" s="190">
        <f t="shared" si="8"/>
        <v>0.64750602100753429</v>
      </c>
      <c r="S23" s="190">
        <f t="shared" si="8"/>
        <v>0.64750602100753429</v>
      </c>
      <c r="T23" s="190">
        <f t="shared" si="8"/>
        <v>0.64750602100753429</v>
      </c>
      <c r="U23" s="190">
        <f t="shared" si="8"/>
        <v>0.64750602100753429</v>
      </c>
      <c r="V23" s="190">
        <f t="shared" si="8"/>
        <v>0.64750602100753429</v>
      </c>
      <c r="W23" s="190">
        <f t="shared" si="8"/>
        <v>0.64750602100753429</v>
      </c>
      <c r="X23" s="190">
        <f t="shared" si="8"/>
        <v>0.64750602100753429</v>
      </c>
      <c r="Y23" s="190">
        <f t="shared" si="8"/>
        <v>0.64750602100753429</v>
      </c>
      <c r="Z23" s="190">
        <f t="shared" si="8"/>
        <v>0.64750602100753429</v>
      </c>
      <c r="AA23" s="491">
        <f t="shared" si="8"/>
        <v>0.64959702945407483</v>
      </c>
    </row>
    <row r="24" spans="2:27" ht="15" customHeight="1" x14ac:dyDescent="0.2">
      <c r="B24" s="564" t="str">
        <f t="shared" si="3"/>
        <v>C-Syrup (Sucrosic).Remove inflation factors</v>
      </c>
      <c r="C24" s="564" t="str">
        <f t="shared" si="4"/>
        <v>C-Syrup (Sucrosic)</v>
      </c>
      <c r="G24">
        <f>IFERROR(INDEX(Allocators!$C:$C,MATCH($F24,Allocators!$E:$E,0)),0)</f>
        <v>0</v>
      </c>
      <c r="H24">
        <f>IFERROR(INDEX(Allocators!$D:$D,MATCH($F24,Allocators!$E:$E,0)),1)</f>
        <v>1</v>
      </c>
      <c r="I24" s="215" t="s">
        <v>544</v>
      </c>
      <c r="J24" s="209"/>
      <c r="K24" s="209"/>
      <c r="L24" s="209"/>
      <c r="M24" s="209"/>
      <c r="N24" s="209"/>
      <c r="O24" s="209"/>
      <c r="P24" s="209"/>
      <c r="Q24" s="209"/>
      <c r="R24" s="209"/>
      <c r="S24" s="209"/>
      <c r="T24" s="209"/>
      <c r="U24" s="209"/>
      <c r="V24" s="209"/>
      <c r="W24" s="209"/>
      <c r="X24" s="209"/>
      <c r="Y24" s="209"/>
      <c r="Z24" s="209"/>
    </row>
    <row r="25" spans="2:27" ht="15" customHeight="1" x14ac:dyDescent="0.2">
      <c r="B25" s="564" t="str">
        <f t="shared" si="3"/>
        <v>C-Syrup (Sucrosic).</v>
      </c>
      <c r="C25" s="564" t="str">
        <f t="shared" si="4"/>
        <v>C-Syrup (Sucrosic)</v>
      </c>
      <c r="G25">
        <f>IFERROR(INDEX(Allocators!$C:$C,MATCH($F25,Allocators!$E:$E,0)),0)</f>
        <v>0</v>
      </c>
      <c r="H25">
        <f>IFERROR(INDEX(Allocators!$D:$D,MATCH($F25,Allocators!$E:$E,0)),1)</f>
        <v>1</v>
      </c>
      <c r="I25" s="158"/>
    </row>
    <row r="26" spans="2:27" ht="15" customHeight="1" x14ac:dyDescent="0.2">
      <c r="B26" s="564" t="str">
        <f t="shared" si="3"/>
        <v>C-Syrup (Sucrosic).Feedstock</v>
      </c>
      <c r="C26" s="564" t="str">
        <f t="shared" si="4"/>
        <v>C-Syrup (Sucrosic)</v>
      </c>
      <c r="G26">
        <f>IFERROR(INDEX(Allocators!$C:$C,MATCH($F26,Allocators!$E:$E,0)),0)</f>
        <v>0</v>
      </c>
      <c r="H26">
        <f>IFERROR(INDEX(Allocators!$D:$D,MATCH($F26,Allocators!$E:$E,0)),1)</f>
        <v>1</v>
      </c>
      <c r="I26" s="67" t="s">
        <v>285</v>
      </c>
      <c r="L26" s="191">
        <f>AA11</f>
        <v>0.45639812910317262</v>
      </c>
      <c r="P26" s="614"/>
    </row>
    <row r="27" spans="2:27" ht="15" customHeight="1" x14ac:dyDescent="0.2">
      <c r="B27" s="564" t="str">
        <f t="shared" si="3"/>
        <v>C-Syrup (Sucrosic).Direct Costs</v>
      </c>
      <c r="C27" s="564" t="str">
        <f t="shared" si="4"/>
        <v>C-Syrup (Sucrosic)</v>
      </c>
      <c r="G27">
        <f>IFERROR(INDEX(Allocators!$C:$C,MATCH($F27,Allocators!$E:$E,0)),0)</f>
        <v>0</v>
      </c>
      <c r="H27">
        <f>IFERROR(INDEX(Allocators!$D:$D,MATCH($F27,Allocators!$E:$E,0)),1)</f>
        <v>1</v>
      </c>
      <c r="I27" s="67" t="s">
        <v>526</v>
      </c>
      <c r="L27" s="191">
        <f>SUM(AA12:AA13,AA17)</f>
        <v>0.27260382558262797</v>
      </c>
      <c r="P27" s="614"/>
    </row>
    <row r="28" spans="2:27" ht="15" customHeight="1" x14ac:dyDescent="0.2">
      <c r="B28" s="564" t="str">
        <f t="shared" si="3"/>
        <v>C-Syrup (Sucrosic).Maintenance</v>
      </c>
      <c r="C28" s="564" t="str">
        <f t="shared" si="4"/>
        <v>C-Syrup (Sucrosic)</v>
      </c>
      <c r="G28">
        <f>IFERROR(INDEX(Allocators!$C:$C,MATCH($F28,Allocators!$E:$E,0)),0)</f>
        <v>0</v>
      </c>
      <c r="H28">
        <f>IFERROR(INDEX(Allocators!$D:$D,MATCH($F28,Allocators!$E:$E,0)),1)</f>
        <v>1</v>
      </c>
      <c r="I28" s="67" t="s">
        <v>218</v>
      </c>
      <c r="L28" s="191">
        <f>AA14</f>
        <v>4.2564626552025003E-2</v>
      </c>
      <c r="P28" s="614"/>
    </row>
    <row r="29" spans="2:27" ht="15" customHeight="1" x14ac:dyDescent="0.2">
      <c r="B29" s="564" t="str">
        <f t="shared" si="3"/>
        <v>C-Syrup (Sucrosic).Indirect Costs</v>
      </c>
      <c r="C29" s="564" t="str">
        <f t="shared" si="4"/>
        <v>C-Syrup (Sucrosic)</v>
      </c>
      <c r="G29">
        <f>IFERROR(INDEX(Allocators!$C:$C,MATCH($F29,Allocators!$E:$E,0)),0)</f>
        <v>0</v>
      </c>
      <c r="H29">
        <f>IFERROR(INDEX(Allocators!$D:$D,MATCH($F29,Allocators!$E:$E,0)),1)</f>
        <v>1</v>
      </c>
      <c r="I29" s="67" t="s">
        <v>527</v>
      </c>
      <c r="L29" s="516">
        <f>SUM(AA15:AA16)</f>
        <v>5.0237418750000006E-2</v>
      </c>
      <c r="P29" s="614"/>
    </row>
    <row r="30" spans="2:27" ht="15" customHeight="1" x14ac:dyDescent="0.2">
      <c r="B30" s="564" t="str">
        <f t="shared" si="3"/>
        <v>C-Syrup (Sucrosic).Finance</v>
      </c>
      <c r="C30" s="564" t="str">
        <f t="shared" si="4"/>
        <v>C-Syrup (Sucrosic)</v>
      </c>
      <c r="G30">
        <f>IFERROR(INDEX(Allocators!$C:$C,MATCH($F30,Allocators!$E:$E,0)),0)</f>
        <v>0</v>
      </c>
      <c r="H30">
        <f>IFERROR(INDEX(Allocators!$D:$D,MATCH($F30,Allocators!$E:$E,0)),1)</f>
        <v>1</v>
      </c>
      <c r="I30" s="67" t="s">
        <v>528</v>
      </c>
      <c r="L30" s="191">
        <f>SUM(AA19:AA20)</f>
        <v>8.107176198883885E-2</v>
      </c>
      <c r="M30" s="215"/>
      <c r="P30" s="614"/>
    </row>
    <row r="31" spans="2:27" ht="15" customHeight="1" thickBot="1" x14ac:dyDescent="0.25">
      <c r="B31" s="564" t="str">
        <f t="shared" si="3"/>
        <v>C-Syrup (Sucrosic).Total production</v>
      </c>
      <c r="C31" s="564" t="str">
        <f t="shared" si="4"/>
        <v>C-Syrup (Sucrosic)</v>
      </c>
      <c r="G31">
        <f>IFERROR(INDEX(Allocators!$C:$C,MATCH($F31,Allocators!$E:$E,0)),0)</f>
        <v>0</v>
      </c>
      <c r="H31">
        <f>IFERROR(INDEX(Allocators!$D:$D,MATCH($F31,Allocators!$E:$E,0)),1)</f>
        <v>1</v>
      </c>
      <c r="I31" s="183" t="s">
        <v>467</v>
      </c>
      <c r="L31" s="517">
        <f>SUM(L26:L30)</f>
        <v>0.90287576197666441</v>
      </c>
      <c r="M31" s="561" t="str">
        <f>IF(L31=AA21,"", "Error - Totals are not equal")</f>
        <v/>
      </c>
    </row>
    <row r="32" spans="2:27" x14ac:dyDescent="0.2">
      <c r="B32" s="564" t="str">
        <f t="shared" si="3"/>
        <v>C-Syrup (Sucrosic).Co-product credit</v>
      </c>
      <c r="C32" s="564" t="str">
        <f t="shared" si="4"/>
        <v>C-Syrup (Sucrosic)</v>
      </c>
      <c r="G32">
        <f>IFERROR(INDEX(Allocators!$C:$C,MATCH($F32,Allocators!$E:$E,0)),0)</f>
        <v>0</v>
      </c>
      <c r="H32">
        <f>IFERROR(INDEX(Allocators!$D:$D,MATCH($F32,Allocators!$E:$E,0)),1)</f>
        <v>1</v>
      </c>
      <c r="I32" s="524" t="s">
        <v>635</v>
      </c>
      <c r="L32" s="518">
        <f>AA22</f>
        <v>-0.25327873252258948</v>
      </c>
      <c r="P32" s="614"/>
    </row>
    <row r="33" spans="2:27" ht="13.5" thickBot="1" x14ac:dyDescent="0.25">
      <c r="B33" s="564" t="str">
        <f t="shared" si="3"/>
        <v>C-Syrup (Sucrosic).Net production cost</v>
      </c>
      <c r="C33" s="564" t="str">
        <f t="shared" si="4"/>
        <v>C-Syrup (Sucrosic)</v>
      </c>
      <c r="G33">
        <f>IFERROR(INDEX(Allocators!$C:$C,MATCH($F33,Allocators!$E:$E,0)),0)</f>
        <v>0</v>
      </c>
      <c r="H33">
        <f>IFERROR(INDEX(Allocators!$D:$D,MATCH($F33,Allocators!$E:$E,0)),1)</f>
        <v>1</v>
      </c>
      <c r="I33" s="183" t="s">
        <v>634</v>
      </c>
      <c r="L33" s="517">
        <f>SUM(L31:L32)</f>
        <v>0.64959702945407494</v>
      </c>
      <c r="M33" s="561" t="str">
        <f>IF(ROUND(L33,2)=ROUND(AA23,2),"", "Error - Totals are not equal")</f>
        <v/>
      </c>
    </row>
    <row r="34" spans="2:27" ht="15" customHeight="1" x14ac:dyDescent="0.2">
      <c r="B34" s="564" t="str">
        <f t="shared" si="3"/>
        <v>C-Syrup (Sucrosic).</v>
      </c>
      <c r="C34" s="564" t="str">
        <f t="shared" si="4"/>
        <v>C-Syrup (Sucrosic)</v>
      </c>
      <c r="G34">
        <f>IFERROR(INDEX(Allocators!$C:$C,MATCH($F34,Allocators!$E:$E,0)),0)</f>
        <v>0</v>
      </c>
      <c r="H34">
        <f>IFERROR(INDEX(Allocators!$D:$D,MATCH($F34,Allocators!$E:$E,0)),1)</f>
        <v>1</v>
      </c>
      <c r="I34" s="254"/>
      <c r="L34" s="209"/>
    </row>
    <row r="35" spans="2:27" ht="15" customHeight="1" x14ac:dyDescent="0.2">
      <c r="B35" s="564" t="str">
        <f t="shared" si="3"/>
        <v>C-Syrup (Sucrosic).Capital Cost ($'000)</v>
      </c>
      <c r="C35" s="564" t="str">
        <f t="shared" si="4"/>
        <v>C-Syrup (Sucrosic)</v>
      </c>
      <c r="F35" s="250"/>
      <c r="G35" s="251">
        <f>IFERROR(INDEX(Allocators!$C:$C,MATCH($F35,Allocators!$E:$E,0)),0)</f>
        <v>0</v>
      </c>
      <c r="H35" s="257">
        <f>IFERROR(INDEX(Allocators!$D:$D,MATCH($F35,Allocators!$E:$E,0)),1)</f>
        <v>1</v>
      </c>
      <c r="I35" s="67" t="s">
        <v>530</v>
      </c>
      <c r="L35" s="255">
        <f>SUM('C-Syrup (Sucrosic)'!$I$220:$J$220)*'Costs per L'!H35*10^6</f>
        <v>147860625</v>
      </c>
    </row>
    <row r="36" spans="2:27" ht="15" customHeight="1" thickBot="1" x14ac:dyDescent="0.25">
      <c r="B36" s="564" t="str">
        <f t="shared" si="3"/>
        <v>C-Syrup (Sucrosic).Capital Cost per L</v>
      </c>
      <c r="C36" s="564" t="str">
        <f t="shared" si="4"/>
        <v>C-Syrup (Sucrosic)</v>
      </c>
      <c r="G36">
        <f>IFERROR(INDEX(Allocators!$C:$C,MATCH($F36,Allocators!$E:$E,0)),0)</f>
        <v>0</v>
      </c>
      <c r="H36">
        <f>IFERROR(INDEX(Allocators!$D:$D,MATCH($F36,Allocators!$E:$E,0)),1)</f>
        <v>1</v>
      </c>
      <c r="I36" s="183" t="s">
        <v>529</v>
      </c>
      <c r="L36" s="190">
        <f>L35/($O$2*10^6)</f>
        <v>1.4786062499999999</v>
      </c>
    </row>
    <row r="37" spans="2:27" ht="15" customHeight="1" x14ac:dyDescent="0.2">
      <c r="B37" s="564" t="str">
        <f t="shared" si="3"/>
        <v>C-Syrup (Sucrosic).</v>
      </c>
      <c r="C37" s="564" t="str">
        <f t="shared" si="4"/>
        <v>C-Syrup (Sucrosic)</v>
      </c>
      <c r="G37">
        <f>IFERROR(INDEX(Allocators!$C:$C,MATCH($F37,Allocators!$E:$E,0)),0)</f>
        <v>0</v>
      </c>
      <c r="H37">
        <f>IFERROR(INDEX(Allocators!$D:$D,MATCH($F37,Allocators!$E:$E,0)),1)</f>
        <v>1</v>
      </c>
      <c r="I37" s="254"/>
      <c r="J37" s="209"/>
    </row>
    <row r="38" spans="2:27" ht="15" customHeight="1" x14ac:dyDescent="0.2">
      <c r="B38" s="564" t="str">
        <f t="shared" si="3"/>
        <v>Wheat Integrated (Starch).</v>
      </c>
      <c r="C38" s="564" t="str">
        <f t="shared" si="4"/>
        <v>Wheat Integrated (Starch)</v>
      </c>
      <c r="E38" s="552" t="s">
        <v>699</v>
      </c>
      <c r="F38" s="226"/>
      <c r="G38" s="226">
        <f>IFERROR(INDEX(Allocators!$C:$C,MATCH($F38,Allocators!$E:$E,0)),0)</f>
        <v>0</v>
      </c>
      <c r="H38" s="226">
        <f>IFERROR(INDEX(Allocators!$D:$D,MATCH($F38,Allocators!$E:$E,0)),1)</f>
        <v>1</v>
      </c>
      <c r="I38" s="160"/>
      <c r="J38" s="160"/>
      <c r="K38" s="160"/>
      <c r="L38" s="160"/>
      <c r="M38" s="160"/>
      <c r="N38" s="160"/>
      <c r="O38" s="160"/>
      <c r="P38" s="160"/>
      <c r="Q38" s="160"/>
      <c r="R38" s="160"/>
      <c r="S38" s="160"/>
      <c r="T38" s="160"/>
      <c r="U38" s="160"/>
      <c r="V38" s="160"/>
      <c r="W38" s="160"/>
      <c r="X38" s="160"/>
      <c r="Y38" s="160"/>
      <c r="Z38" s="160"/>
      <c r="AA38" s="160"/>
    </row>
    <row r="39" spans="2:27" ht="15" customHeight="1" x14ac:dyDescent="0.2">
      <c r="B39" s="564">
        <f t="shared" si="3"/>
        <v>0</v>
      </c>
      <c r="C39" s="564" t="str">
        <f t="shared" si="4"/>
        <v>Wheat Integrated (Starch)</v>
      </c>
      <c r="D39" s="157">
        <v>1</v>
      </c>
      <c r="E39" s="157"/>
      <c r="F39" s="511"/>
      <c r="G39" s="251">
        <f>IFERROR(INDEX(Allocators!$C:$C,MATCH($F39,Allocators!$E:$E,0)),0)</f>
        <v>0</v>
      </c>
      <c r="H39" s="510">
        <f>IFERROR(INDEX(Allocators!$D:$D,MATCH($F39,Allocators!$E:$E,0)),1)</f>
        <v>1</v>
      </c>
      <c r="I39" s="207" t="s">
        <v>285</v>
      </c>
      <c r="J39" s="205"/>
      <c r="K39" s="205"/>
      <c r="L39" s="478">
        <f>-SUMIF('Wheat Integrated (Starch)'!$C:$C,'Costs per L'!$D39,'Wheat Integrated (Starch)'!L:L)/($O$2*10^6)*$H39/L$5</f>
        <v>0.36414209318047019</v>
      </c>
      <c r="M39" s="478">
        <f>-SUMIF('Wheat Integrated (Starch)'!$C:$C,'Costs per L'!$D39,'Wheat Integrated (Starch)'!M:M)/($O$2*10^6)*$H39/M$5</f>
        <v>0.36414209318047019</v>
      </c>
      <c r="N39" s="478">
        <f>-SUMIF('Wheat Integrated (Starch)'!$C:$C,'Costs per L'!$D39,'Wheat Integrated (Starch)'!N:N)/($O$2*10^6)*$H39/N$5</f>
        <v>0.36414209318047019</v>
      </c>
      <c r="O39" s="478">
        <f>-SUMIF('Wheat Integrated (Starch)'!$C:$C,'Costs per L'!$D39,'Wheat Integrated (Starch)'!O:O)/($O$2*10^6)*$H39/O$5</f>
        <v>0.36414209318047019</v>
      </c>
      <c r="P39" s="478">
        <f>-SUMIF('Wheat Integrated (Starch)'!$C:$C,'Costs per L'!$D39,'Wheat Integrated (Starch)'!P:P)/($O$2*10^6)*$H39/P$5</f>
        <v>0.36414209318047019</v>
      </c>
      <c r="Q39" s="478">
        <f>-SUMIF('Wheat Integrated (Starch)'!$C:$C,'Costs per L'!$D39,'Wheat Integrated (Starch)'!Q:Q)/($O$2*10^6)*$H39/Q$5</f>
        <v>0.36414209318047019</v>
      </c>
      <c r="R39" s="478">
        <f>-SUMIF('Wheat Integrated (Starch)'!$C:$C,'Costs per L'!$D39,'Wheat Integrated (Starch)'!R:R)/($O$2*10^6)*$H39/R$5</f>
        <v>0.36414209318047019</v>
      </c>
      <c r="S39" s="478">
        <f>-SUMIF('Wheat Integrated (Starch)'!$C:$C,'Costs per L'!$D39,'Wheat Integrated (Starch)'!S:S)/($O$2*10^6)*$H39/S$5</f>
        <v>0.36414209318047019</v>
      </c>
      <c r="T39" s="478">
        <f>-SUMIF('Wheat Integrated (Starch)'!$C:$C,'Costs per L'!$D39,'Wheat Integrated (Starch)'!T:T)/($O$2*10^6)*$H39/T$5</f>
        <v>0.36414209318047019</v>
      </c>
      <c r="U39" s="478">
        <f>-SUMIF('Wheat Integrated (Starch)'!$C:$C,'Costs per L'!$D39,'Wheat Integrated (Starch)'!U:U)/($O$2*10^6)*$H39/U$5</f>
        <v>0.36414209318047019</v>
      </c>
      <c r="V39" s="478">
        <f>-SUMIF('Wheat Integrated (Starch)'!$C:$C,'Costs per L'!$D39,'Wheat Integrated (Starch)'!V:V)/($O$2*10^6)*$H39/V$5</f>
        <v>0.36414209318047019</v>
      </c>
      <c r="W39" s="478">
        <f>-SUMIF('Wheat Integrated (Starch)'!$C:$C,'Costs per L'!$D39,'Wheat Integrated (Starch)'!W:W)/($O$2*10^6)*$H39/W$5</f>
        <v>0.36414209318047019</v>
      </c>
      <c r="X39" s="478">
        <f>-SUMIF('Wheat Integrated (Starch)'!$C:$C,'Costs per L'!$D39,'Wheat Integrated (Starch)'!X:X)/($O$2*10^6)*$H39/X$5</f>
        <v>0.36414209318047019</v>
      </c>
      <c r="Y39" s="478">
        <f>-SUMIF('Wheat Integrated (Starch)'!$C:$C,'Costs per L'!$D39,'Wheat Integrated (Starch)'!Y:Y)/($O$2*10^6)*$H39/Y$5</f>
        <v>0.36414209318047019</v>
      </c>
      <c r="Z39" s="479">
        <f>-SUMIF('Wheat Integrated (Starch)'!$C:$C,'Costs per L'!$D39,'Wheat Integrated (Starch)'!Z:Z)/($O$2*10^6)*$H39/Z$5</f>
        <v>0.36414209318047019</v>
      </c>
      <c r="AA39" s="479">
        <f t="shared" ref="AA39:AA46" si="9">AVERAGE(L39:Z39)</f>
        <v>0.36414209318047031</v>
      </c>
    </row>
    <row r="40" spans="2:27" ht="15" customHeight="1" x14ac:dyDescent="0.2">
      <c r="B40" s="564">
        <f t="shared" si="3"/>
        <v>0</v>
      </c>
      <c r="C40" s="564" t="str">
        <f t="shared" si="4"/>
        <v>Wheat Integrated (Starch)</v>
      </c>
      <c r="D40" s="157">
        <v>2</v>
      </c>
      <c r="E40" s="157"/>
      <c r="F40" s="511"/>
      <c r="G40" s="251">
        <f>IFERROR(INDEX(Allocators!$C:$C,MATCH($F40,Allocators!$E:$E,0)),0)</f>
        <v>0</v>
      </c>
      <c r="H40" s="510">
        <f>IFERROR(INDEX(Allocators!$D:$D,MATCH($F40,Allocators!$E:$E,0)),1)</f>
        <v>1</v>
      </c>
      <c r="I40" s="207" t="s">
        <v>86</v>
      </c>
      <c r="J40" s="206"/>
      <c r="K40" s="206"/>
      <c r="L40" s="480">
        <f>-SUMIF('Wheat Integrated (Starch)'!$C:$C,'Costs per L'!$D40,'Wheat Integrated (Starch)'!L:L)/($O$2*10^6)*$H40/L$5</f>
        <v>2.7139771410726626E-2</v>
      </c>
      <c r="M40" s="480">
        <f>-SUMIF('Wheat Integrated (Starch)'!$C:$C,'Costs per L'!$D40,'Wheat Integrated (Starch)'!M:M)/($O$2*10^6)*$H40/M$5</f>
        <v>2.7139771410726626E-2</v>
      </c>
      <c r="N40" s="480">
        <f>-SUMIF('Wheat Integrated (Starch)'!$C:$C,'Costs per L'!$D40,'Wheat Integrated (Starch)'!N:N)/($O$2*10^6)*$H40/N$5</f>
        <v>2.7139771410726626E-2</v>
      </c>
      <c r="O40" s="480">
        <f>-SUMIF('Wheat Integrated (Starch)'!$C:$C,'Costs per L'!$D40,'Wheat Integrated (Starch)'!O:O)/($O$2*10^6)*$H40/O$5</f>
        <v>2.7139771410726626E-2</v>
      </c>
      <c r="P40" s="480">
        <f>-SUMIF('Wheat Integrated (Starch)'!$C:$C,'Costs per L'!$D40,'Wheat Integrated (Starch)'!P:P)/($O$2*10^6)*$H40/P$5</f>
        <v>2.7139771410726626E-2</v>
      </c>
      <c r="Q40" s="480">
        <f>-SUMIF('Wheat Integrated (Starch)'!$C:$C,'Costs per L'!$D40,'Wheat Integrated (Starch)'!Q:Q)/($O$2*10^6)*$H40/Q$5</f>
        <v>2.7139771410726626E-2</v>
      </c>
      <c r="R40" s="480">
        <f>-SUMIF('Wheat Integrated (Starch)'!$C:$C,'Costs per L'!$D40,'Wheat Integrated (Starch)'!R:R)/($O$2*10^6)*$H40/R$5</f>
        <v>2.7139771410726626E-2</v>
      </c>
      <c r="S40" s="480">
        <f>-SUMIF('Wheat Integrated (Starch)'!$C:$C,'Costs per L'!$D40,'Wheat Integrated (Starch)'!S:S)/($O$2*10^6)*$H40/S$5</f>
        <v>2.7139771410726626E-2</v>
      </c>
      <c r="T40" s="480">
        <f>-SUMIF('Wheat Integrated (Starch)'!$C:$C,'Costs per L'!$D40,'Wheat Integrated (Starch)'!T:T)/($O$2*10^6)*$H40/T$5</f>
        <v>2.7139771410726626E-2</v>
      </c>
      <c r="U40" s="480">
        <f>-SUMIF('Wheat Integrated (Starch)'!$C:$C,'Costs per L'!$D40,'Wheat Integrated (Starch)'!U:U)/($O$2*10^6)*$H40/U$5</f>
        <v>2.7139771410726626E-2</v>
      </c>
      <c r="V40" s="480">
        <f>-SUMIF('Wheat Integrated (Starch)'!$C:$C,'Costs per L'!$D40,'Wheat Integrated (Starch)'!V:V)/($O$2*10^6)*$H40/V$5</f>
        <v>2.7139771410726626E-2</v>
      </c>
      <c r="W40" s="480">
        <f>-SUMIF('Wheat Integrated (Starch)'!$C:$C,'Costs per L'!$D40,'Wheat Integrated (Starch)'!W:W)/($O$2*10^6)*$H40/W$5</f>
        <v>2.7139771410726626E-2</v>
      </c>
      <c r="X40" s="480">
        <f>-SUMIF('Wheat Integrated (Starch)'!$C:$C,'Costs per L'!$D40,'Wheat Integrated (Starch)'!X:X)/($O$2*10^6)*$H40/X$5</f>
        <v>2.7139771410726626E-2</v>
      </c>
      <c r="Y40" s="480">
        <f>-SUMIF('Wheat Integrated (Starch)'!$C:$C,'Costs per L'!$D40,'Wheat Integrated (Starch)'!Y:Y)/($O$2*10^6)*$H40/Y$5</f>
        <v>2.7139771410726626E-2</v>
      </c>
      <c r="Z40" s="481">
        <f>-SUMIF('Wheat Integrated (Starch)'!$C:$C,'Costs per L'!$D40,'Wheat Integrated (Starch)'!Z:Z)/($O$2*10^6)*$H40/Z$5</f>
        <v>2.7139771410726626E-2</v>
      </c>
      <c r="AA40" s="481">
        <f t="shared" si="9"/>
        <v>2.7139771410726633E-2</v>
      </c>
    </row>
    <row r="41" spans="2:27" ht="15" customHeight="1" x14ac:dyDescent="0.2">
      <c r="B41" s="564">
        <f t="shared" si="3"/>
        <v>0</v>
      </c>
      <c r="C41" s="564" t="str">
        <f t="shared" si="4"/>
        <v>Wheat Integrated (Starch)</v>
      </c>
      <c r="D41" s="157">
        <v>3</v>
      </c>
      <c r="E41" s="157"/>
      <c r="F41" s="511"/>
      <c r="G41" s="251">
        <f>IFERROR(INDEX(Allocators!$C:$C,MATCH($F41,Allocators!$E:$E,0)),0)</f>
        <v>0</v>
      </c>
      <c r="H41" s="510">
        <f>IFERROR(INDEX(Allocators!$D:$D,MATCH($F41,Allocators!$E:$E,0)),1)</f>
        <v>1</v>
      </c>
      <c r="I41" s="207" t="s">
        <v>129</v>
      </c>
      <c r="J41" s="206"/>
      <c r="K41" s="206"/>
      <c r="L41" s="480">
        <f>-SUMIF('Wheat Integrated (Starch)'!$C:$C,'Costs per L'!$D41,'Wheat Integrated (Starch)'!L:L)/($O$2*10^6)*$H41/L$5</f>
        <v>5.7479872515548758E-2</v>
      </c>
      <c r="M41" s="480">
        <f>-SUMIF('Wheat Integrated (Starch)'!$C:$C,'Costs per L'!$D41,'Wheat Integrated (Starch)'!M:M)/($O$2*10^6)*$H41/M$5</f>
        <v>5.7479872515548744E-2</v>
      </c>
      <c r="N41" s="480">
        <f>-SUMIF('Wheat Integrated (Starch)'!$C:$C,'Costs per L'!$D41,'Wheat Integrated (Starch)'!N:N)/($O$2*10^6)*$H41/N$5</f>
        <v>5.7479872515548744E-2</v>
      </c>
      <c r="O41" s="480">
        <f>-SUMIF('Wheat Integrated (Starch)'!$C:$C,'Costs per L'!$D41,'Wheat Integrated (Starch)'!O:O)/($O$2*10^6)*$H41/O$5</f>
        <v>5.7479872515548744E-2</v>
      </c>
      <c r="P41" s="480">
        <f>-SUMIF('Wheat Integrated (Starch)'!$C:$C,'Costs per L'!$D41,'Wheat Integrated (Starch)'!P:P)/($O$2*10^6)*$H41/P$5</f>
        <v>5.7479872515548744E-2</v>
      </c>
      <c r="Q41" s="480">
        <f>-SUMIF('Wheat Integrated (Starch)'!$C:$C,'Costs per L'!$D41,'Wheat Integrated (Starch)'!Q:Q)/($O$2*10^6)*$H41/Q$5</f>
        <v>5.7479872515548744E-2</v>
      </c>
      <c r="R41" s="480">
        <f>-SUMIF('Wheat Integrated (Starch)'!$C:$C,'Costs per L'!$D41,'Wheat Integrated (Starch)'!R:R)/($O$2*10^6)*$H41/R$5</f>
        <v>5.7479872515548744E-2</v>
      </c>
      <c r="S41" s="480">
        <f>-SUMIF('Wheat Integrated (Starch)'!$C:$C,'Costs per L'!$D41,'Wheat Integrated (Starch)'!S:S)/($O$2*10^6)*$H41/S$5</f>
        <v>5.7479872515548744E-2</v>
      </c>
      <c r="T41" s="480">
        <f>-SUMIF('Wheat Integrated (Starch)'!$C:$C,'Costs per L'!$D41,'Wheat Integrated (Starch)'!T:T)/($O$2*10^6)*$H41/T$5</f>
        <v>5.7479872515548744E-2</v>
      </c>
      <c r="U41" s="480">
        <f>-SUMIF('Wheat Integrated (Starch)'!$C:$C,'Costs per L'!$D41,'Wheat Integrated (Starch)'!U:U)/($O$2*10^6)*$H41/U$5</f>
        <v>5.7479872515548744E-2</v>
      </c>
      <c r="V41" s="480">
        <f>-SUMIF('Wheat Integrated (Starch)'!$C:$C,'Costs per L'!$D41,'Wheat Integrated (Starch)'!V:V)/($O$2*10^6)*$H41/V$5</f>
        <v>5.7479872515548744E-2</v>
      </c>
      <c r="W41" s="480">
        <f>-SUMIF('Wheat Integrated (Starch)'!$C:$C,'Costs per L'!$D41,'Wheat Integrated (Starch)'!W:W)/($O$2*10^6)*$H41/W$5</f>
        <v>5.7479872515548744E-2</v>
      </c>
      <c r="X41" s="480">
        <f>-SUMIF('Wheat Integrated (Starch)'!$C:$C,'Costs per L'!$D41,'Wheat Integrated (Starch)'!X:X)/($O$2*10^6)*$H41/X$5</f>
        <v>5.7479872515548744E-2</v>
      </c>
      <c r="Y41" s="480">
        <f>-SUMIF('Wheat Integrated (Starch)'!$C:$C,'Costs per L'!$D41,'Wheat Integrated (Starch)'!Y:Y)/($O$2*10^6)*$H41/Y$5</f>
        <v>5.7479872515548744E-2</v>
      </c>
      <c r="Z41" s="481">
        <f>-SUMIF('Wheat Integrated (Starch)'!$C:$C,'Costs per L'!$D41,'Wheat Integrated (Starch)'!Z:Z)/($O$2*10^6)*$H41/Z$5</f>
        <v>5.7479872515548744E-2</v>
      </c>
      <c r="AA41" s="481">
        <f t="shared" si="9"/>
        <v>5.7479872515548751E-2</v>
      </c>
    </row>
    <row r="42" spans="2:27" ht="15" customHeight="1" x14ac:dyDescent="0.2">
      <c r="B42" s="564">
        <f t="shared" si="3"/>
        <v>0</v>
      </c>
      <c r="C42" s="564" t="str">
        <f t="shared" si="4"/>
        <v>Wheat Integrated (Starch)</v>
      </c>
      <c r="D42" s="157">
        <v>4</v>
      </c>
      <c r="E42" s="157"/>
      <c r="F42" s="511"/>
      <c r="G42" s="251">
        <f>IFERROR(INDEX(Allocators!$C:$C,MATCH($F42,Allocators!$E:$E,0)),0)</f>
        <v>0</v>
      </c>
      <c r="H42" s="510">
        <f>IFERROR(INDEX(Allocators!$D:$D,MATCH($F42,Allocators!$E:$E,0)),1)</f>
        <v>1</v>
      </c>
      <c r="I42" s="207" t="s">
        <v>218</v>
      </c>
      <c r="J42" s="206"/>
      <c r="K42" s="206"/>
      <c r="L42" s="480">
        <f>-SUMIF('Wheat Integrated (Starch)'!$C:$C,'Costs per L'!$D42,'Wheat Integrated (Starch)'!L:L)/($O$2*10^6)*$H42/L$5</f>
        <v>5.1537980375999999E-2</v>
      </c>
      <c r="M42" s="480">
        <f>-SUMIF('Wheat Integrated (Starch)'!$C:$C,'Costs per L'!$D42,'Wheat Integrated (Starch)'!M:M)/($O$2*10^6)*$H42/M$5</f>
        <v>4.6631985281999994E-2</v>
      </c>
      <c r="N42" s="480">
        <f>-SUMIF('Wheat Integrated (Starch)'!$C:$C,'Costs per L'!$D42,'Wheat Integrated (Starch)'!N:N)/($O$2*10^6)*$H42/N$5</f>
        <v>4.6631985281999994E-2</v>
      </c>
      <c r="O42" s="480">
        <f>-SUMIF('Wheat Integrated (Starch)'!$C:$C,'Costs per L'!$D42,'Wheat Integrated (Starch)'!O:O)/($O$2*10^6)*$H42/O$5</f>
        <v>4.6631985281999994E-2</v>
      </c>
      <c r="P42" s="480">
        <f>-SUMIF('Wheat Integrated (Starch)'!$C:$C,'Costs per L'!$D42,'Wheat Integrated (Starch)'!P:P)/($O$2*10^6)*$H42/P$5</f>
        <v>4.6631985281999994E-2</v>
      </c>
      <c r="Q42" s="480">
        <f>-SUMIF('Wheat Integrated (Starch)'!$C:$C,'Costs per L'!$D42,'Wheat Integrated (Starch)'!Q:Q)/($O$2*10^6)*$H42/Q$5</f>
        <v>4.6631985281999994E-2</v>
      </c>
      <c r="R42" s="480">
        <f>-SUMIF('Wheat Integrated (Starch)'!$C:$C,'Costs per L'!$D42,'Wheat Integrated (Starch)'!R:R)/($O$2*10^6)*$H42/R$5</f>
        <v>4.6631985281999994E-2</v>
      </c>
      <c r="S42" s="480">
        <f>-SUMIF('Wheat Integrated (Starch)'!$C:$C,'Costs per L'!$D42,'Wheat Integrated (Starch)'!S:S)/($O$2*10^6)*$H42/S$5</f>
        <v>4.6631985281999994E-2</v>
      </c>
      <c r="T42" s="480">
        <f>-SUMIF('Wheat Integrated (Starch)'!$C:$C,'Costs per L'!$D42,'Wheat Integrated (Starch)'!T:T)/($O$2*10^6)*$H42/T$5</f>
        <v>4.6631985281999994E-2</v>
      </c>
      <c r="U42" s="480">
        <f>-SUMIF('Wheat Integrated (Starch)'!$C:$C,'Costs per L'!$D42,'Wheat Integrated (Starch)'!U:U)/($O$2*10^6)*$H42/U$5</f>
        <v>4.6631985281999994E-2</v>
      </c>
      <c r="V42" s="480">
        <f>-SUMIF('Wheat Integrated (Starch)'!$C:$C,'Costs per L'!$D42,'Wheat Integrated (Starch)'!V:V)/($O$2*10^6)*$H42/V$5</f>
        <v>4.6631985281999994E-2</v>
      </c>
      <c r="W42" s="480">
        <f>-SUMIF('Wheat Integrated (Starch)'!$C:$C,'Costs per L'!$D42,'Wheat Integrated (Starch)'!W:W)/($O$2*10^6)*$H42/W$5</f>
        <v>4.6631985281999994E-2</v>
      </c>
      <c r="X42" s="480">
        <f>-SUMIF('Wheat Integrated (Starch)'!$C:$C,'Costs per L'!$D42,'Wheat Integrated (Starch)'!X:X)/($O$2*10^6)*$H42/X$5</f>
        <v>4.6631985281999994E-2</v>
      </c>
      <c r="Y42" s="480">
        <f>-SUMIF('Wheat Integrated (Starch)'!$C:$C,'Costs per L'!$D42,'Wheat Integrated (Starch)'!Y:Y)/($O$2*10^6)*$H42/Y$5</f>
        <v>4.6631985281999994E-2</v>
      </c>
      <c r="Z42" s="481">
        <f>-SUMIF('Wheat Integrated (Starch)'!$C:$C,'Costs per L'!$D42,'Wheat Integrated (Starch)'!Z:Z)/($O$2*10^6)*$H42/Z$5</f>
        <v>4.6631985281999994E-2</v>
      </c>
      <c r="AA42" s="481">
        <f t="shared" si="9"/>
        <v>4.6959051621599975E-2</v>
      </c>
    </row>
    <row r="43" spans="2:27" ht="15" customHeight="1" x14ac:dyDescent="0.2">
      <c r="B43" s="564">
        <f t="shared" si="3"/>
        <v>0</v>
      </c>
      <c r="C43" s="564" t="str">
        <f t="shared" si="4"/>
        <v>Wheat Integrated (Starch)</v>
      </c>
      <c r="D43" s="157">
        <v>5</v>
      </c>
      <c r="E43" s="157"/>
      <c r="F43" s="511"/>
      <c r="G43" s="251">
        <f>IFERROR(INDEX(Allocators!$C:$C,MATCH($F43,Allocators!$E:$E,0)),0)</f>
        <v>0</v>
      </c>
      <c r="H43" s="510">
        <f>IFERROR(INDEX(Allocators!$D:$D,MATCH($F43,Allocators!$E:$E,0)),1)</f>
        <v>1</v>
      </c>
      <c r="I43" s="207" t="s">
        <v>525</v>
      </c>
      <c r="J43" s="206"/>
      <c r="K43" s="206"/>
      <c r="L43" s="480">
        <f>-SUMIF('Wheat Integrated (Starch)'!$C:$C,'Costs per L'!$D43,'Wheat Integrated (Starch)'!L:L)/($O$2*10^6)*$H43/L$5</f>
        <v>2.9100000000000001E-2</v>
      </c>
      <c r="M43" s="480">
        <f>-SUMIF('Wheat Integrated (Starch)'!$C:$C,'Costs per L'!$D43,'Wheat Integrated (Starch)'!M:M)/($O$2*10^6)*$H43/M$5</f>
        <v>2.9100000000000001E-2</v>
      </c>
      <c r="N43" s="480">
        <f>-SUMIF('Wheat Integrated (Starch)'!$C:$C,'Costs per L'!$D43,'Wheat Integrated (Starch)'!N:N)/($O$2*10^6)*$H43/N$5</f>
        <v>2.9100000000000001E-2</v>
      </c>
      <c r="O43" s="480">
        <f>-SUMIF('Wheat Integrated (Starch)'!$C:$C,'Costs per L'!$D43,'Wheat Integrated (Starch)'!O:O)/($O$2*10^6)*$H43/O$5</f>
        <v>2.9100000000000001E-2</v>
      </c>
      <c r="P43" s="480">
        <f>-SUMIF('Wheat Integrated (Starch)'!$C:$C,'Costs per L'!$D43,'Wheat Integrated (Starch)'!P:P)/($O$2*10^6)*$H43/P$5</f>
        <v>2.9100000000000001E-2</v>
      </c>
      <c r="Q43" s="480">
        <f>-SUMIF('Wheat Integrated (Starch)'!$C:$C,'Costs per L'!$D43,'Wheat Integrated (Starch)'!Q:Q)/($O$2*10^6)*$H43/Q$5</f>
        <v>2.9100000000000001E-2</v>
      </c>
      <c r="R43" s="480">
        <f>-SUMIF('Wheat Integrated (Starch)'!$C:$C,'Costs per L'!$D43,'Wheat Integrated (Starch)'!R:R)/($O$2*10^6)*$H43/R$5</f>
        <v>2.9100000000000001E-2</v>
      </c>
      <c r="S43" s="480">
        <f>-SUMIF('Wheat Integrated (Starch)'!$C:$C,'Costs per L'!$D43,'Wheat Integrated (Starch)'!S:S)/($O$2*10^6)*$H43/S$5</f>
        <v>2.9100000000000001E-2</v>
      </c>
      <c r="T43" s="480">
        <f>-SUMIF('Wheat Integrated (Starch)'!$C:$C,'Costs per L'!$D43,'Wheat Integrated (Starch)'!T:T)/($O$2*10^6)*$H43/T$5</f>
        <v>2.9100000000000001E-2</v>
      </c>
      <c r="U43" s="480">
        <f>-SUMIF('Wheat Integrated (Starch)'!$C:$C,'Costs per L'!$D43,'Wheat Integrated (Starch)'!U:U)/($O$2*10^6)*$H43/U$5</f>
        <v>2.9100000000000001E-2</v>
      </c>
      <c r="V43" s="480">
        <f>-SUMIF('Wheat Integrated (Starch)'!$C:$C,'Costs per L'!$D43,'Wheat Integrated (Starch)'!V:V)/($O$2*10^6)*$H43/V$5</f>
        <v>2.9100000000000001E-2</v>
      </c>
      <c r="W43" s="480">
        <f>-SUMIF('Wheat Integrated (Starch)'!$C:$C,'Costs per L'!$D43,'Wheat Integrated (Starch)'!W:W)/($O$2*10^6)*$H43/W$5</f>
        <v>2.9100000000000001E-2</v>
      </c>
      <c r="X43" s="480">
        <f>-SUMIF('Wheat Integrated (Starch)'!$C:$C,'Costs per L'!$D43,'Wheat Integrated (Starch)'!X:X)/($O$2*10^6)*$H43/X$5</f>
        <v>2.9100000000000001E-2</v>
      </c>
      <c r="Y43" s="480">
        <f>-SUMIF('Wheat Integrated (Starch)'!$C:$C,'Costs per L'!$D43,'Wheat Integrated (Starch)'!Y:Y)/($O$2*10^6)*$H43/Y$5</f>
        <v>2.9100000000000001E-2</v>
      </c>
      <c r="Z43" s="481">
        <f>-SUMIF('Wheat Integrated (Starch)'!$C:$C,'Costs per L'!$D43,'Wheat Integrated (Starch)'!Z:Z)/($O$2*10^6)*$H43/Z$5</f>
        <v>2.9100000000000001E-2</v>
      </c>
      <c r="AA43" s="481">
        <f t="shared" si="9"/>
        <v>2.9100000000000011E-2</v>
      </c>
    </row>
    <row r="44" spans="2:27" ht="15" customHeight="1" x14ac:dyDescent="0.2">
      <c r="B44" s="564">
        <f t="shared" si="3"/>
        <v>0</v>
      </c>
      <c r="C44" s="564" t="str">
        <f t="shared" si="4"/>
        <v>Wheat Integrated (Starch)</v>
      </c>
      <c r="D44" s="157">
        <v>6</v>
      </c>
      <c r="E44" s="157"/>
      <c r="F44" s="511"/>
      <c r="G44" s="251">
        <f>IFERROR(INDEX(Allocators!$C:$C,MATCH($F44,Allocators!$E:$E,0)),0)</f>
        <v>0</v>
      </c>
      <c r="H44" s="510">
        <f>IFERROR(INDEX(Allocators!$D:$D,MATCH($F44,Allocators!$E:$E,0)),1)</f>
        <v>1</v>
      </c>
      <c r="I44" s="207" t="s">
        <v>448</v>
      </c>
      <c r="J44" s="206"/>
      <c r="K44" s="206"/>
      <c r="L44" s="480">
        <f>-SUMIF('Wheat Integrated (Starch)'!$C:$C,'Costs per L'!$D44,'Wheat Integrated (Starch)'!L:L)/($O$2*10^6)*$H44/L$5</f>
        <v>1.2415900000000001E-2</v>
      </c>
      <c r="M44" s="480">
        <f>-SUMIF('Wheat Integrated (Starch)'!$C:$C,'Costs per L'!$D44,'Wheat Integrated (Starch)'!M:M)/($O$2*10^6)*$H44/M$5</f>
        <v>1.2415900000000001E-2</v>
      </c>
      <c r="N44" s="480">
        <f>-SUMIF('Wheat Integrated (Starch)'!$C:$C,'Costs per L'!$D44,'Wheat Integrated (Starch)'!N:N)/($O$2*10^6)*$H44/N$5</f>
        <v>1.2415900000000001E-2</v>
      </c>
      <c r="O44" s="480">
        <f>-SUMIF('Wheat Integrated (Starch)'!$C:$C,'Costs per L'!$D44,'Wheat Integrated (Starch)'!O:O)/($O$2*10^6)*$H44/O$5</f>
        <v>1.2415900000000001E-2</v>
      </c>
      <c r="P44" s="480">
        <f>-SUMIF('Wheat Integrated (Starch)'!$C:$C,'Costs per L'!$D44,'Wheat Integrated (Starch)'!P:P)/($O$2*10^6)*$H44/P$5</f>
        <v>1.2415900000000001E-2</v>
      </c>
      <c r="Q44" s="480">
        <f>-SUMIF('Wheat Integrated (Starch)'!$C:$C,'Costs per L'!$D44,'Wheat Integrated (Starch)'!Q:Q)/($O$2*10^6)*$H44/Q$5</f>
        <v>1.2415900000000001E-2</v>
      </c>
      <c r="R44" s="480">
        <f>-SUMIF('Wheat Integrated (Starch)'!$C:$C,'Costs per L'!$D44,'Wheat Integrated (Starch)'!R:R)/($O$2*10^6)*$H44/R$5</f>
        <v>1.2415900000000001E-2</v>
      </c>
      <c r="S44" s="480">
        <f>-SUMIF('Wheat Integrated (Starch)'!$C:$C,'Costs per L'!$D44,'Wheat Integrated (Starch)'!S:S)/($O$2*10^6)*$H44/S$5</f>
        <v>1.2415900000000001E-2</v>
      </c>
      <c r="T44" s="480">
        <f>-SUMIF('Wheat Integrated (Starch)'!$C:$C,'Costs per L'!$D44,'Wheat Integrated (Starch)'!T:T)/($O$2*10^6)*$H44/T$5</f>
        <v>1.2415900000000001E-2</v>
      </c>
      <c r="U44" s="480">
        <f>-SUMIF('Wheat Integrated (Starch)'!$C:$C,'Costs per L'!$D44,'Wheat Integrated (Starch)'!U:U)/($O$2*10^6)*$H44/U$5</f>
        <v>1.2415900000000001E-2</v>
      </c>
      <c r="V44" s="480">
        <f>-SUMIF('Wheat Integrated (Starch)'!$C:$C,'Costs per L'!$D44,'Wheat Integrated (Starch)'!V:V)/($O$2*10^6)*$H44/V$5</f>
        <v>1.2415900000000001E-2</v>
      </c>
      <c r="W44" s="480">
        <f>-SUMIF('Wheat Integrated (Starch)'!$C:$C,'Costs per L'!$D44,'Wheat Integrated (Starch)'!W:W)/($O$2*10^6)*$H44/W$5</f>
        <v>1.2415900000000001E-2</v>
      </c>
      <c r="X44" s="480">
        <f>-SUMIF('Wheat Integrated (Starch)'!$C:$C,'Costs per L'!$D44,'Wheat Integrated (Starch)'!X:X)/($O$2*10^6)*$H44/X$5</f>
        <v>1.2415900000000001E-2</v>
      </c>
      <c r="Y44" s="480">
        <f>-SUMIF('Wheat Integrated (Starch)'!$C:$C,'Costs per L'!$D44,'Wheat Integrated (Starch)'!Y:Y)/($O$2*10^6)*$H44/Y$5</f>
        <v>1.2415900000000001E-2</v>
      </c>
      <c r="Z44" s="481">
        <f>-SUMIF('Wheat Integrated (Starch)'!$C:$C,'Costs per L'!$D44,'Wheat Integrated (Starch)'!Z:Z)/($O$2*10^6)*$H44/Z$5</f>
        <v>1.2415900000000001E-2</v>
      </c>
      <c r="AA44" s="481">
        <f t="shared" si="9"/>
        <v>1.2415900000000004E-2</v>
      </c>
    </row>
    <row r="45" spans="2:27" ht="15" customHeight="1" x14ac:dyDescent="0.2">
      <c r="B45" s="564">
        <f t="shared" si="3"/>
        <v>0</v>
      </c>
      <c r="C45" s="564" t="str">
        <f t="shared" si="4"/>
        <v>Wheat Integrated (Starch)</v>
      </c>
      <c r="D45" s="157">
        <v>7</v>
      </c>
      <c r="E45" s="157"/>
      <c r="F45" s="511"/>
      <c r="G45" s="251">
        <f>IFERROR(INDEX(Allocators!$C:$C,MATCH($F45,Allocators!$E:$E,0)),0)</f>
        <v>0</v>
      </c>
      <c r="H45" s="510">
        <f>IFERROR(INDEX(Allocators!$D:$D,MATCH($F45,Allocators!$E:$E,0)),1)</f>
        <v>1</v>
      </c>
      <c r="I45" s="181" t="s">
        <v>184</v>
      </c>
      <c r="J45" s="206"/>
      <c r="K45" s="206"/>
      <c r="L45" s="480">
        <f>-SUMIF('Wheat Integrated (Starch)'!$C:$C,'Costs per L'!$D45,'Wheat Integrated (Starch)'!L:L)/($O$2*10^6)*$H45/L$5</f>
        <v>8.0272795994448295E-2</v>
      </c>
      <c r="M45" s="480">
        <f>-SUMIF('Wheat Integrated (Starch)'!$C:$C,'Costs per L'!$D45,'Wheat Integrated (Starch)'!M:M)/($O$2*10^6)*$H45/M$5</f>
        <v>8.0272795994448282E-2</v>
      </c>
      <c r="N45" s="480">
        <f>-SUMIF('Wheat Integrated (Starch)'!$C:$C,'Costs per L'!$D45,'Wheat Integrated (Starch)'!N:N)/($O$2*10^6)*$H45/N$5</f>
        <v>8.0272795994448282E-2</v>
      </c>
      <c r="O45" s="480">
        <f>-SUMIF('Wheat Integrated (Starch)'!$C:$C,'Costs per L'!$D45,'Wheat Integrated (Starch)'!O:O)/($O$2*10^6)*$H45/O$5</f>
        <v>8.0272795994448282E-2</v>
      </c>
      <c r="P45" s="480">
        <f>-SUMIF('Wheat Integrated (Starch)'!$C:$C,'Costs per L'!$D45,'Wheat Integrated (Starch)'!P:P)/($O$2*10^6)*$H45/P$5</f>
        <v>8.0272795994448282E-2</v>
      </c>
      <c r="Q45" s="480">
        <f>-SUMIF('Wheat Integrated (Starch)'!$C:$C,'Costs per L'!$D45,'Wheat Integrated (Starch)'!Q:Q)/($O$2*10^6)*$H45/Q$5</f>
        <v>8.0272795994448282E-2</v>
      </c>
      <c r="R45" s="480">
        <f>-SUMIF('Wheat Integrated (Starch)'!$C:$C,'Costs per L'!$D45,'Wheat Integrated (Starch)'!R:R)/($O$2*10^6)*$H45/R$5</f>
        <v>8.0272795994448282E-2</v>
      </c>
      <c r="S45" s="480">
        <f>-SUMIF('Wheat Integrated (Starch)'!$C:$C,'Costs per L'!$D45,'Wheat Integrated (Starch)'!S:S)/($O$2*10^6)*$H45/S$5</f>
        <v>8.0272795994448282E-2</v>
      </c>
      <c r="T45" s="480">
        <f>-SUMIF('Wheat Integrated (Starch)'!$C:$C,'Costs per L'!$D45,'Wheat Integrated (Starch)'!T:T)/($O$2*10^6)*$H45/T$5</f>
        <v>8.0272795994448282E-2</v>
      </c>
      <c r="U45" s="480">
        <f>-SUMIF('Wheat Integrated (Starch)'!$C:$C,'Costs per L'!$D45,'Wheat Integrated (Starch)'!U:U)/($O$2*10^6)*$H45/U$5</f>
        <v>8.0272795994448282E-2</v>
      </c>
      <c r="V45" s="480">
        <f>-SUMIF('Wheat Integrated (Starch)'!$C:$C,'Costs per L'!$D45,'Wheat Integrated (Starch)'!V:V)/($O$2*10^6)*$H45/V$5</f>
        <v>8.0272795994448282E-2</v>
      </c>
      <c r="W45" s="480">
        <f>-SUMIF('Wheat Integrated (Starch)'!$C:$C,'Costs per L'!$D45,'Wheat Integrated (Starch)'!W:W)/($O$2*10^6)*$H45/W$5</f>
        <v>8.0272795994448282E-2</v>
      </c>
      <c r="X45" s="480">
        <f>-SUMIF('Wheat Integrated (Starch)'!$C:$C,'Costs per L'!$D45,'Wheat Integrated (Starch)'!X:X)/($O$2*10^6)*$H45/X$5</f>
        <v>8.0272795994448282E-2</v>
      </c>
      <c r="Y45" s="480">
        <f>-SUMIF('Wheat Integrated (Starch)'!$C:$C,'Costs per L'!$D45,'Wheat Integrated (Starch)'!Y:Y)/($O$2*10^6)*$H45/Y$5</f>
        <v>8.0272795994448282E-2</v>
      </c>
      <c r="Z45" s="481">
        <f>-SUMIF('Wheat Integrated (Starch)'!$C:$C,'Costs per L'!$D45,'Wheat Integrated (Starch)'!Z:Z)/($O$2*10^6)*$H45/Z$5</f>
        <v>8.0272795994448282E-2</v>
      </c>
      <c r="AA45" s="481">
        <f t="shared" si="9"/>
        <v>8.0272795994448268E-2</v>
      </c>
    </row>
    <row r="46" spans="2:27" ht="15" customHeight="1" thickBot="1" x14ac:dyDescent="0.25">
      <c r="B46" s="564" t="str">
        <f t="shared" si="3"/>
        <v>Wheat Integrated (Starch).Total production costs ($/L) before depreciation and interest</v>
      </c>
      <c r="C46" s="564" t="str">
        <f t="shared" si="4"/>
        <v>Wheat Integrated (Starch)</v>
      </c>
      <c r="G46">
        <f>IFERROR(INDEX(Allocators!$C:$C,MATCH($F46,Allocators!$E:$E,0)),0)</f>
        <v>0</v>
      </c>
      <c r="H46" s="172">
        <f>IFERROR(INDEX(Allocators!$D:$D,MATCH($F46,Allocators!$E:$E,0)),1)</f>
        <v>1</v>
      </c>
      <c r="I46" s="183" t="s">
        <v>633</v>
      </c>
      <c r="J46" s="204"/>
      <c r="K46" s="204"/>
      <c r="L46" s="482">
        <f t="shared" ref="L46:Z46" si="10">SUM(L39:L45)</f>
        <v>0.6220884134771939</v>
      </c>
      <c r="M46" s="482">
        <f t="shared" si="10"/>
        <v>0.61718241838319388</v>
      </c>
      <c r="N46" s="482">
        <f t="shared" si="10"/>
        <v>0.61718241838319388</v>
      </c>
      <c r="O46" s="482">
        <f t="shared" si="10"/>
        <v>0.61718241838319388</v>
      </c>
      <c r="P46" s="482">
        <f t="shared" si="10"/>
        <v>0.61718241838319388</v>
      </c>
      <c r="Q46" s="482">
        <f t="shared" si="10"/>
        <v>0.61718241838319388</v>
      </c>
      <c r="R46" s="482">
        <f t="shared" si="10"/>
        <v>0.61718241838319388</v>
      </c>
      <c r="S46" s="482">
        <f t="shared" si="10"/>
        <v>0.61718241838319388</v>
      </c>
      <c r="T46" s="482">
        <f t="shared" si="10"/>
        <v>0.61718241838319388</v>
      </c>
      <c r="U46" s="482">
        <f t="shared" si="10"/>
        <v>0.61718241838319388</v>
      </c>
      <c r="V46" s="482">
        <f t="shared" si="10"/>
        <v>0.61718241838319388</v>
      </c>
      <c r="W46" s="482">
        <f t="shared" si="10"/>
        <v>0.61718241838319388</v>
      </c>
      <c r="X46" s="482">
        <f t="shared" si="10"/>
        <v>0.61718241838319388</v>
      </c>
      <c r="Y46" s="482">
        <f t="shared" si="10"/>
        <v>0.61718241838319388</v>
      </c>
      <c r="Z46" s="483">
        <f t="shared" si="10"/>
        <v>0.61718241838319388</v>
      </c>
      <c r="AA46" s="483">
        <f t="shared" si="9"/>
        <v>0.61750948472279388</v>
      </c>
    </row>
    <row r="47" spans="2:27" ht="15" customHeight="1" x14ac:dyDescent="0.2">
      <c r="B47" s="564" t="str">
        <f t="shared" si="3"/>
        <v>Wheat Integrated (Starch).Cost of Capital (Depreciation)</v>
      </c>
      <c r="C47" s="564" t="str">
        <f t="shared" si="4"/>
        <v>Wheat Integrated (Starch)</v>
      </c>
      <c r="F47" s="511"/>
      <c r="G47" s="251">
        <f>IFERROR(INDEX(Allocators!$C:$C,MATCH($F47,Allocators!$E:$E,0)),0)</f>
        <v>0</v>
      </c>
      <c r="H47" s="510">
        <f>IFERROR(INDEX(Allocators!$D:$D,MATCH($F47,Allocators!$E:$E,0)),1)</f>
        <v>1</v>
      </c>
      <c r="I47" s="181" t="s">
        <v>471</v>
      </c>
      <c r="J47" s="203"/>
      <c r="K47" s="203"/>
      <c r="L47" s="484">
        <f>Depreciation!L67/$O$2/(10^6)/L$5*$H47</f>
        <v>6.5413333333333337E-2</v>
      </c>
      <c r="M47" s="484">
        <f>Depreciation!M67/$O$2/(10^6)/M$5*$H47</f>
        <v>4.9059999999999999E-2</v>
      </c>
      <c r="N47" s="484">
        <f>Depreciation!N67/$O$2/(10^6)/N$5*$H47</f>
        <v>4.9059999999999999E-2</v>
      </c>
      <c r="O47" s="484">
        <f>Depreciation!O67/$O$2/(10^6)/O$5*$H47</f>
        <v>4.9059999999999999E-2</v>
      </c>
      <c r="P47" s="484">
        <f>Depreciation!P67/$O$2/(10^6)/P$5*$H47</f>
        <v>4.9059999999999999E-2</v>
      </c>
      <c r="Q47" s="484">
        <f>Depreciation!Q67/$O$2/(10^6)/Q$5*$H47</f>
        <v>4.9059999999999999E-2</v>
      </c>
      <c r="R47" s="484">
        <f>Depreciation!R67/$O$2/(10^6)/R$5*$H47</f>
        <v>4.9059999999999999E-2</v>
      </c>
      <c r="S47" s="484">
        <f>Depreciation!S67/$O$2/(10^6)/S$5*$H47</f>
        <v>4.9059999999999999E-2</v>
      </c>
      <c r="T47" s="484">
        <f>Depreciation!T67/$O$2/(10^6)/T$5*$H47</f>
        <v>4.9059999999999999E-2</v>
      </c>
      <c r="U47" s="484">
        <f>Depreciation!U67/$O$2/(10^6)/U$5*$H47</f>
        <v>4.9059999999999999E-2</v>
      </c>
      <c r="V47" s="484">
        <f>Depreciation!V67/$O$2/(10^6)/V$5*$H47</f>
        <v>4.9059999999999999E-2</v>
      </c>
      <c r="W47" s="484">
        <f>Depreciation!W67/$O$2/(10^6)/W$5*$H47</f>
        <v>4.9059999999999999E-2</v>
      </c>
      <c r="X47" s="484">
        <f>Depreciation!X67/$O$2/(10^6)/X$5*$H47</f>
        <v>4.9059999999999999E-2</v>
      </c>
      <c r="Y47" s="484">
        <f>Depreciation!Y67/$O$2/(10^6)/Y$5*$H47</f>
        <v>4.9059999999999999E-2</v>
      </c>
      <c r="Z47" s="485">
        <f>Depreciation!Z67/$O$2/(10^6)/Z$5*$H47</f>
        <v>4.9059999999999999E-2</v>
      </c>
      <c r="AA47" s="485">
        <f t="shared" ref="AA47:AA48" si="11">AVERAGE(L47:Z47)</f>
        <v>5.0150222222222221E-2</v>
      </c>
    </row>
    <row r="48" spans="2:27" ht="15" customHeight="1" x14ac:dyDescent="0.2">
      <c r="B48" s="564" t="str">
        <f t="shared" si="3"/>
        <v>Wheat Integrated (Starch).Interest</v>
      </c>
      <c r="C48" s="564" t="str">
        <f t="shared" si="4"/>
        <v>Wheat Integrated (Starch)</v>
      </c>
      <c r="F48" s="511"/>
      <c r="G48" s="251">
        <f>IFERROR(INDEX(Allocators!$C:$C,MATCH($F48,Allocators!$E:$E,0)),0)</f>
        <v>0</v>
      </c>
      <c r="H48" s="510">
        <f>IFERROR(INDEX(Allocators!$D:$D,MATCH($F48,Allocators!$E:$E,0)),1)</f>
        <v>1</v>
      </c>
      <c r="I48" s="181" t="s">
        <v>470</v>
      </c>
      <c r="J48" s="203"/>
      <c r="K48" s="203"/>
      <c r="L48" s="484">
        <f>INDEX('Loan Repayments'!$P$14:$P$63,MATCH(L$8,'Loan Repayments'!$K$14:$K$63,0))
/($O$2*10^6)/L$5*$H48</f>
        <v>3.9845679242373797E-2</v>
      </c>
      <c r="M48" s="484">
        <f>INDEX('Loan Repayments'!$P$14:$P$63,MATCH(M$8,'Loan Repayments'!$K$14:$K$63,0))
/($O$2*10^6)/M$5*$H48</f>
        <v>2.9884259431780347E-2</v>
      </c>
      <c r="N48" s="484">
        <f>INDEX('Loan Repayments'!$P$14:$P$63,MATCH(N$8,'Loan Repayments'!$K$14:$K$63,0))
/($O$2*10^6)/N$5*$H48</f>
        <v>2.9884259431780347E-2</v>
      </c>
      <c r="O48" s="484">
        <f>INDEX('Loan Repayments'!$P$14:$P$63,MATCH(O$8,'Loan Repayments'!$K$14:$K$63,0))
/($O$2*10^6)/O$5*$H48</f>
        <v>2.9884259431780347E-2</v>
      </c>
      <c r="P48" s="484">
        <f>INDEX('Loan Repayments'!$P$14:$P$63,MATCH(P$8,'Loan Repayments'!$K$14:$K$63,0))
/($O$2*10^6)/P$5*$H48</f>
        <v>2.9884259431780347E-2</v>
      </c>
      <c r="Q48" s="484">
        <f>INDEX('Loan Repayments'!$P$14:$P$63,MATCH(Q$8,'Loan Repayments'!$K$14:$K$63,0))
/($O$2*10^6)/Q$5*$H48</f>
        <v>2.9884259431780347E-2</v>
      </c>
      <c r="R48" s="484">
        <f>INDEX('Loan Repayments'!$P$14:$P$63,MATCH(R$8,'Loan Repayments'!$K$14:$K$63,0))
/($O$2*10^6)/R$5*$H48</f>
        <v>2.9884259431780347E-2</v>
      </c>
      <c r="S48" s="484">
        <f>INDEX('Loan Repayments'!$P$14:$P$63,MATCH(S$8,'Loan Repayments'!$K$14:$K$63,0))
/($O$2*10^6)/S$5*$H48</f>
        <v>2.9884259431780347E-2</v>
      </c>
      <c r="T48" s="484">
        <f>INDEX('Loan Repayments'!$P$14:$P$63,MATCH(T$8,'Loan Repayments'!$K$14:$K$63,0))
/($O$2*10^6)/T$5*$H48</f>
        <v>2.9884259431780347E-2</v>
      </c>
      <c r="U48" s="484">
        <f>INDEX('Loan Repayments'!$P$14:$P$63,MATCH(U$8,'Loan Repayments'!$K$14:$K$63,0))
/($O$2*10^6)/U$5*$H48</f>
        <v>2.9884259431780347E-2</v>
      </c>
      <c r="V48" s="484">
        <f>INDEX('Loan Repayments'!$P$14:$P$63,MATCH(V$8,'Loan Repayments'!$K$14:$K$63,0))
/($O$2*10^6)/V$5*$H48</f>
        <v>2.9884259431780347E-2</v>
      </c>
      <c r="W48" s="484">
        <f>INDEX('Loan Repayments'!$P$14:$P$63,MATCH(W$8,'Loan Repayments'!$K$14:$K$63,0))
/($O$2*10^6)/W$5*$H48</f>
        <v>2.9884259431780347E-2</v>
      </c>
      <c r="X48" s="484">
        <f>INDEX('Loan Repayments'!$P$14:$P$63,MATCH(X$8,'Loan Repayments'!$K$14:$K$63,0))
/($O$2*10^6)/X$5*$H48</f>
        <v>2.9884259431780347E-2</v>
      </c>
      <c r="Y48" s="484">
        <f>INDEX('Loan Repayments'!$P$14:$P$63,MATCH(Y$8,'Loan Repayments'!$K$14:$K$63,0))
/($O$2*10^6)/Y$5*$H48</f>
        <v>2.9884259431780347E-2</v>
      </c>
      <c r="Z48" s="485">
        <f>INDEX('Loan Repayments'!$P$14:$P$63,MATCH(Z$8,'Loan Repayments'!$K$14:$K$63,0))
/($O$2*10^6)/Z$5*$H48</f>
        <v>2.9884259431780347E-2</v>
      </c>
      <c r="AA48" s="485">
        <f t="shared" si="11"/>
        <v>3.0548354085819917E-2</v>
      </c>
    </row>
    <row r="49" spans="2:27" ht="15" customHeight="1" thickBot="1" x14ac:dyDescent="0.25">
      <c r="B49" s="564" t="str">
        <f t="shared" si="3"/>
        <v>Wheat Integrated (Starch).Total production cost ($/L)</v>
      </c>
      <c r="C49" s="564" t="str">
        <f t="shared" si="4"/>
        <v>Wheat Integrated (Starch)</v>
      </c>
      <c r="G49">
        <f>IFERROR(INDEX(Allocators!$C:$C,MATCH($F49,Allocators!$E:$E,0)),0)</f>
        <v>0</v>
      </c>
      <c r="H49">
        <f>IFERROR(INDEX(Allocators!$D:$D,MATCH($F49,Allocators!$E:$E,0)),1)</f>
        <v>1</v>
      </c>
      <c r="I49" s="183" t="s">
        <v>632</v>
      </c>
      <c r="J49" s="204"/>
      <c r="K49" s="204"/>
      <c r="L49" s="482">
        <f t="shared" ref="L49:Z49" si="12">SUM(L46,L47)</f>
        <v>0.68750174681052723</v>
      </c>
      <c r="M49" s="482">
        <f t="shared" si="12"/>
        <v>0.66624241838319387</v>
      </c>
      <c r="N49" s="482">
        <f t="shared" si="12"/>
        <v>0.66624241838319387</v>
      </c>
      <c r="O49" s="482">
        <f t="shared" si="12"/>
        <v>0.66624241838319387</v>
      </c>
      <c r="P49" s="482">
        <f t="shared" si="12"/>
        <v>0.66624241838319387</v>
      </c>
      <c r="Q49" s="482">
        <f t="shared" si="12"/>
        <v>0.66624241838319387</v>
      </c>
      <c r="R49" s="482">
        <f t="shared" si="12"/>
        <v>0.66624241838319387</v>
      </c>
      <c r="S49" s="482">
        <f t="shared" si="12"/>
        <v>0.66624241838319387</v>
      </c>
      <c r="T49" s="482">
        <f t="shared" si="12"/>
        <v>0.66624241838319387</v>
      </c>
      <c r="U49" s="482">
        <f t="shared" si="12"/>
        <v>0.66624241838319387</v>
      </c>
      <c r="V49" s="482">
        <f t="shared" si="12"/>
        <v>0.66624241838319387</v>
      </c>
      <c r="W49" s="482">
        <f t="shared" si="12"/>
        <v>0.66624241838319387</v>
      </c>
      <c r="X49" s="482">
        <f t="shared" si="12"/>
        <v>0.66624241838319387</v>
      </c>
      <c r="Y49" s="482">
        <f t="shared" si="12"/>
        <v>0.66624241838319387</v>
      </c>
      <c r="Z49" s="483">
        <f t="shared" si="12"/>
        <v>0.66624241838319387</v>
      </c>
      <c r="AA49" s="483">
        <f>SUM(AA46:AA48)</f>
        <v>0.69820806103083599</v>
      </c>
    </row>
    <row r="50" spans="2:27" x14ac:dyDescent="0.2">
      <c r="B50" s="564">
        <f t="shared" si="3"/>
        <v>0</v>
      </c>
      <c r="C50" s="564" t="str">
        <f t="shared" si="4"/>
        <v>Wheat Integrated (Starch)</v>
      </c>
      <c r="D50" s="157">
        <v>8</v>
      </c>
      <c r="F50" s="511"/>
      <c r="G50" s="251">
        <f>IFERROR(INDEX(Allocators!$C:$C,MATCH($F50,Allocators!$E:$E,0)),0)</f>
        <v>0</v>
      </c>
      <c r="H50" s="510">
        <f>IFERROR(INDEX(Allocators!$D:$D,MATCH($F50,Allocators!$E:$E,0)),1)</f>
        <v>1</v>
      </c>
      <c r="I50" s="525" t="s">
        <v>690</v>
      </c>
      <c r="J50" s="514"/>
      <c r="K50" s="514"/>
      <c r="L50" s="521">
        <f>-SUMIF('Wheat Integrated (Starch)'!$C:$C,'Costs per L'!$D50,'Wheat Integrated (Starch)'!L:L)/($O$2*10^6)*$H50/L$5</f>
        <v>-0.12901684889785633</v>
      </c>
      <c r="M50" s="521">
        <f>-SUMIF('Wheat Integrated (Starch)'!$C:$C,'Costs per L'!$D50,'Wheat Integrated (Starch)'!M:M)/($O$2*10^6)*$H50/M$5</f>
        <v>-0.12901684889785633</v>
      </c>
      <c r="N50" s="521">
        <f>-SUMIF('Wheat Integrated (Starch)'!$C:$C,'Costs per L'!$D50,'Wheat Integrated (Starch)'!N:N)/($O$2*10^6)*$H50/N$5</f>
        <v>-0.12901684889785633</v>
      </c>
      <c r="O50" s="521">
        <f>-SUMIF('Wheat Integrated (Starch)'!$C:$C,'Costs per L'!$D50,'Wheat Integrated (Starch)'!O:O)/($O$2*10^6)*$H50/O$5</f>
        <v>-0.12901684889785633</v>
      </c>
      <c r="P50" s="521">
        <f>-SUMIF('Wheat Integrated (Starch)'!$C:$C,'Costs per L'!$D50,'Wheat Integrated (Starch)'!P:P)/($O$2*10^6)*$H50/P$5</f>
        <v>-0.12901684889785633</v>
      </c>
      <c r="Q50" s="521">
        <f>-SUMIF('Wheat Integrated (Starch)'!$C:$C,'Costs per L'!$D50,'Wheat Integrated (Starch)'!Q:Q)/($O$2*10^6)*$H50/Q$5</f>
        <v>-0.12901684889785633</v>
      </c>
      <c r="R50" s="521">
        <f>-SUMIF('Wheat Integrated (Starch)'!$C:$C,'Costs per L'!$D50,'Wheat Integrated (Starch)'!R:R)/($O$2*10^6)*$H50/R$5</f>
        <v>-0.12901684889785633</v>
      </c>
      <c r="S50" s="521">
        <f>-SUMIF('Wheat Integrated (Starch)'!$C:$C,'Costs per L'!$D50,'Wheat Integrated (Starch)'!S:S)/($O$2*10^6)*$H50/S$5</f>
        <v>-0.12901684889785633</v>
      </c>
      <c r="T50" s="521">
        <f>-SUMIF('Wheat Integrated (Starch)'!$C:$C,'Costs per L'!$D50,'Wheat Integrated (Starch)'!T:T)/($O$2*10^6)*$H50/T$5</f>
        <v>-0.12901684889785633</v>
      </c>
      <c r="U50" s="521">
        <f>-SUMIF('Wheat Integrated (Starch)'!$C:$C,'Costs per L'!$D50,'Wheat Integrated (Starch)'!U:U)/($O$2*10^6)*$H50/U$5</f>
        <v>-0.12901684889785633</v>
      </c>
      <c r="V50" s="521">
        <f>-SUMIF('Wheat Integrated (Starch)'!$C:$C,'Costs per L'!$D50,'Wheat Integrated (Starch)'!V:V)/($O$2*10^6)*$H50/V$5</f>
        <v>-0.12901684889785633</v>
      </c>
      <c r="W50" s="521">
        <f>-SUMIF('Wheat Integrated (Starch)'!$C:$C,'Costs per L'!$D50,'Wheat Integrated (Starch)'!W:W)/($O$2*10^6)*$H50/W$5</f>
        <v>-0.12901684889785633</v>
      </c>
      <c r="X50" s="521">
        <f>-SUMIF('Wheat Integrated (Starch)'!$C:$C,'Costs per L'!$D50,'Wheat Integrated (Starch)'!X:X)/($O$2*10^6)*$H50/X$5</f>
        <v>-0.12901684889785633</v>
      </c>
      <c r="Y50" s="521">
        <f>-SUMIF('Wheat Integrated (Starch)'!$C:$C,'Costs per L'!$D50,'Wheat Integrated (Starch)'!Y:Y)/($O$2*10^6)*$H50/Y$5</f>
        <v>-0.12901684889785633</v>
      </c>
      <c r="Z50" s="521">
        <f>-SUMIF('Wheat Integrated (Starch)'!$C:$C,'Costs per L'!$D50,'Wheat Integrated (Starch)'!Z:Z)/($O$2*10^6)*$H50/Z$5</f>
        <v>-0.12901684889785633</v>
      </c>
      <c r="AA50" s="522">
        <f>AVERAGE(L50:Z50)</f>
        <v>-0.12901684889785631</v>
      </c>
    </row>
    <row r="51" spans="2:27" ht="15" customHeight="1" thickBot="1" x14ac:dyDescent="0.25">
      <c r="B51" s="564" t="str">
        <f t="shared" si="3"/>
        <v>Wheat Integrated (Starch).Net production cost ($/L)</v>
      </c>
      <c r="C51" s="564" t="str">
        <f t="shared" si="4"/>
        <v>Wheat Integrated (Starch)</v>
      </c>
      <c r="G51" s="171">
        <f>IFERROR(INDEX(Allocators!$C:$C,MATCH($F51,Allocators!$E:$E,0)),0)</f>
        <v>0</v>
      </c>
      <c r="H51" s="171">
        <f>IFERROR(INDEX(Allocators!$D:$D,MATCH($F51,Allocators!$E:$E,0)),1)</f>
        <v>1</v>
      </c>
      <c r="I51" s="183" t="s">
        <v>637</v>
      </c>
      <c r="J51" s="514"/>
      <c r="K51" s="514"/>
      <c r="L51" s="482">
        <f t="shared" ref="L51:AA51" si="13">SUM(L49:L50)</f>
        <v>0.55848489791267086</v>
      </c>
      <c r="M51" s="482">
        <f t="shared" si="13"/>
        <v>0.53722556948533751</v>
      </c>
      <c r="N51" s="482">
        <f t="shared" si="13"/>
        <v>0.53722556948533751</v>
      </c>
      <c r="O51" s="482">
        <f t="shared" si="13"/>
        <v>0.53722556948533751</v>
      </c>
      <c r="P51" s="482">
        <f t="shared" si="13"/>
        <v>0.53722556948533751</v>
      </c>
      <c r="Q51" s="482">
        <f t="shared" si="13"/>
        <v>0.53722556948533751</v>
      </c>
      <c r="R51" s="482">
        <f t="shared" si="13"/>
        <v>0.53722556948533751</v>
      </c>
      <c r="S51" s="482">
        <f t="shared" si="13"/>
        <v>0.53722556948533751</v>
      </c>
      <c r="T51" s="482">
        <f t="shared" si="13"/>
        <v>0.53722556948533751</v>
      </c>
      <c r="U51" s="482">
        <f t="shared" si="13"/>
        <v>0.53722556948533751</v>
      </c>
      <c r="V51" s="482">
        <f t="shared" si="13"/>
        <v>0.53722556948533751</v>
      </c>
      <c r="W51" s="482">
        <f t="shared" si="13"/>
        <v>0.53722556948533751</v>
      </c>
      <c r="X51" s="482">
        <f t="shared" si="13"/>
        <v>0.53722556948533751</v>
      </c>
      <c r="Y51" s="482">
        <f t="shared" si="13"/>
        <v>0.53722556948533751</v>
      </c>
      <c r="Z51" s="482">
        <f t="shared" si="13"/>
        <v>0.53722556948533751</v>
      </c>
      <c r="AA51" s="523">
        <f t="shared" si="13"/>
        <v>0.56919121213297963</v>
      </c>
    </row>
    <row r="52" spans="2:27" ht="15" customHeight="1" x14ac:dyDescent="0.2">
      <c r="B52" s="564" t="str">
        <f t="shared" si="3"/>
        <v>Wheat Integrated (Starch).Remove inflation factors</v>
      </c>
      <c r="C52" s="564" t="str">
        <f t="shared" si="4"/>
        <v>Wheat Integrated (Starch)</v>
      </c>
      <c r="G52">
        <f>IFERROR(INDEX(Allocators!$C:$C,MATCH($F52,Allocators!$E:$E,0)),0)</f>
        <v>0</v>
      </c>
      <c r="H52">
        <f>IFERROR(INDEX(Allocators!$D:$D,MATCH($F52,Allocators!$E:$E,0)),1)</f>
        <v>1</v>
      </c>
      <c r="I52" s="215" t="s">
        <v>544</v>
      </c>
      <c r="J52" s="179"/>
      <c r="K52" s="179"/>
      <c r="L52" s="179"/>
      <c r="M52" s="179"/>
      <c r="N52" s="179"/>
      <c r="O52" s="179"/>
      <c r="P52" s="179"/>
      <c r="Q52" s="179"/>
      <c r="R52" s="179"/>
      <c r="S52" s="179"/>
      <c r="T52" s="179"/>
      <c r="U52" s="179"/>
      <c r="V52" s="179"/>
      <c r="W52" s="179"/>
      <c r="X52" s="179"/>
      <c r="Y52" s="179"/>
      <c r="Z52" s="179"/>
    </row>
    <row r="53" spans="2:27" ht="15" customHeight="1" x14ac:dyDescent="0.2">
      <c r="B53" s="564" t="str">
        <f t="shared" si="3"/>
        <v>Wheat Integrated (Starch).</v>
      </c>
      <c r="C53" s="564" t="str">
        <f t="shared" si="4"/>
        <v>Wheat Integrated (Starch)</v>
      </c>
      <c r="G53">
        <f>IFERROR(INDEX(Allocators!$C:$C,MATCH($F53,Allocators!$E:$E,0)),0)</f>
        <v>0</v>
      </c>
      <c r="H53">
        <f>IFERROR(INDEX(Allocators!$D:$D,MATCH($F53,Allocators!$E:$E,0)),1)</f>
        <v>1</v>
      </c>
      <c r="I53" s="208"/>
      <c r="J53" s="179"/>
      <c r="K53" s="179"/>
      <c r="L53" s="179"/>
      <c r="M53" s="179"/>
      <c r="N53" s="179"/>
      <c r="O53" s="179"/>
      <c r="P53" s="179"/>
      <c r="Q53" s="179"/>
      <c r="R53" s="179"/>
      <c r="S53" s="179"/>
      <c r="T53" s="179"/>
      <c r="U53" s="179"/>
      <c r="V53" s="179"/>
      <c r="W53" s="179"/>
      <c r="X53" s="179"/>
      <c r="Y53" s="179"/>
      <c r="Z53" s="179"/>
    </row>
    <row r="54" spans="2:27" ht="15" customHeight="1" x14ac:dyDescent="0.2">
      <c r="B54" s="564" t="str">
        <f t="shared" si="3"/>
        <v>Wheat Integrated (Starch).Feedstock</v>
      </c>
      <c r="C54" s="564" t="str">
        <f t="shared" si="4"/>
        <v>Wheat Integrated (Starch)</v>
      </c>
      <c r="G54">
        <f>IFERROR(INDEX(Allocators!$C:$C,MATCH($F54,Allocators!$E:$E,0)),0)</f>
        <v>0</v>
      </c>
      <c r="H54">
        <f>IFERROR(INDEX(Allocators!$D:$D,MATCH($F54,Allocators!$E:$E,0)),1)</f>
        <v>1</v>
      </c>
      <c r="I54" s="67" t="s">
        <v>285</v>
      </c>
      <c r="K54" s="179"/>
      <c r="L54" s="486">
        <f>AA39</f>
        <v>0.36414209318047031</v>
      </c>
      <c r="M54" s="179"/>
      <c r="N54" s="179"/>
      <c r="O54" s="179"/>
      <c r="P54" s="179"/>
      <c r="Q54" s="179"/>
      <c r="R54" s="179"/>
      <c r="S54" s="179"/>
      <c r="T54" s="179"/>
      <c r="U54" s="179"/>
      <c r="V54" s="179"/>
      <c r="W54" s="179"/>
      <c r="X54" s="179"/>
      <c r="Y54" s="179"/>
      <c r="Z54" s="179"/>
    </row>
    <row r="55" spans="2:27" ht="15" customHeight="1" x14ac:dyDescent="0.2">
      <c r="B55" s="564" t="str">
        <f t="shared" si="3"/>
        <v>Wheat Integrated (Starch).Direct Costs</v>
      </c>
      <c r="C55" s="564" t="str">
        <f t="shared" si="4"/>
        <v>Wheat Integrated (Starch)</v>
      </c>
      <c r="G55">
        <f>IFERROR(INDEX(Allocators!$C:$C,MATCH($F55,Allocators!$E:$E,0)),0)</f>
        <v>0</v>
      </c>
      <c r="H55">
        <f>IFERROR(INDEX(Allocators!$D:$D,MATCH($F55,Allocators!$E:$E,0)),1)</f>
        <v>1</v>
      </c>
      <c r="I55" s="67" t="s">
        <v>526</v>
      </c>
      <c r="L55" s="486">
        <f>SUM(AA40:AA41,AA45)</f>
        <v>0.16489243992072367</v>
      </c>
    </row>
    <row r="56" spans="2:27" ht="15" customHeight="1" x14ac:dyDescent="0.2">
      <c r="B56" s="564" t="str">
        <f t="shared" si="3"/>
        <v>Wheat Integrated (Starch).Maintenance</v>
      </c>
      <c r="C56" s="564" t="str">
        <f t="shared" si="4"/>
        <v>Wheat Integrated (Starch)</v>
      </c>
      <c r="G56">
        <f>IFERROR(INDEX(Allocators!$C:$C,MATCH($F56,Allocators!$E:$E,0)),0)</f>
        <v>0</v>
      </c>
      <c r="H56">
        <f>IFERROR(INDEX(Allocators!$D:$D,MATCH($F56,Allocators!$E:$E,0)),1)</f>
        <v>1</v>
      </c>
      <c r="I56" s="67" t="s">
        <v>218</v>
      </c>
      <c r="L56" s="486">
        <f>AA42</f>
        <v>4.6959051621599975E-2</v>
      </c>
    </row>
    <row r="57" spans="2:27" ht="15" customHeight="1" x14ac:dyDescent="0.2">
      <c r="B57" s="564" t="str">
        <f t="shared" si="3"/>
        <v>Wheat Integrated (Starch).Indirect Costs</v>
      </c>
      <c r="C57" s="564" t="str">
        <f t="shared" si="4"/>
        <v>Wheat Integrated (Starch)</v>
      </c>
      <c r="G57">
        <f>IFERROR(INDEX(Allocators!$C:$C,MATCH($F57,Allocators!$E:$E,0)),0)</f>
        <v>0</v>
      </c>
      <c r="H57">
        <f>IFERROR(INDEX(Allocators!$D:$D,MATCH($F57,Allocators!$E:$E,0)),1)</f>
        <v>1</v>
      </c>
      <c r="I57" s="67" t="s">
        <v>527</v>
      </c>
      <c r="L57" s="486">
        <f>SUM(AA43:AA44)</f>
        <v>4.1515900000000015E-2</v>
      </c>
    </row>
    <row r="58" spans="2:27" ht="15" customHeight="1" x14ac:dyDescent="0.2">
      <c r="B58" s="564" t="str">
        <f t="shared" si="3"/>
        <v>Wheat Integrated (Starch).Finance</v>
      </c>
      <c r="C58" s="564" t="str">
        <f t="shared" si="4"/>
        <v>Wheat Integrated (Starch)</v>
      </c>
      <c r="G58">
        <f>IFERROR(INDEX(Allocators!$C:$C,MATCH($F58,Allocators!$E:$E,0)),0)</f>
        <v>0</v>
      </c>
      <c r="H58">
        <f>IFERROR(INDEX(Allocators!$D:$D,MATCH($F58,Allocators!$E:$E,0)),1)</f>
        <v>1</v>
      </c>
      <c r="I58" s="67" t="s">
        <v>528</v>
      </c>
      <c r="L58" s="486">
        <f>SUM(AA47:AA48)</f>
        <v>8.0698576308042141E-2</v>
      </c>
    </row>
    <row r="59" spans="2:27" ht="15" customHeight="1" thickBot="1" x14ac:dyDescent="0.25">
      <c r="B59" s="564" t="str">
        <f t="shared" si="3"/>
        <v>Wheat Integrated (Starch).Total production</v>
      </c>
      <c r="C59" s="564" t="str">
        <f t="shared" si="4"/>
        <v>Wheat Integrated (Starch)</v>
      </c>
      <c r="G59">
        <f>IFERROR(INDEX(Allocators!$C:$C,MATCH($F59,Allocators!$E:$E,0)),0)</f>
        <v>0</v>
      </c>
      <c r="H59">
        <f>IFERROR(INDEX(Allocators!$D:$D,MATCH($F59,Allocators!$E:$E,0)),1)</f>
        <v>1</v>
      </c>
      <c r="I59" s="183" t="s">
        <v>467</v>
      </c>
      <c r="L59" s="482">
        <f>SUM(L54:L58)</f>
        <v>0.6982080610308361</v>
      </c>
      <c r="M59" s="561" t="str">
        <f>IF(ROUND(L59,4)=ROUND(AA49,4),"", "Error - Totals are not equal")</f>
        <v/>
      </c>
    </row>
    <row r="60" spans="2:27" ht="15" customHeight="1" x14ac:dyDescent="0.2">
      <c r="B60" s="564" t="str">
        <f t="shared" si="3"/>
        <v>Wheat Integrated (Starch).Co-product credit</v>
      </c>
      <c r="C60" s="564" t="str">
        <f t="shared" si="4"/>
        <v>Wheat Integrated (Starch)</v>
      </c>
      <c r="G60">
        <f>IFERROR(INDEX(Allocators!$C:$C,MATCH($F60,Allocators!$E:$E,0)),0)</f>
        <v>0</v>
      </c>
      <c r="H60">
        <f>IFERROR(INDEX(Allocators!$D:$D,MATCH($F60,Allocators!$E:$E,0)),1)</f>
        <v>1</v>
      </c>
      <c r="I60" s="515" t="s">
        <v>635</v>
      </c>
      <c r="L60" s="520">
        <f>AA50</f>
        <v>-0.12901684889785631</v>
      </c>
    </row>
    <row r="61" spans="2:27" ht="15" customHeight="1" thickBot="1" x14ac:dyDescent="0.25">
      <c r="B61" s="564" t="str">
        <f t="shared" si="3"/>
        <v>Wheat Integrated (Starch).Net production cost</v>
      </c>
      <c r="C61" s="564" t="str">
        <f t="shared" si="4"/>
        <v>Wheat Integrated (Starch)</v>
      </c>
      <c r="G61">
        <f>IFERROR(INDEX(Allocators!$C:$C,MATCH($F61,Allocators!$E:$E,0)),0)</f>
        <v>0</v>
      </c>
      <c r="H61">
        <f>IFERROR(INDEX(Allocators!$D:$D,MATCH($F61,Allocators!$E:$E,0)),1)</f>
        <v>1</v>
      </c>
      <c r="I61" s="183" t="s">
        <v>634</v>
      </c>
      <c r="L61" s="482">
        <f>SUM(L59:L60)</f>
        <v>0.56919121213297985</v>
      </c>
      <c r="M61" s="561" t="str">
        <f>IF(L61=AA51,"", "Error - Totals are not equal")</f>
        <v/>
      </c>
    </row>
    <row r="62" spans="2:27" ht="15" customHeight="1" x14ac:dyDescent="0.2">
      <c r="B62" s="564" t="str">
        <f t="shared" si="3"/>
        <v>Wheat Integrated (Starch).</v>
      </c>
      <c r="C62" s="564" t="str">
        <f t="shared" si="4"/>
        <v>Wheat Integrated (Starch)</v>
      </c>
      <c r="G62">
        <f>IFERROR(INDEX(Allocators!$C:$C,MATCH($F62,Allocators!$E:$E,0)),0)</f>
        <v>0</v>
      </c>
      <c r="H62">
        <f>IFERROR(INDEX(Allocators!$D:$D,MATCH($F62,Allocators!$E:$E,0)),1)</f>
        <v>1</v>
      </c>
    </row>
    <row r="63" spans="2:27" ht="15" customHeight="1" x14ac:dyDescent="0.2">
      <c r="B63" s="564" t="str">
        <f t="shared" si="3"/>
        <v>Wheat Integrated (Starch).Capital Cost ($'000)</v>
      </c>
      <c r="C63" s="564" t="str">
        <f t="shared" si="4"/>
        <v>Wheat Integrated (Starch)</v>
      </c>
      <c r="F63" s="511"/>
      <c r="G63" s="251">
        <f>IFERROR(INDEX(Allocators!$C:$C,MATCH($F63,Allocators!$E:$E,0)),0)</f>
        <v>0</v>
      </c>
      <c r="H63" s="510">
        <f>IFERROR(INDEX(Allocators!$D:$D,MATCH($F63,Allocators!$E:$E,0)),1)</f>
        <v>1</v>
      </c>
      <c r="I63" s="67" t="s">
        <v>530</v>
      </c>
      <c r="L63" s="487">
        <f>SUM('Wheat Integrated (Starch)'!J268:K268)*'Costs per L'!H63*10^6</f>
        <v>147180000</v>
      </c>
    </row>
    <row r="64" spans="2:27" ht="13.5" thickBot="1" x14ac:dyDescent="0.25">
      <c r="B64" s="564" t="str">
        <f t="shared" si="3"/>
        <v>Wheat Integrated (Starch).Capital Cost per L</v>
      </c>
      <c r="C64" s="564" t="str">
        <f t="shared" si="4"/>
        <v>Wheat Integrated (Starch)</v>
      </c>
      <c r="G64">
        <f>IFERROR(INDEX(Allocators!$C:$C,MATCH($F64,Allocators!$E:$E,0)),0)</f>
        <v>0</v>
      </c>
      <c r="H64">
        <f>IFERROR(INDEX(Allocators!$D:$D,MATCH($F64,Allocators!$E:$E,0)),1)</f>
        <v>1</v>
      </c>
      <c r="I64" s="183" t="s">
        <v>529</v>
      </c>
      <c r="L64" s="482">
        <f>L63/($O$2*10^6)</f>
        <v>1.4718</v>
      </c>
    </row>
    <row r="65" spans="2:27" x14ac:dyDescent="0.2">
      <c r="B65" s="564" t="str">
        <f t="shared" si="3"/>
        <v>Wheat Integrated (Starch).</v>
      </c>
      <c r="C65" s="564" t="str">
        <f t="shared" si="4"/>
        <v>Wheat Integrated (Starch)</v>
      </c>
      <c r="G65">
        <f>IFERROR(INDEX(Allocators!$C:$C,MATCH($F65,Allocators!$E:$E,0)),0)</f>
        <v>0</v>
      </c>
      <c r="H65">
        <f>IFERROR(INDEX(Allocators!$D:$D,MATCH($F65,Allocators!$E:$E,0)),1)</f>
        <v>1</v>
      </c>
    </row>
    <row r="66" spans="2:27" x14ac:dyDescent="0.2">
      <c r="B66" s="564" t="str">
        <f t="shared" si="3"/>
        <v>B-Syrup (Sucrosic).</v>
      </c>
      <c r="C66" s="564" t="str">
        <f t="shared" si="4"/>
        <v>B-Syrup (Sucrosic)</v>
      </c>
      <c r="E66" s="553" t="s">
        <v>799</v>
      </c>
      <c r="F66" s="512"/>
      <c r="G66" s="512">
        <f>IFERROR(INDEX(Allocators!$C:$C,MATCH($F66,Allocators!$E:$E,0)),0)</f>
        <v>0</v>
      </c>
      <c r="H66" s="512">
        <f>IFERROR(INDEX(Allocators!$D:$D,MATCH($F66,Allocators!$E:$E,0)),1)</f>
        <v>1</v>
      </c>
      <c r="I66" s="554"/>
      <c r="J66" s="554"/>
      <c r="K66" s="554"/>
      <c r="L66" s="554"/>
      <c r="M66" s="554"/>
      <c r="N66" s="554"/>
      <c r="O66" s="554"/>
      <c r="P66" s="554"/>
      <c r="Q66" s="554"/>
      <c r="R66" s="554"/>
      <c r="S66" s="554"/>
      <c r="T66" s="554"/>
      <c r="U66" s="554"/>
      <c r="V66" s="554"/>
      <c r="W66" s="554"/>
      <c r="X66" s="554"/>
      <c r="Y66" s="554"/>
      <c r="Z66" s="554"/>
      <c r="AA66" s="554"/>
    </row>
    <row r="67" spans="2:27" x14ac:dyDescent="0.2">
      <c r="B67" s="564">
        <f t="shared" si="3"/>
        <v>0</v>
      </c>
      <c r="C67" s="564" t="str">
        <f t="shared" si="4"/>
        <v>B-Syrup (Sucrosic)</v>
      </c>
      <c r="D67" s="157">
        <v>1</v>
      </c>
      <c r="F67" s="509"/>
      <c r="G67" s="251">
        <f>IFERROR(INDEX(Allocators!$C:$C,MATCH($F67,Allocators!$E:$E,0)),0)</f>
        <v>0</v>
      </c>
      <c r="H67" s="508">
        <f>IFERROR(INDEX(Allocators!$D:$D,MATCH($F67,Allocators!$E:$E,0)),1)</f>
        <v>1</v>
      </c>
      <c r="I67" s="181" t="s">
        <v>285</v>
      </c>
      <c r="J67" s="191"/>
      <c r="K67" s="192"/>
      <c r="L67" s="494">
        <f>-SUMIF('B-Syrup (Sucrosic)'!$C:$C,'Costs per L'!$D67,'B-Syrup (Sucrosic)'!K:K)
/($O$2*10^6)/L$5*$H67</f>
        <v>0.70060545151550502</v>
      </c>
      <c r="M67" s="494">
        <f>-SUMIF('B-Syrup (Sucrosic)'!$C:$C,'Costs per L'!$D67,'B-Syrup (Sucrosic)'!L:L)
/($O$2*10^6)/M$5*$H67</f>
        <v>0.70060545151550502</v>
      </c>
      <c r="N67" s="494">
        <f>-SUMIF('B-Syrup (Sucrosic)'!$C:$C,'Costs per L'!$D67,'B-Syrup (Sucrosic)'!M:M)
/($O$2*10^6)/N$5*$H67</f>
        <v>0.70060545151550502</v>
      </c>
      <c r="O67" s="494">
        <f>-SUMIF('B-Syrup (Sucrosic)'!$C:$C,'Costs per L'!$D67,'B-Syrup (Sucrosic)'!N:N)
/($O$2*10^6)/O$5*$H67</f>
        <v>0.70060545151550502</v>
      </c>
      <c r="P67" s="494">
        <f>-SUMIF('B-Syrup (Sucrosic)'!$C:$C,'Costs per L'!$D67,'B-Syrup (Sucrosic)'!O:O)
/($O$2*10^6)/P$5*$H67</f>
        <v>0.70060545151550502</v>
      </c>
      <c r="Q67" s="494">
        <f>-SUMIF('B-Syrup (Sucrosic)'!$C:$C,'Costs per L'!$D67,'B-Syrup (Sucrosic)'!P:P)
/($O$2*10^6)/Q$5*$H67</f>
        <v>0.70060545151550502</v>
      </c>
      <c r="R67" s="494">
        <f>-SUMIF('B-Syrup (Sucrosic)'!$C:$C,'Costs per L'!$D67,'B-Syrup (Sucrosic)'!Q:Q)
/($O$2*10^6)/R$5*$H67</f>
        <v>0.70060545151550502</v>
      </c>
      <c r="S67" s="494">
        <f>-SUMIF('B-Syrup (Sucrosic)'!$C:$C,'Costs per L'!$D67,'B-Syrup (Sucrosic)'!R:R)
/($O$2*10^6)/S$5*$H67</f>
        <v>0.70060545151550502</v>
      </c>
      <c r="T67" s="494">
        <f>-SUMIF('B-Syrup (Sucrosic)'!$C:$C,'Costs per L'!$D67,'B-Syrup (Sucrosic)'!S:S)
/($O$2*10^6)/T$5*$H67</f>
        <v>0.70060545151550502</v>
      </c>
      <c r="U67" s="494">
        <f>-SUMIF('B-Syrup (Sucrosic)'!$C:$C,'Costs per L'!$D67,'B-Syrup (Sucrosic)'!T:T)
/($O$2*10^6)/U$5*$H67</f>
        <v>0.70060545151550502</v>
      </c>
      <c r="V67" s="494">
        <f>-SUMIF('B-Syrup (Sucrosic)'!$C:$C,'Costs per L'!$D67,'B-Syrup (Sucrosic)'!U:U)
/($O$2*10^6)/V$5*$H67</f>
        <v>0.70060545151550502</v>
      </c>
      <c r="W67" s="494">
        <f>-SUMIF('B-Syrup (Sucrosic)'!$C:$C,'Costs per L'!$D67,'B-Syrup (Sucrosic)'!V:V)
/($O$2*10^6)/W$5*$H67</f>
        <v>0.70060545151550502</v>
      </c>
      <c r="X67" s="494">
        <f>-SUMIF('B-Syrup (Sucrosic)'!$C:$C,'Costs per L'!$D67,'B-Syrup (Sucrosic)'!W:W)
/($O$2*10^6)/X$5*$H67</f>
        <v>0.70060545151550502</v>
      </c>
      <c r="Y67" s="494">
        <f>-SUMIF('B-Syrup (Sucrosic)'!$C:$C,'Costs per L'!$D67,'B-Syrup (Sucrosic)'!X:X)
/($O$2*10^6)/Y$5*$H67</f>
        <v>0.70060545151550502</v>
      </c>
      <c r="Z67" s="494">
        <f>-SUMIF('B-Syrup (Sucrosic)'!$C:$C,'Costs per L'!$D67,'B-Syrup (Sucrosic)'!Y:Y)
/($O$2*10^6)/Z$5*$H67</f>
        <v>0.70060545151550502</v>
      </c>
      <c r="AA67" s="495">
        <f t="shared" ref="AA67:AA74" si="14">AVERAGE(L67:Z67)</f>
        <v>0.70060545151550524</v>
      </c>
    </row>
    <row r="68" spans="2:27" x14ac:dyDescent="0.2">
      <c r="B68" s="564">
        <f t="shared" si="3"/>
        <v>0</v>
      </c>
      <c r="C68" s="564" t="str">
        <f t="shared" si="4"/>
        <v>B-Syrup (Sucrosic)</v>
      </c>
      <c r="D68" s="157">
        <v>2</v>
      </c>
      <c r="F68" s="509"/>
      <c r="G68" s="251">
        <f>IFERROR(INDEX(Allocators!$C:$C,MATCH($F68,Allocators!$E:$E,0)),0)</f>
        <v>0</v>
      </c>
      <c r="H68" s="508">
        <f>IFERROR(INDEX(Allocators!$D:$D,MATCH($F68,Allocators!$E:$E,0)),1)</f>
        <v>1</v>
      </c>
      <c r="I68" s="182" t="s">
        <v>86</v>
      </c>
      <c r="J68" s="191"/>
      <c r="K68" s="193"/>
      <c r="L68" s="496">
        <f>-SUMIF('B-Syrup (Sucrosic)'!$C:$C,'Costs per L'!$D68,'B-Syrup (Sucrosic)'!K:K)
/($O$2*10^6)/L$5*$H68</f>
        <v>3.7558889484518278E-2</v>
      </c>
      <c r="M68" s="496">
        <f>-SUMIF('B-Syrup (Sucrosic)'!$C:$C,'Costs per L'!$D68,'B-Syrup (Sucrosic)'!L:L)
/($O$2*10^6)/M$5*$H68</f>
        <v>3.7558889484518278E-2</v>
      </c>
      <c r="N68" s="496">
        <f>-SUMIF('B-Syrup (Sucrosic)'!$C:$C,'Costs per L'!$D68,'B-Syrup (Sucrosic)'!M:M)
/($O$2*10^6)/N$5*$H68</f>
        <v>3.7558889484518278E-2</v>
      </c>
      <c r="O68" s="496">
        <f>-SUMIF('B-Syrup (Sucrosic)'!$C:$C,'Costs per L'!$D68,'B-Syrup (Sucrosic)'!N:N)
/($O$2*10^6)/O$5*$H68</f>
        <v>3.7558889484518278E-2</v>
      </c>
      <c r="P68" s="496">
        <f>-SUMIF('B-Syrup (Sucrosic)'!$C:$C,'Costs per L'!$D68,'B-Syrup (Sucrosic)'!O:O)
/($O$2*10^6)/P$5*$H68</f>
        <v>3.7558889484518278E-2</v>
      </c>
      <c r="Q68" s="496">
        <f>-SUMIF('B-Syrup (Sucrosic)'!$C:$C,'Costs per L'!$D68,'B-Syrup (Sucrosic)'!P:P)
/($O$2*10^6)/Q$5*$H68</f>
        <v>3.7558889484518278E-2</v>
      </c>
      <c r="R68" s="496">
        <f>-SUMIF('B-Syrup (Sucrosic)'!$C:$C,'Costs per L'!$D68,'B-Syrup (Sucrosic)'!Q:Q)
/($O$2*10^6)/R$5*$H68</f>
        <v>3.7558889484518278E-2</v>
      </c>
      <c r="S68" s="496">
        <f>-SUMIF('B-Syrup (Sucrosic)'!$C:$C,'Costs per L'!$D68,'B-Syrup (Sucrosic)'!R:R)
/($O$2*10^6)/S$5*$H68</f>
        <v>3.7558889484518278E-2</v>
      </c>
      <c r="T68" s="496">
        <f>-SUMIF('B-Syrup (Sucrosic)'!$C:$C,'Costs per L'!$D68,'B-Syrup (Sucrosic)'!S:S)
/($O$2*10^6)/T$5*$H68</f>
        <v>3.7558889484518278E-2</v>
      </c>
      <c r="U68" s="496">
        <f>-SUMIF('B-Syrup (Sucrosic)'!$C:$C,'Costs per L'!$D68,'B-Syrup (Sucrosic)'!T:T)
/($O$2*10^6)/U$5*$H68</f>
        <v>3.7558889484518278E-2</v>
      </c>
      <c r="V68" s="496">
        <f>-SUMIF('B-Syrup (Sucrosic)'!$C:$C,'Costs per L'!$D68,'B-Syrup (Sucrosic)'!U:U)
/($O$2*10^6)/V$5*$H68</f>
        <v>3.7558889484518278E-2</v>
      </c>
      <c r="W68" s="496">
        <f>-SUMIF('B-Syrup (Sucrosic)'!$C:$C,'Costs per L'!$D68,'B-Syrup (Sucrosic)'!V:V)
/($O$2*10^6)/W$5*$H68</f>
        <v>3.7558889484518278E-2</v>
      </c>
      <c r="X68" s="496">
        <f>-SUMIF('B-Syrup (Sucrosic)'!$C:$C,'Costs per L'!$D68,'B-Syrup (Sucrosic)'!W:W)
/($O$2*10^6)/X$5*$H68</f>
        <v>3.7558889484518278E-2</v>
      </c>
      <c r="Y68" s="496">
        <f>-SUMIF('B-Syrup (Sucrosic)'!$C:$C,'Costs per L'!$D68,'B-Syrup (Sucrosic)'!X:X)
/($O$2*10^6)/Y$5*$H68</f>
        <v>3.7558889484518278E-2</v>
      </c>
      <c r="Z68" s="496">
        <f>-SUMIF('B-Syrup (Sucrosic)'!$C:$C,'Costs per L'!$D68,'B-Syrup (Sucrosic)'!Y:Y)
/($O$2*10^6)/Z$5*$H68</f>
        <v>3.7558889484518278E-2</v>
      </c>
      <c r="AA68" s="497">
        <f t="shared" si="14"/>
        <v>3.7558889484518278E-2</v>
      </c>
    </row>
    <row r="69" spans="2:27" x14ac:dyDescent="0.2">
      <c r="B69" s="564">
        <f t="shared" si="3"/>
        <v>0</v>
      </c>
      <c r="C69" s="564" t="str">
        <f t="shared" si="4"/>
        <v>B-Syrup (Sucrosic)</v>
      </c>
      <c r="D69" s="157">
        <v>3</v>
      </c>
      <c r="F69" s="509"/>
      <c r="G69" s="251">
        <f>IFERROR(INDEX(Allocators!$C:$C,MATCH($F69,Allocators!$E:$E,0)),0)</f>
        <v>0</v>
      </c>
      <c r="H69" s="508">
        <f>IFERROR(INDEX(Allocators!$D:$D,MATCH($F69,Allocators!$E:$E,0)),1)</f>
        <v>1</v>
      </c>
      <c r="I69" s="181" t="s">
        <v>129</v>
      </c>
      <c r="J69" s="191"/>
      <c r="K69" s="193"/>
      <c r="L69" s="496">
        <f>-SUMIF('B-Syrup (Sucrosic)'!$C:$C,'Costs per L'!$D69,'B-Syrup (Sucrosic)'!K:K)
/($O$2*10^6)/L$5*$H69</f>
        <v>5.1798287999999998E-2</v>
      </c>
      <c r="M69" s="496">
        <f>-SUMIF('B-Syrup (Sucrosic)'!$C:$C,'Costs per L'!$D69,'B-Syrup (Sucrosic)'!L:L)
/($O$2*10^6)/M$5*$H69</f>
        <v>5.1798287999999998E-2</v>
      </c>
      <c r="N69" s="496">
        <f>-SUMIF('B-Syrup (Sucrosic)'!$C:$C,'Costs per L'!$D69,'B-Syrup (Sucrosic)'!M:M)
/($O$2*10^6)/N$5*$H69</f>
        <v>5.1798287999999998E-2</v>
      </c>
      <c r="O69" s="496">
        <f>-SUMIF('B-Syrup (Sucrosic)'!$C:$C,'Costs per L'!$D69,'B-Syrup (Sucrosic)'!N:N)
/($O$2*10^6)/O$5*$H69</f>
        <v>5.1798287999999998E-2</v>
      </c>
      <c r="P69" s="496">
        <f>-SUMIF('B-Syrup (Sucrosic)'!$C:$C,'Costs per L'!$D69,'B-Syrup (Sucrosic)'!O:O)
/($O$2*10^6)/P$5*$H69</f>
        <v>5.1798287999999998E-2</v>
      </c>
      <c r="Q69" s="496">
        <f>-SUMIF('B-Syrup (Sucrosic)'!$C:$C,'Costs per L'!$D69,'B-Syrup (Sucrosic)'!P:P)
/($O$2*10^6)/Q$5*$H69</f>
        <v>5.1798287999999998E-2</v>
      </c>
      <c r="R69" s="496">
        <f>-SUMIF('B-Syrup (Sucrosic)'!$C:$C,'Costs per L'!$D69,'B-Syrup (Sucrosic)'!Q:Q)
/($O$2*10^6)/R$5*$H69</f>
        <v>5.1798287999999998E-2</v>
      </c>
      <c r="S69" s="496">
        <f>-SUMIF('B-Syrup (Sucrosic)'!$C:$C,'Costs per L'!$D69,'B-Syrup (Sucrosic)'!R:R)
/($O$2*10^6)/S$5*$H69</f>
        <v>5.1798287999999998E-2</v>
      </c>
      <c r="T69" s="496">
        <f>-SUMIF('B-Syrup (Sucrosic)'!$C:$C,'Costs per L'!$D69,'B-Syrup (Sucrosic)'!S:S)
/($O$2*10^6)/T$5*$H69</f>
        <v>5.1798287999999998E-2</v>
      </c>
      <c r="U69" s="496">
        <f>-SUMIF('B-Syrup (Sucrosic)'!$C:$C,'Costs per L'!$D69,'B-Syrup (Sucrosic)'!T:T)
/($O$2*10^6)/U$5*$H69</f>
        <v>5.1798287999999998E-2</v>
      </c>
      <c r="V69" s="496">
        <f>-SUMIF('B-Syrup (Sucrosic)'!$C:$C,'Costs per L'!$D69,'B-Syrup (Sucrosic)'!U:U)
/($O$2*10^6)/V$5*$H69</f>
        <v>5.1798287999999998E-2</v>
      </c>
      <c r="W69" s="496">
        <f>-SUMIF('B-Syrup (Sucrosic)'!$C:$C,'Costs per L'!$D69,'B-Syrup (Sucrosic)'!V:V)
/($O$2*10^6)/W$5*$H69</f>
        <v>5.1798287999999998E-2</v>
      </c>
      <c r="X69" s="496">
        <f>-SUMIF('B-Syrup (Sucrosic)'!$C:$C,'Costs per L'!$D69,'B-Syrup (Sucrosic)'!W:W)
/($O$2*10^6)/X$5*$H69</f>
        <v>5.1798287999999998E-2</v>
      </c>
      <c r="Y69" s="496">
        <f>-SUMIF('B-Syrup (Sucrosic)'!$C:$C,'Costs per L'!$D69,'B-Syrup (Sucrosic)'!X:X)
/($O$2*10^6)/Y$5*$H69</f>
        <v>5.1798287999999998E-2</v>
      </c>
      <c r="Z69" s="496">
        <f>-SUMIF('B-Syrup (Sucrosic)'!$C:$C,'Costs per L'!$D69,'B-Syrup (Sucrosic)'!Y:Y)
/($O$2*10^6)/Z$5*$H69</f>
        <v>5.1798287999999998E-2</v>
      </c>
      <c r="AA69" s="497">
        <f t="shared" si="14"/>
        <v>5.1798287999999977E-2</v>
      </c>
    </row>
    <row r="70" spans="2:27" x14ac:dyDescent="0.2">
      <c r="B70" s="564">
        <f t="shared" si="3"/>
        <v>0</v>
      </c>
      <c r="C70" s="564" t="str">
        <f t="shared" si="4"/>
        <v>B-Syrup (Sucrosic)</v>
      </c>
      <c r="D70" s="157">
        <v>4</v>
      </c>
      <c r="F70" s="509"/>
      <c r="G70" s="251">
        <f>IFERROR(INDEX(Allocators!$C:$C,MATCH($F70,Allocators!$E:$E,0)),0)</f>
        <v>0</v>
      </c>
      <c r="H70" s="508">
        <f>IFERROR(INDEX(Allocators!$D:$D,MATCH($F70,Allocators!$E:$E,0)),1)</f>
        <v>1</v>
      </c>
      <c r="I70" s="182" t="s">
        <v>218</v>
      </c>
      <c r="J70" s="191"/>
      <c r="K70" s="193"/>
      <c r="L70" s="496">
        <f>-SUMIF('B-Syrup (Sucrosic)'!$C:$C,'Costs per L'!$D70,'B-Syrup (Sucrosic)'!K:K)
/($O$2*10^6)/L$5*$H70</f>
        <v>4.7164749999999998E-2</v>
      </c>
      <c r="M70" s="496">
        <f>-SUMIF('B-Syrup (Sucrosic)'!$C:$C,'Costs per L'!$D70,'B-Syrup (Sucrosic)'!L:L)
/($O$2*10^6)/M$5*$H70</f>
        <v>4.2236062499999998E-2</v>
      </c>
      <c r="N70" s="496">
        <f>-SUMIF('B-Syrup (Sucrosic)'!$C:$C,'Costs per L'!$D70,'B-Syrup (Sucrosic)'!M:M)
/($O$2*10^6)/N$5*$H70</f>
        <v>4.2236062499999998E-2</v>
      </c>
      <c r="O70" s="496">
        <f>-SUMIF('B-Syrup (Sucrosic)'!$C:$C,'Costs per L'!$D70,'B-Syrup (Sucrosic)'!N:N)
/($O$2*10^6)/O$5*$H70</f>
        <v>4.2236062499999998E-2</v>
      </c>
      <c r="P70" s="496">
        <f>-SUMIF('B-Syrup (Sucrosic)'!$C:$C,'Costs per L'!$D70,'B-Syrup (Sucrosic)'!O:O)
/($O$2*10^6)/P$5*$H70</f>
        <v>4.2236062499999998E-2</v>
      </c>
      <c r="Q70" s="496">
        <f>-SUMIF('B-Syrup (Sucrosic)'!$C:$C,'Costs per L'!$D70,'B-Syrup (Sucrosic)'!P:P)
/($O$2*10^6)/Q$5*$H70</f>
        <v>4.2236062499999998E-2</v>
      </c>
      <c r="R70" s="496">
        <f>-SUMIF('B-Syrup (Sucrosic)'!$C:$C,'Costs per L'!$D70,'B-Syrup (Sucrosic)'!Q:Q)
/($O$2*10^6)/R$5*$H70</f>
        <v>4.2236062499999998E-2</v>
      </c>
      <c r="S70" s="496">
        <f>-SUMIF('B-Syrup (Sucrosic)'!$C:$C,'Costs per L'!$D70,'B-Syrup (Sucrosic)'!R:R)
/($O$2*10^6)/S$5*$H70</f>
        <v>4.2236062499999998E-2</v>
      </c>
      <c r="T70" s="496">
        <f>-SUMIF('B-Syrup (Sucrosic)'!$C:$C,'Costs per L'!$D70,'B-Syrup (Sucrosic)'!S:S)
/($O$2*10^6)/T$5*$H70</f>
        <v>4.2236062499999998E-2</v>
      </c>
      <c r="U70" s="496">
        <f>-SUMIF('B-Syrup (Sucrosic)'!$C:$C,'Costs per L'!$D70,'B-Syrup (Sucrosic)'!T:T)
/($O$2*10^6)/U$5*$H70</f>
        <v>4.2236062499999998E-2</v>
      </c>
      <c r="V70" s="496">
        <f>-SUMIF('B-Syrup (Sucrosic)'!$C:$C,'Costs per L'!$D70,'B-Syrup (Sucrosic)'!U:U)
/($O$2*10^6)/V$5*$H70</f>
        <v>4.2236062499999998E-2</v>
      </c>
      <c r="W70" s="496">
        <f>-SUMIF('B-Syrup (Sucrosic)'!$C:$C,'Costs per L'!$D70,'B-Syrup (Sucrosic)'!V:V)
/($O$2*10^6)/W$5*$H70</f>
        <v>4.2236062499999998E-2</v>
      </c>
      <c r="X70" s="496">
        <f>-SUMIF('B-Syrup (Sucrosic)'!$C:$C,'Costs per L'!$D70,'B-Syrup (Sucrosic)'!W:W)
/($O$2*10^6)/X$5*$H70</f>
        <v>4.2236062499999998E-2</v>
      </c>
      <c r="Y70" s="496">
        <f>-SUMIF('B-Syrup (Sucrosic)'!$C:$C,'Costs per L'!$D70,'B-Syrup (Sucrosic)'!X:X)
/($O$2*10^6)/Y$5*$H70</f>
        <v>4.2236062499999998E-2</v>
      </c>
      <c r="Z70" s="496">
        <f>-SUMIF('B-Syrup (Sucrosic)'!$C:$C,'Costs per L'!$D70,'B-Syrup (Sucrosic)'!Y:Y)
/($O$2*10^6)/Z$5*$H70</f>
        <v>4.2236062499999998E-2</v>
      </c>
      <c r="AA70" s="497">
        <f t="shared" si="14"/>
        <v>4.2564641666666667E-2</v>
      </c>
    </row>
    <row r="71" spans="2:27" x14ac:dyDescent="0.2">
      <c r="B71" s="564">
        <f t="shared" si="3"/>
        <v>0</v>
      </c>
      <c r="C71" s="564" t="str">
        <f t="shared" si="4"/>
        <v>B-Syrup (Sucrosic)</v>
      </c>
      <c r="D71" s="157">
        <v>5</v>
      </c>
      <c r="F71" s="509"/>
      <c r="G71" s="251">
        <f>IFERROR(INDEX(Allocators!$C:$C,MATCH($F71,Allocators!$E:$E,0)),0)</f>
        <v>0</v>
      </c>
      <c r="H71" s="508">
        <f>IFERROR(INDEX(Allocators!$D:$D,MATCH($F71,Allocators!$E:$E,0)),1)</f>
        <v>1</v>
      </c>
      <c r="I71" s="182" t="s">
        <v>190</v>
      </c>
      <c r="J71" s="191"/>
      <c r="K71" s="193"/>
      <c r="L71" s="496">
        <f>-SUMIF('B-Syrup (Sucrosic)'!$C:$C,'Costs per L'!$D71,'B-Syrup (Sucrosic)'!K:K)
/($O$2*10^6)/L$5*$H71</f>
        <v>3.4380000000000001E-2</v>
      </c>
      <c r="M71" s="496">
        <f>-SUMIF('B-Syrup (Sucrosic)'!$C:$C,'Costs per L'!$D71,'B-Syrup (Sucrosic)'!L:L)
/($O$2*10^6)/M$5*$H71</f>
        <v>3.4380000000000001E-2</v>
      </c>
      <c r="N71" s="496">
        <f>-SUMIF('B-Syrup (Sucrosic)'!$C:$C,'Costs per L'!$D71,'B-Syrup (Sucrosic)'!M:M)
/($O$2*10^6)/N$5*$H71</f>
        <v>3.4380000000000001E-2</v>
      </c>
      <c r="O71" s="496">
        <f>-SUMIF('B-Syrup (Sucrosic)'!$C:$C,'Costs per L'!$D71,'B-Syrup (Sucrosic)'!N:N)
/($O$2*10^6)/O$5*$H71</f>
        <v>3.4380000000000001E-2</v>
      </c>
      <c r="P71" s="496">
        <f>-SUMIF('B-Syrup (Sucrosic)'!$C:$C,'Costs per L'!$D71,'B-Syrup (Sucrosic)'!O:O)
/($O$2*10^6)/P$5*$H71</f>
        <v>3.4380000000000001E-2</v>
      </c>
      <c r="Q71" s="496">
        <f>-SUMIF('B-Syrup (Sucrosic)'!$C:$C,'Costs per L'!$D71,'B-Syrup (Sucrosic)'!P:P)
/($O$2*10^6)/Q$5*$H71</f>
        <v>3.4380000000000001E-2</v>
      </c>
      <c r="R71" s="496">
        <f>-SUMIF('B-Syrup (Sucrosic)'!$C:$C,'Costs per L'!$D71,'B-Syrup (Sucrosic)'!Q:Q)
/($O$2*10^6)/R$5*$H71</f>
        <v>3.4380000000000001E-2</v>
      </c>
      <c r="S71" s="496">
        <f>-SUMIF('B-Syrup (Sucrosic)'!$C:$C,'Costs per L'!$D71,'B-Syrup (Sucrosic)'!R:R)
/($O$2*10^6)/S$5*$H71</f>
        <v>3.4380000000000001E-2</v>
      </c>
      <c r="T71" s="496">
        <f>-SUMIF('B-Syrup (Sucrosic)'!$C:$C,'Costs per L'!$D71,'B-Syrup (Sucrosic)'!S:S)
/($O$2*10^6)/T$5*$H71</f>
        <v>3.4380000000000001E-2</v>
      </c>
      <c r="U71" s="496">
        <f>-SUMIF('B-Syrup (Sucrosic)'!$C:$C,'Costs per L'!$D71,'B-Syrup (Sucrosic)'!T:T)
/($O$2*10^6)/U$5*$H71</f>
        <v>3.4380000000000001E-2</v>
      </c>
      <c r="V71" s="496">
        <f>-SUMIF('B-Syrup (Sucrosic)'!$C:$C,'Costs per L'!$D71,'B-Syrup (Sucrosic)'!U:U)
/($O$2*10^6)/V$5*$H71</f>
        <v>3.4380000000000001E-2</v>
      </c>
      <c r="W71" s="496">
        <f>-SUMIF('B-Syrup (Sucrosic)'!$C:$C,'Costs per L'!$D71,'B-Syrup (Sucrosic)'!V:V)
/($O$2*10^6)/W$5*$H71</f>
        <v>3.4380000000000001E-2</v>
      </c>
      <c r="X71" s="496">
        <f>-SUMIF('B-Syrup (Sucrosic)'!$C:$C,'Costs per L'!$D71,'B-Syrup (Sucrosic)'!W:W)
/($O$2*10^6)/X$5*$H71</f>
        <v>3.4380000000000001E-2</v>
      </c>
      <c r="Y71" s="496">
        <f>-SUMIF('B-Syrup (Sucrosic)'!$C:$C,'Costs per L'!$D71,'B-Syrup (Sucrosic)'!X:X)
/($O$2*10^6)/Y$5*$H71</f>
        <v>3.4380000000000001E-2</v>
      </c>
      <c r="Z71" s="496">
        <f>-SUMIF('B-Syrup (Sucrosic)'!$C:$C,'Costs per L'!$D71,'B-Syrup (Sucrosic)'!Y:Y)
/($O$2*10^6)/Z$5*$H71</f>
        <v>3.4380000000000001E-2</v>
      </c>
      <c r="AA71" s="497">
        <f t="shared" si="14"/>
        <v>3.4380000000000008E-2</v>
      </c>
    </row>
    <row r="72" spans="2:27" x14ac:dyDescent="0.2">
      <c r="B72" s="564">
        <f t="shared" si="3"/>
        <v>0</v>
      </c>
      <c r="C72" s="564" t="str">
        <f t="shared" si="4"/>
        <v>B-Syrup (Sucrosic)</v>
      </c>
      <c r="D72" s="157">
        <v>6</v>
      </c>
      <c r="F72" s="509"/>
      <c r="G72" s="251">
        <f>IFERROR(INDEX(Allocators!$C:$C,MATCH($F72,Allocators!$E:$E,0)),0)</f>
        <v>0</v>
      </c>
      <c r="H72" s="508">
        <f>IFERROR(INDEX(Allocators!$D:$D,MATCH($F72,Allocators!$E:$E,0)),1)</f>
        <v>1</v>
      </c>
      <c r="I72" s="181" t="s">
        <v>448</v>
      </c>
      <c r="J72" s="191"/>
      <c r="K72" s="193"/>
      <c r="L72" s="496">
        <f>-SUMIF('B-Syrup (Sucrosic)'!$C:$C,'Costs per L'!$D72,'B-Syrup (Sucrosic)'!K:K)
/($O$2*10^6)/L$5*$H72</f>
        <v>1.5857418750000001E-2</v>
      </c>
      <c r="M72" s="496">
        <f>-SUMIF('B-Syrup (Sucrosic)'!$C:$C,'Costs per L'!$D72,'B-Syrup (Sucrosic)'!L:L)
/($O$2*10^6)/M$5*$H72</f>
        <v>1.5857418750000001E-2</v>
      </c>
      <c r="N72" s="496">
        <f>-SUMIF('B-Syrup (Sucrosic)'!$C:$C,'Costs per L'!$D72,'B-Syrup (Sucrosic)'!M:M)
/($O$2*10^6)/N$5*$H72</f>
        <v>1.5857418750000001E-2</v>
      </c>
      <c r="O72" s="496">
        <f>-SUMIF('B-Syrup (Sucrosic)'!$C:$C,'Costs per L'!$D72,'B-Syrup (Sucrosic)'!N:N)
/($O$2*10^6)/O$5*$H72</f>
        <v>1.5857418750000001E-2</v>
      </c>
      <c r="P72" s="496">
        <f>-SUMIF('B-Syrup (Sucrosic)'!$C:$C,'Costs per L'!$D72,'B-Syrup (Sucrosic)'!O:O)
/($O$2*10^6)/P$5*$H72</f>
        <v>1.5857418750000001E-2</v>
      </c>
      <c r="Q72" s="496">
        <f>-SUMIF('B-Syrup (Sucrosic)'!$C:$C,'Costs per L'!$D72,'B-Syrup (Sucrosic)'!P:P)
/($O$2*10^6)/Q$5*$H72</f>
        <v>1.5857418750000001E-2</v>
      </c>
      <c r="R72" s="496">
        <f>-SUMIF('B-Syrup (Sucrosic)'!$C:$C,'Costs per L'!$D72,'B-Syrup (Sucrosic)'!Q:Q)
/($O$2*10^6)/R$5*$H72</f>
        <v>1.5857418750000001E-2</v>
      </c>
      <c r="S72" s="496">
        <f>-SUMIF('B-Syrup (Sucrosic)'!$C:$C,'Costs per L'!$D72,'B-Syrup (Sucrosic)'!R:R)
/($O$2*10^6)/S$5*$H72</f>
        <v>1.5857418750000001E-2</v>
      </c>
      <c r="T72" s="496">
        <f>-SUMIF('B-Syrup (Sucrosic)'!$C:$C,'Costs per L'!$D72,'B-Syrup (Sucrosic)'!S:S)
/($O$2*10^6)/T$5*$H72</f>
        <v>1.5857418750000001E-2</v>
      </c>
      <c r="U72" s="496">
        <f>-SUMIF('B-Syrup (Sucrosic)'!$C:$C,'Costs per L'!$D72,'B-Syrup (Sucrosic)'!T:T)
/($O$2*10^6)/U$5*$H72</f>
        <v>1.5857418750000001E-2</v>
      </c>
      <c r="V72" s="496">
        <f>-SUMIF('B-Syrup (Sucrosic)'!$C:$C,'Costs per L'!$D72,'B-Syrup (Sucrosic)'!U:U)
/($O$2*10^6)/V$5*$H72</f>
        <v>1.5857418750000001E-2</v>
      </c>
      <c r="W72" s="496">
        <f>-SUMIF('B-Syrup (Sucrosic)'!$C:$C,'Costs per L'!$D72,'B-Syrup (Sucrosic)'!V:V)
/($O$2*10^6)/W$5*$H72</f>
        <v>1.5857418750000001E-2</v>
      </c>
      <c r="X72" s="496">
        <f>-SUMIF('B-Syrup (Sucrosic)'!$C:$C,'Costs per L'!$D72,'B-Syrup (Sucrosic)'!W:W)
/($O$2*10^6)/X$5*$H72</f>
        <v>1.5857418750000001E-2</v>
      </c>
      <c r="Y72" s="496">
        <f>-SUMIF('B-Syrup (Sucrosic)'!$C:$C,'Costs per L'!$D72,'B-Syrup (Sucrosic)'!X:X)
/($O$2*10^6)/Y$5*$H72</f>
        <v>1.5857418750000001E-2</v>
      </c>
      <c r="Z72" s="496">
        <f>-SUMIF('B-Syrup (Sucrosic)'!$C:$C,'Costs per L'!$D72,'B-Syrup (Sucrosic)'!Y:Y)
/($O$2*10^6)/Z$5*$H72</f>
        <v>1.5857418750000001E-2</v>
      </c>
      <c r="AA72" s="497">
        <f t="shared" si="14"/>
        <v>1.5857418749999998E-2</v>
      </c>
    </row>
    <row r="73" spans="2:27" x14ac:dyDescent="0.2">
      <c r="B73" s="564">
        <f t="shared" si="3"/>
        <v>0</v>
      </c>
      <c r="C73" s="564" t="str">
        <f t="shared" si="4"/>
        <v>B-Syrup (Sucrosic)</v>
      </c>
      <c r="D73" s="157">
        <v>7</v>
      </c>
      <c r="F73" s="509"/>
      <c r="G73" s="251">
        <f>IFERROR(INDEX(Allocators!$C:$C,MATCH($F73,Allocators!$E:$E,0)),0)</f>
        <v>0</v>
      </c>
      <c r="H73" s="508">
        <f>IFERROR(INDEX(Allocators!$D:$D,MATCH($F73,Allocators!$E:$E,0)),1)</f>
        <v>1</v>
      </c>
      <c r="I73" s="181" t="s">
        <v>184</v>
      </c>
      <c r="J73" s="191"/>
      <c r="K73" s="194"/>
      <c r="L73" s="498">
        <f>-SUMIF('B-Syrup (Sucrosic)'!$C:$C,'Costs per L'!$D73,'B-Syrup (Sucrosic)'!K:K)
/($O$2*10^6)/L$5*$H73</f>
        <v>0.17465115000000001</v>
      </c>
      <c r="M73" s="498">
        <f>-SUMIF('B-Syrup (Sucrosic)'!$C:$C,'Costs per L'!$D73,'B-Syrup (Sucrosic)'!L:L)
/($O$2*10^6)/M$5*$H73</f>
        <v>0.17465115000000001</v>
      </c>
      <c r="N73" s="498">
        <f>-SUMIF('B-Syrup (Sucrosic)'!$C:$C,'Costs per L'!$D73,'B-Syrup (Sucrosic)'!M:M)
/($O$2*10^6)/N$5*$H73</f>
        <v>0.17465115000000001</v>
      </c>
      <c r="O73" s="498">
        <f>-SUMIF('B-Syrup (Sucrosic)'!$C:$C,'Costs per L'!$D73,'B-Syrup (Sucrosic)'!N:N)
/($O$2*10^6)/O$5*$H73</f>
        <v>0.17465115000000001</v>
      </c>
      <c r="P73" s="498">
        <f>-SUMIF('B-Syrup (Sucrosic)'!$C:$C,'Costs per L'!$D73,'B-Syrup (Sucrosic)'!O:O)
/($O$2*10^6)/P$5*$H73</f>
        <v>0.17465115000000001</v>
      </c>
      <c r="Q73" s="498">
        <f>-SUMIF('B-Syrup (Sucrosic)'!$C:$C,'Costs per L'!$D73,'B-Syrup (Sucrosic)'!P:P)
/($O$2*10^6)/Q$5*$H73</f>
        <v>0.17465115000000001</v>
      </c>
      <c r="R73" s="498">
        <f>-SUMIF('B-Syrup (Sucrosic)'!$C:$C,'Costs per L'!$D73,'B-Syrup (Sucrosic)'!Q:Q)
/($O$2*10^6)/R$5*$H73</f>
        <v>0.17465115000000001</v>
      </c>
      <c r="S73" s="498">
        <f>-SUMIF('B-Syrup (Sucrosic)'!$C:$C,'Costs per L'!$D73,'B-Syrup (Sucrosic)'!R:R)
/($O$2*10^6)/S$5*$H73</f>
        <v>0.17465115000000001</v>
      </c>
      <c r="T73" s="498">
        <f>-SUMIF('B-Syrup (Sucrosic)'!$C:$C,'Costs per L'!$D73,'B-Syrup (Sucrosic)'!S:S)
/($O$2*10^6)/T$5*$H73</f>
        <v>0.17465115000000001</v>
      </c>
      <c r="U73" s="498">
        <f>-SUMIF('B-Syrup (Sucrosic)'!$C:$C,'Costs per L'!$D73,'B-Syrup (Sucrosic)'!T:T)
/($O$2*10^6)/U$5*$H73</f>
        <v>0.17465115000000001</v>
      </c>
      <c r="V73" s="498">
        <f>-SUMIF('B-Syrup (Sucrosic)'!$C:$C,'Costs per L'!$D73,'B-Syrup (Sucrosic)'!U:U)
/($O$2*10^6)/V$5*$H73</f>
        <v>0.17465115000000001</v>
      </c>
      <c r="W73" s="498">
        <f>-SUMIF('B-Syrup (Sucrosic)'!$C:$C,'Costs per L'!$D73,'B-Syrup (Sucrosic)'!V:V)
/($O$2*10^6)/W$5*$H73</f>
        <v>0.17465115000000001</v>
      </c>
      <c r="X73" s="498">
        <f>-SUMIF('B-Syrup (Sucrosic)'!$C:$C,'Costs per L'!$D73,'B-Syrup (Sucrosic)'!W:W)
/($O$2*10^6)/X$5*$H73</f>
        <v>0.17465115000000001</v>
      </c>
      <c r="Y73" s="498">
        <f>-SUMIF('B-Syrup (Sucrosic)'!$C:$C,'Costs per L'!$D73,'B-Syrup (Sucrosic)'!X:X)
/($O$2*10^6)/Y$5*$H73</f>
        <v>0.17465115000000001</v>
      </c>
      <c r="Z73" s="498">
        <f>-SUMIF('B-Syrup (Sucrosic)'!$C:$C,'Costs per L'!$D73,'B-Syrup (Sucrosic)'!Y:Y)
/($O$2*10^6)/Z$5*$H73</f>
        <v>0.17465115000000001</v>
      </c>
      <c r="AA73" s="499">
        <f t="shared" si="14"/>
        <v>0.17465115000000001</v>
      </c>
    </row>
    <row r="74" spans="2:27" ht="13.5" thickBot="1" x14ac:dyDescent="0.25">
      <c r="B74" s="564" t="str">
        <f t="shared" si="3"/>
        <v>B-Syrup (Sucrosic).Total production costs ($/L) before depreciation and interest</v>
      </c>
      <c r="C74" s="564" t="str">
        <f t="shared" si="4"/>
        <v>B-Syrup (Sucrosic)</v>
      </c>
      <c r="F74" s="509"/>
      <c r="G74" s="251">
        <f>IFERROR(INDEX(Allocators!$C:$C,MATCH($F74,Allocators!$E:$E,0)),0)</f>
        <v>0</v>
      </c>
      <c r="H74" s="508">
        <f>IFERROR(INDEX(Allocators!$D:$D,MATCH($F74,Allocators!$E:$E,0)),1)</f>
        <v>1</v>
      </c>
      <c r="I74" s="183" t="s">
        <v>633</v>
      </c>
      <c r="J74" s="190"/>
      <c r="K74" s="190"/>
      <c r="L74" s="500">
        <f t="shared" ref="L74:Z74" si="15">SUM(L67:L73)</f>
        <v>1.0620159477500233</v>
      </c>
      <c r="M74" s="500">
        <f t="shared" si="15"/>
        <v>1.0570872602500232</v>
      </c>
      <c r="N74" s="500">
        <f t="shared" si="15"/>
        <v>1.0570872602500232</v>
      </c>
      <c r="O74" s="500">
        <f t="shared" si="15"/>
        <v>1.0570872602500232</v>
      </c>
      <c r="P74" s="500">
        <f t="shared" si="15"/>
        <v>1.0570872602500232</v>
      </c>
      <c r="Q74" s="500">
        <f t="shared" si="15"/>
        <v>1.0570872602500232</v>
      </c>
      <c r="R74" s="500">
        <f t="shared" si="15"/>
        <v>1.0570872602500232</v>
      </c>
      <c r="S74" s="500">
        <f t="shared" si="15"/>
        <v>1.0570872602500232</v>
      </c>
      <c r="T74" s="500">
        <f t="shared" si="15"/>
        <v>1.0570872602500232</v>
      </c>
      <c r="U74" s="500">
        <f t="shared" si="15"/>
        <v>1.0570872602500232</v>
      </c>
      <c r="V74" s="500">
        <f t="shared" si="15"/>
        <v>1.0570872602500232</v>
      </c>
      <c r="W74" s="500">
        <f t="shared" si="15"/>
        <v>1.0570872602500232</v>
      </c>
      <c r="X74" s="500">
        <f t="shared" si="15"/>
        <v>1.0570872602500232</v>
      </c>
      <c r="Y74" s="500">
        <f t="shared" si="15"/>
        <v>1.0570872602500232</v>
      </c>
      <c r="Z74" s="500">
        <f t="shared" si="15"/>
        <v>1.0570872602500232</v>
      </c>
      <c r="AA74" s="501">
        <f t="shared" si="14"/>
        <v>1.0574158394166902</v>
      </c>
    </row>
    <row r="75" spans="2:27" x14ac:dyDescent="0.2">
      <c r="B75" s="564" t="str">
        <f t="shared" si="3"/>
        <v>B-Syrup (Sucrosic).Cost of Capital (Depreciation)</v>
      </c>
      <c r="C75" s="564" t="str">
        <f t="shared" si="4"/>
        <v>B-Syrup (Sucrosic)</v>
      </c>
      <c r="F75" s="509"/>
      <c r="G75" s="251">
        <f>IFERROR(INDEX(Allocators!$C:$C,MATCH($F75,Allocators!$E:$E,0)),0)</f>
        <v>0</v>
      </c>
      <c r="H75" s="508">
        <f>IFERROR(INDEX(Allocators!$D:$D,MATCH($F75,Allocators!$E:$E,0)),1)</f>
        <v>1</v>
      </c>
      <c r="I75" s="181" t="s">
        <v>471</v>
      </c>
      <c r="J75" s="197"/>
      <c r="K75" s="198"/>
      <c r="L75" s="502">
        <f>Depreciation!L92/$O$2/(10^6)/L$5*$H75</f>
        <v>6.5715833333333348E-2</v>
      </c>
      <c r="M75" s="502">
        <f>Depreciation!M92/$O$2/(10^6)/M$5*$H75</f>
        <v>4.9286875000000008E-2</v>
      </c>
      <c r="N75" s="502">
        <f>Depreciation!N92/$O$2/(10^6)/N$5*$H75</f>
        <v>4.9286875000000008E-2</v>
      </c>
      <c r="O75" s="502">
        <f>Depreciation!O92/$O$2/(10^6)/O$5*$H75</f>
        <v>4.9286875000000008E-2</v>
      </c>
      <c r="P75" s="502">
        <f>Depreciation!P92/$O$2/(10^6)/P$5*$H75</f>
        <v>4.9286875000000008E-2</v>
      </c>
      <c r="Q75" s="502">
        <f>Depreciation!Q92/$O$2/(10^6)/Q$5*$H75</f>
        <v>4.9286875000000008E-2</v>
      </c>
      <c r="R75" s="502">
        <f>Depreciation!R92/$O$2/(10^6)/R$5*$H75</f>
        <v>4.9286875000000008E-2</v>
      </c>
      <c r="S75" s="502">
        <f>Depreciation!S92/$O$2/(10^6)/S$5*$H75</f>
        <v>4.9286875000000008E-2</v>
      </c>
      <c r="T75" s="502">
        <f>Depreciation!T92/$O$2/(10^6)/T$5*$H75</f>
        <v>4.9286875000000008E-2</v>
      </c>
      <c r="U75" s="502">
        <f>Depreciation!U92/$O$2/(10^6)/U$5*$H75</f>
        <v>4.9286875000000008E-2</v>
      </c>
      <c r="V75" s="502">
        <f>Depreciation!V92/$O$2/(10^6)/V$5*$H75</f>
        <v>4.9286875000000008E-2</v>
      </c>
      <c r="W75" s="502">
        <f>Depreciation!W92/$O$2/(10^6)/W$5*$H75</f>
        <v>4.9286875000000008E-2</v>
      </c>
      <c r="X75" s="502">
        <f>Depreciation!X92/$O$2/(10^6)/X$5*$H75</f>
        <v>4.9286875000000008E-2</v>
      </c>
      <c r="Y75" s="502">
        <f>Depreciation!Y92/$O$2/(10^6)/Y$5*$H75</f>
        <v>4.9286875000000008E-2</v>
      </c>
      <c r="Z75" s="502">
        <f>Depreciation!Z92/$O$2/(10^6)/Z$5*$H75</f>
        <v>4.9286875000000008E-2</v>
      </c>
      <c r="AA75" s="503">
        <f t="shared" ref="AA75:AA76" si="16">AVERAGE(L75:Z75)</f>
        <v>5.0382138888888879E-2</v>
      </c>
    </row>
    <row r="76" spans="2:27" x14ac:dyDescent="0.2">
      <c r="B76" s="564" t="str">
        <f t="shared" ref="B76:B141" si="17">IF(D76&gt;0,0,C76&amp;"."&amp;I76)</f>
        <v>B-Syrup (Sucrosic).Interest</v>
      </c>
      <c r="C76" s="564" t="str">
        <f t="shared" ref="C76:C139" si="18">IF(ISBLANK(E76),C75,E76)</f>
        <v>B-Syrup (Sucrosic)</v>
      </c>
      <c r="F76" s="509"/>
      <c r="G76" s="251">
        <f>IFERROR(INDEX(Allocators!$C:$C,MATCH($F76,Allocators!$E:$E,0)),0)</f>
        <v>0</v>
      </c>
      <c r="H76" s="508">
        <f>IFERROR(INDEX(Allocators!$D:$D,MATCH($F76,Allocators!$E:$E,0)),1)</f>
        <v>1</v>
      </c>
      <c r="I76" s="181" t="s">
        <v>470</v>
      </c>
      <c r="J76" s="200" t="e">
        <f>INDEX('Loan Repayments'!$H$14:$H$63,MATCH(#REF!,'Loan Repayments'!$C$14:$C$63,0))
/(#REF!*10^6)</f>
        <v>#REF!</v>
      </c>
      <c r="K76" s="201" t="e">
        <f>INDEX('Loan Repayments'!$H$14:$H$63,MATCH(#REF!,'Loan Repayments'!$C$14:$C$63,0))
/(#REF!*10^6)</f>
        <v>#REF!</v>
      </c>
      <c r="L76" s="504">
        <f>INDEX('Loan Repayments'!$X$14:$X$63,MATCH(L$8,'Loan Repayments'!$S$14:$S$63,0))
/($O$2*10^6)/L5*$H76</f>
        <v>4.0029943173847782E-2</v>
      </c>
      <c r="M76" s="504">
        <f>INDEX('Loan Repayments'!$X$14:$X$63,MATCH(M$8,'Loan Repayments'!$S$14:$S$63,0))
/($O$2*10^6)/M5*$H76</f>
        <v>3.0022457380385836E-2</v>
      </c>
      <c r="N76" s="504">
        <f>INDEX('Loan Repayments'!$X$14:$X$63,MATCH(N$8,'Loan Repayments'!$S$14:$S$63,0))
/($O$2*10^6)/N5*$H76</f>
        <v>3.0022457380385836E-2</v>
      </c>
      <c r="O76" s="504">
        <f>INDEX('Loan Repayments'!$X$14:$X$63,MATCH(O$8,'Loan Repayments'!$S$14:$S$63,0))
/($O$2*10^6)/O5*$H76</f>
        <v>3.0022457380385836E-2</v>
      </c>
      <c r="P76" s="504">
        <f>INDEX('Loan Repayments'!$X$14:$X$63,MATCH(P$8,'Loan Repayments'!$S$14:$S$63,0))
/($O$2*10^6)/P5*$H76</f>
        <v>3.0022457380385836E-2</v>
      </c>
      <c r="Q76" s="504">
        <f>INDEX('Loan Repayments'!$X$14:$X$63,MATCH(Q$8,'Loan Repayments'!$S$14:$S$63,0))
/($O$2*10^6)/Q5*$H76</f>
        <v>3.0022457380385836E-2</v>
      </c>
      <c r="R76" s="504">
        <f>INDEX('Loan Repayments'!$X$14:$X$63,MATCH(R$8,'Loan Repayments'!$S$14:$S$63,0))
/($O$2*10^6)/R5*$H76</f>
        <v>3.0022457380385836E-2</v>
      </c>
      <c r="S76" s="504">
        <f>INDEX('Loan Repayments'!$X$14:$X$63,MATCH(S$8,'Loan Repayments'!$S$14:$S$63,0))
/($O$2*10^6)/S5*$H76</f>
        <v>3.0022457380385836E-2</v>
      </c>
      <c r="T76" s="504">
        <f>INDEX('Loan Repayments'!$X$14:$X$63,MATCH(T$8,'Loan Repayments'!$S$14:$S$63,0))
/($O$2*10^6)/T5*$H76</f>
        <v>3.0022457380385836E-2</v>
      </c>
      <c r="U76" s="504">
        <f>INDEX('Loan Repayments'!$X$14:$X$63,MATCH(U$8,'Loan Repayments'!$S$14:$S$63,0))
/($O$2*10^6)/U5*$H76</f>
        <v>3.0022457380385836E-2</v>
      </c>
      <c r="V76" s="504">
        <f>INDEX('Loan Repayments'!$X$14:$X$63,MATCH(V$8,'Loan Repayments'!$S$14:$S$63,0))
/($O$2*10^6)/V5*$H76</f>
        <v>3.0022457380385836E-2</v>
      </c>
      <c r="W76" s="504">
        <f>INDEX('Loan Repayments'!$X$14:$X$63,MATCH(W$8,'Loan Repayments'!$S$14:$S$63,0))
/($O$2*10^6)/W5*$H76</f>
        <v>3.0022457380385836E-2</v>
      </c>
      <c r="X76" s="504">
        <f>INDEX('Loan Repayments'!$X$14:$X$63,MATCH(X$8,'Loan Repayments'!$S$14:$S$63,0))
/($O$2*10^6)/X5*$H76</f>
        <v>3.0022457380385836E-2</v>
      </c>
      <c r="Y76" s="504">
        <f>INDEX('Loan Repayments'!$X$14:$X$63,MATCH(Y$8,'Loan Repayments'!$S$14:$S$63,0))
/($O$2*10^6)/Y5*$H76</f>
        <v>3.0022457380385836E-2</v>
      </c>
      <c r="Z76" s="504">
        <f>INDEX('Loan Repayments'!$X$14:$X$63,MATCH(Z$8,'Loan Repayments'!$S$14:$S$63,0))
/($O$2*10^6)/Z5*$H76</f>
        <v>3.0022457380385836E-2</v>
      </c>
      <c r="AA76" s="505">
        <f t="shared" si="16"/>
        <v>3.0689623099949968E-2</v>
      </c>
    </row>
    <row r="77" spans="2:27" ht="13.5" thickBot="1" x14ac:dyDescent="0.25">
      <c r="B77" s="564" t="str">
        <f t="shared" si="17"/>
        <v>B-Syrup (Sucrosic).Total production cost ($/L)</v>
      </c>
      <c r="C77" s="564" t="str">
        <f t="shared" si="18"/>
        <v>B-Syrup (Sucrosic)</v>
      </c>
      <c r="G77" s="249">
        <f>IFERROR(INDEX(Allocators!$C:$C,MATCH($F77,Allocators!$E:$E,0)),0)</f>
        <v>0</v>
      </c>
      <c r="H77" s="207">
        <f>IFERROR(INDEX(Allocators!$D:$D,MATCH($F77,Allocators!$E:$E,0)),1)</f>
        <v>1</v>
      </c>
      <c r="I77" s="183" t="s">
        <v>632</v>
      </c>
      <c r="J77" s="190"/>
      <c r="K77" s="190"/>
      <c r="L77" s="500">
        <f t="shared" ref="L77:Z77" si="19">SUM(L74,L75:L76)</f>
        <v>1.1677617242572045</v>
      </c>
      <c r="M77" s="500">
        <f t="shared" si="19"/>
        <v>1.1363965926304089</v>
      </c>
      <c r="N77" s="500">
        <f t="shared" si="19"/>
        <v>1.1363965926304089</v>
      </c>
      <c r="O77" s="500">
        <f t="shared" si="19"/>
        <v>1.1363965926304089</v>
      </c>
      <c r="P77" s="500">
        <f t="shared" si="19"/>
        <v>1.1363965926304089</v>
      </c>
      <c r="Q77" s="500">
        <f t="shared" si="19"/>
        <v>1.1363965926304089</v>
      </c>
      <c r="R77" s="500">
        <f t="shared" si="19"/>
        <v>1.1363965926304089</v>
      </c>
      <c r="S77" s="500">
        <f t="shared" si="19"/>
        <v>1.1363965926304089</v>
      </c>
      <c r="T77" s="500">
        <f t="shared" si="19"/>
        <v>1.1363965926304089</v>
      </c>
      <c r="U77" s="500">
        <f t="shared" si="19"/>
        <v>1.1363965926304089</v>
      </c>
      <c r="V77" s="500">
        <f t="shared" si="19"/>
        <v>1.1363965926304089</v>
      </c>
      <c r="W77" s="500">
        <f t="shared" si="19"/>
        <v>1.1363965926304089</v>
      </c>
      <c r="X77" s="500">
        <f t="shared" si="19"/>
        <v>1.1363965926304089</v>
      </c>
      <c r="Y77" s="500">
        <f t="shared" si="19"/>
        <v>1.1363965926304089</v>
      </c>
      <c r="Z77" s="500">
        <f t="shared" si="19"/>
        <v>1.1363965926304089</v>
      </c>
      <c r="AA77" s="501">
        <f>SUM(AA74:AA76)</f>
        <v>1.1384876014055292</v>
      </c>
    </row>
    <row r="78" spans="2:27" x14ac:dyDescent="0.2">
      <c r="B78" s="564">
        <f t="shared" si="17"/>
        <v>0</v>
      </c>
      <c r="C78" s="564" t="str">
        <f t="shared" si="18"/>
        <v>B-Syrup (Sucrosic)</v>
      </c>
      <c r="D78" s="157">
        <v>8</v>
      </c>
      <c r="F78" s="509"/>
      <c r="G78" s="251">
        <f>IFERROR(INDEX(Allocators!$C:$C,MATCH($F78,Allocators!$E:$E,0)),0)</f>
        <v>0</v>
      </c>
      <c r="H78" s="508">
        <f>IFERROR(INDEX(Allocators!$D:$D,MATCH($F78,Allocators!$E:$E,0)),1)</f>
        <v>1</v>
      </c>
      <c r="I78" s="181" t="s">
        <v>636</v>
      </c>
      <c r="J78" s="514"/>
      <c r="K78" s="514"/>
      <c r="L78" s="504">
        <f>-SUMIF('B-Syrup (Sucrosic)'!$C:$C,'Costs per L'!$D78,'B-Syrup (Sucrosic)'!K:K)
/($O$2*10^6)/L$5*$H78</f>
        <v>-0.19236023085013063</v>
      </c>
      <c r="M78" s="504">
        <f>-SUMIF('B-Syrup (Sucrosic)'!$C:$C,'Costs per L'!$D78,'B-Syrup (Sucrosic)'!L:L)
/($O$2*10^6)/M$5*$H78</f>
        <v>-0.19236023085013063</v>
      </c>
      <c r="N78" s="504">
        <f>-SUMIF('B-Syrup (Sucrosic)'!$C:$C,'Costs per L'!$D78,'B-Syrup (Sucrosic)'!M:M)
/($O$2*10^6)/N$5*$H78</f>
        <v>-0.19236023085013063</v>
      </c>
      <c r="O78" s="504">
        <f>-SUMIF('B-Syrup (Sucrosic)'!$C:$C,'Costs per L'!$D78,'B-Syrup (Sucrosic)'!N:N)
/($O$2*10^6)/O$5*$H78</f>
        <v>-0.19236023085013063</v>
      </c>
      <c r="P78" s="504">
        <f>-SUMIF('B-Syrup (Sucrosic)'!$C:$C,'Costs per L'!$D78,'B-Syrup (Sucrosic)'!O:O)
/($O$2*10^6)/P$5*$H78</f>
        <v>-0.19236023085013063</v>
      </c>
      <c r="Q78" s="504">
        <f>-SUMIF('B-Syrup (Sucrosic)'!$C:$C,'Costs per L'!$D78,'B-Syrup (Sucrosic)'!P:P)
/($O$2*10^6)/Q$5*$H78</f>
        <v>-0.19236023085013063</v>
      </c>
      <c r="R78" s="504">
        <f>-SUMIF('B-Syrup (Sucrosic)'!$C:$C,'Costs per L'!$D78,'B-Syrup (Sucrosic)'!Q:Q)
/($O$2*10^6)/R$5*$H78</f>
        <v>-0.19236023085013063</v>
      </c>
      <c r="S78" s="504">
        <f>-SUMIF('B-Syrup (Sucrosic)'!$C:$C,'Costs per L'!$D78,'B-Syrup (Sucrosic)'!R:R)
/($O$2*10^6)/S$5*$H78</f>
        <v>-0.19236023085013063</v>
      </c>
      <c r="T78" s="504">
        <f>-SUMIF('B-Syrup (Sucrosic)'!$C:$C,'Costs per L'!$D78,'B-Syrup (Sucrosic)'!S:S)
/($O$2*10^6)/T$5*$H78</f>
        <v>-0.19236023085013063</v>
      </c>
      <c r="U78" s="504">
        <f>-SUMIF('B-Syrup (Sucrosic)'!$C:$C,'Costs per L'!$D78,'B-Syrup (Sucrosic)'!T:T)
/($O$2*10^6)/U$5*$H78</f>
        <v>-0.19236023085013063</v>
      </c>
      <c r="V78" s="504">
        <f>-SUMIF('B-Syrup (Sucrosic)'!$C:$C,'Costs per L'!$D78,'B-Syrup (Sucrosic)'!U:U)
/($O$2*10^6)/V$5*$H78</f>
        <v>-0.19236023085013063</v>
      </c>
      <c r="W78" s="504">
        <f>-SUMIF('B-Syrup (Sucrosic)'!$C:$C,'Costs per L'!$D78,'B-Syrup (Sucrosic)'!V:V)
/($O$2*10^6)/W$5*$H78</f>
        <v>-0.19236023085013063</v>
      </c>
      <c r="X78" s="504">
        <f>-SUMIF('B-Syrup (Sucrosic)'!$C:$C,'Costs per L'!$D78,'B-Syrup (Sucrosic)'!W:W)
/($O$2*10^6)/X$5*$H78</f>
        <v>-0.19236023085013063</v>
      </c>
      <c r="Y78" s="504">
        <f>-SUMIF('B-Syrup (Sucrosic)'!$C:$C,'Costs per L'!$D78,'B-Syrup (Sucrosic)'!X:X)
/($O$2*10^6)/Y$5*$H78</f>
        <v>-0.19236023085013063</v>
      </c>
      <c r="Z78" s="504">
        <f>-SUMIF('B-Syrup (Sucrosic)'!$C:$C,'Costs per L'!$D78,'B-Syrup (Sucrosic)'!Y:Y)
/($O$2*10^6)/Z$5*$H78</f>
        <v>-0.19236023085013063</v>
      </c>
      <c r="AA78" s="503">
        <f>AVERAGE(L78:Z78)</f>
        <v>-0.19236023085013057</v>
      </c>
    </row>
    <row r="79" spans="2:27" ht="13.5" thickBot="1" x14ac:dyDescent="0.25">
      <c r="B79" s="564" t="str">
        <f t="shared" si="17"/>
        <v>B-Syrup (Sucrosic).Net production cost ($/L)</v>
      </c>
      <c r="C79" s="564" t="str">
        <f t="shared" si="18"/>
        <v>B-Syrup (Sucrosic)</v>
      </c>
      <c r="G79" s="171">
        <f>IFERROR(INDEX(Allocators!$C:$C,MATCH($F79,Allocators!$E:$E,0)),0)</f>
        <v>0</v>
      </c>
      <c r="H79" s="171">
        <f>IFERROR(INDEX(Allocators!$D:$D,MATCH($F79,Allocators!$E:$E,0)),1)</f>
        <v>1</v>
      </c>
      <c r="I79" s="183" t="s">
        <v>637</v>
      </c>
      <c r="J79" s="514"/>
      <c r="K79" s="514"/>
      <c r="L79" s="500">
        <f t="shared" ref="L79:AA79" si="20">SUM(L77:L78)</f>
        <v>0.97540149340707383</v>
      </c>
      <c r="M79" s="500">
        <f t="shared" si="20"/>
        <v>0.94403636178027828</v>
      </c>
      <c r="N79" s="500">
        <f t="shared" si="20"/>
        <v>0.94403636178027828</v>
      </c>
      <c r="O79" s="500">
        <f t="shared" si="20"/>
        <v>0.94403636178027828</v>
      </c>
      <c r="P79" s="500">
        <f t="shared" si="20"/>
        <v>0.94403636178027828</v>
      </c>
      <c r="Q79" s="500">
        <f t="shared" si="20"/>
        <v>0.94403636178027828</v>
      </c>
      <c r="R79" s="500">
        <f t="shared" si="20"/>
        <v>0.94403636178027828</v>
      </c>
      <c r="S79" s="500">
        <f t="shared" si="20"/>
        <v>0.94403636178027828</v>
      </c>
      <c r="T79" s="500">
        <f t="shared" si="20"/>
        <v>0.94403636178027828</v>
      </c>
      <c r="U79" s="500">
        <f t="shared" si="20"/>
        <v>0.94403636178027828</v>
      </c>
      <c r="V79" s="500">
        <f t="shared" si="20"/>
        <v>0.94403636178027828</v>
      </c>
      <c r="W79" s="500">
        <f t="shared" si="20"/>
        <v>0.94403636178027828</v>
      </c>
      <c r="X79" s="500">
        <f t="shared" si="20"/>
        <v>0.94403636178027828</v>
      </c>
      <c r="Y79" s="500">
        <f t="shared" si="20"/>
        <v>0.94403636178027828</v>
      </c>
      <c r="Z79" s="500">
        <f t="shared" si="20"/>
        <v>0.94403636178027828</v>
      </c>
      <c r="AA79" s="501">
        <f t="shared" si="20"/>
        <v>0.94612737055539864</v>
      </c>
    </row>
    <row r="80" spans="2:27" x14ac:dyDescent="0.2">
      <c r="B80" s="564" t="str">
        <f t="shared" si="17"/>
        <v>B-Syrup (Sucrosic).Remove inflation factors</v>
      </c>
      <c r="C80" s="564" t="str">
        <f t="shared" si="18"/>
        <v>B-Syrup (Sucrosic)</v>
      </c>
      <c r="G80">
        <f>IFERROR(INDEX(Allocators!$C:$C,MATCH($F80,Allocators!$E:$E,0)),0)</f>
        <v>0</v>
      </c>
      <c r="H80">
        <f>IFERROR(INDEX(Allocators!$D:$D,MATCH($F80,Allocators!$E:$E,0)),1)</f>
        <v>1</v>
      </c>
      <c r="I80" s="215" t="s">
        <v>544</v>
      </c>
      <c r="J80" s="209"/>
      <c r="K80" s="209"/>
      <c r="L80" s="209"/>
      <c r="M80" s="209"/>
      <c r="N80" s="209"/>
      <c r="O80" s="209"/>
      <c r="P80" s="209"/>
      <c r="Q80" s="209"/>
      <c r="R80" s="209"/>
      <c r="S80" s="209"/>
      <c r="T80" s="209"/>
      <c r="U80" s="209"/>
      <c r="V80" s="209"/>
      <c r="W80" s="209"/>
      <c r="X80" s="209"/>
      <c r="Y80" s="209"/>
      <c r="Z80" s="209"/>
    </row>
    <row r="81" spans="2:27" x14ac:dyDescent="0.2">
      <c r="B81" s="564" t="str">
        <f t="shared" si="17"/>
        <v>B-Syrup (Sucrosic).</v>
      </c>
      <c r="C81" s="564" t="str">
        <f t="shared" si="18"/>
        <v>B-Syrup (Sucrosic)</v>
      </c>
      <c r="G81">
        <f>IFERROR(INDEX(Allocators!$C:$C,MATCH($F81,Allocators!$E:$E,0)),0)</f>
        <v>0</v>
      </c>
      <c r="H81">
        <f>IFERROR(INDEX(Allocators!$D:$D,MATCH($F81,Allocators!$E:$E,0)),1)</f>
        <v>1</v>
      </c>
      <c r="I81" s="158"/>
    </row>
    <row r="82" spans="2:27" x14ac:dyDescent="0.2">
      <c r="B82" s="564" t="str">
        <f t="shared" si="17"/>
        <v>B-Syrup (Sucrosic).Feedstock</v>
      </c>
      <c r="C82" s="564" t="str">
        <f t="shared" si="18"/>
        <v>B-Syrup (Sucrosic)</v>
      </c>
      <c r="G82">
        <f>IFERROR(INDEX(Allocators!$C:$C,MATCH($F82,Allocators!$E:$E,0)),0)</f>
        <v>0</v>
      </c>
      <c r="H82">
        <f>IFERROR(INDEX(Allocators!$D:$D,MATCH($F82,Allocators!$E:$E,0)),1)</f>
        <v>1</v>
      </c>
      <c r="I82" s="67" t="s">
        <v>285</v>
      </c>
      <c r="L82" s="506">
        <f>AA67</f>
        <v>0.70060545151550524</v>
      </c>
    </row>
    <row r="83" spans="2:27" x14ac:dyDescent="0.2">
      <c r="B83" s="564" t="str">
        <f t="shared" si="17"/>
        <v>B-Syrup (Sucrosic).Direct Costs</v>
      </c>
      <c r="C83" s="564" t="str">
        <f t="shared" si="18"/>
        <v>B-Syrup (Sucrosic)</v>
      </c>
      <c r="G83">
        <f>IFERROR(INDEX(Allocators!$C:$C,MATCH($F83,Allocators!$E:$E,0)),0)</f>
        <v>0</v>
      </c>
      <c r="H83">
        <f>IFERROR(INDEX(Allocators!$D:$D,MATCH($F83,Allocators!$E:$E,0)),1)</f>
        <v>1</v>
      </c>
      <c r="I83" s="67" t="s">
        <v>526</v>
      </c>
      <c r="L83" s="506">
        <f>SUM(AA68:AA69,AA73)</f>
        <v>0.26400832748451825</v>
      </c>
    </row>
    <row r="84" spans="2:27" x14ac:dyDescent="0.2">
      <c r="B84" s="564" t="str">
        <f t="shared" si="17"/>
        <v>B-Syrup (Sucrosic).Maintenance</v>
      </c>
      <c r="C84" s="564" t="str">
        <f t="shared" si="18"/>
        <v>B-Syrup (Sucrosic)</v>
      </c>
      <c r="G84">
        <f>IFERROR(INDEX(Allocators!$C:$C,MATCH($F84,Allocators!$E:$E,0)),0)</f>
        <v>0</v>
      </c>
      <c r="H84">
        <f>IFERROR(INDEX(Allocators!$D:$D,MATCH($F84,Allocators!$E:$E,0)),1)</f>
        <v>1</v>
      </c>
      <c r="I84" s="67" t="s">
        <v>218</v>
      </c>
      <c r="L84" s="506">
        <f>AA70</f>
        <v>4.2564641666666667E-2</v>
      </c>
    </row>
    <row r="85" spans="2:27" x14ac:dyDescent="0.2">
      <c r="B85" s="564" t="str">
        <f t="shared" si="17"/>
        <v>B-Syrup (Sucrosic).Indirect Costs</v>
      </c>
      <c r="C85" s="564" t="str">
        <f t="shared" si="18"/>
        <v>B-Syrup (Sucrosic)</v>
      </c>
      <c r="G85">
        <f>IFERROR(INDEX(Allocators!$C:$C,MATCH($F85,Allocators!$E:$E,0)),0)</f>
        <v>0</v>
      </c>
      <c r="H85">
        <f>IFERROR(INDEX(Allocators!$D:$D,MATCH($F85,Allocators!$E:$E,0)),1)</f>
        <v>1</v>
      </c>
      <c r="I85" s="67" t="s">
        <v>527</v>
      </c>
      <c r="L85" s="506">
        <f>SUM(AA71:AA72)</f>
        <v>5.0237418750000006E-2</v>
      </c>
    </row>
    <row r="86" spans="2:27" x14ac:dyDescent="0.2">
      <c r="B86" s="564" t="str">
        <f t="shared" si="17"/>
        <v>B-Syrup (Sucrosic).Finance</v>
      </c>
      <c r="C86" s="564" t="str">
        <f t="shared" si="18"/>
        <v>B-Syrup (Sucrosic)</v>
      </c>
      <c r="G86">
        <f>IFERROR(INDEX(Allocators!$C:$C,MATCH($F86,Allocators!$E:$E,0)),0)</f>
        <v>0</v>
      </c>
      <c r="H86">
        <f>IFERROR(INDEX(Allocators!$D:$D,MATCH($F86,Allocators!$E:$E,0)),1)</f>
        <v>1</v>
      </c>
      <c r="I86" s="67" t="s">
        <v>528</v>
      </c>
      <c r="L86" s="506">
        <f>SUM(AA75:AA76)</f>
        <v>8.107176198883885E-2</v>
      </c>
    </row>
    <row r="87" spans="2:27" ht="13.5" thickBot="1" x14ac:dyDescent="0.25">
      <c r="B87" s="564" t="str">
        <f t="shared" si="17"/>
        <v>B-Syrup (Sucrosic).Total production</v>
      </c>
      <c r="C87" s="564" t="str">
        <f t="shared" si="18"/>
        <v>B-Syrup (Sucrosic)</v>
      </c>
      <c r="G87">
        <f>IFERROR(INDEX(Allocators!$C:$C,MATCH($F87,Allocators!$E:$E,0)),0)</f>
        <v>0</v>
      </c>
      <c r="H87">
        <f>IFERROR(INDEX(Allocators!$D:$D,MATCH($F87,Allocators!$E:$E,0)),1)</f>
        <v>1</v>
      </c>
      <c r="I87" s="183" t="s">
        <v>467</v>
      </c>
      <c r="L87" s="500">
        <f>SUM(L82:L86)</f>
        <v>1.1384876014055292</v>
      </c>
      <c r="M87" s="561" t="str">
        <f>IF(L87=AA77,"", "Error - Totals are not equal")</f>
        <v/>
      </c>
    </row>
    <row r="88" spans="2:27" x14ac:dyDescent="0.2">
      <c r="B88" s="564" t="str">
        <f t="shared" ref="B88:B89" si="21">IF(D88&gt;0,0,C88&amp;"."&amp;I88)</f>
        <v>B-Syrup (Sucrosic).Co-product credit</v>
      </c>
      <c r="C88" s="564" t="str">
        <f t="shared" si="18"/>
        <v>B-Syrup (Sucrosic)</v>
      </c>
      <c r="I88" s="515" t="s">
        <v>635</v>
      </c>
      <c r="L88" s="565">
        <f>AA78</f>
        <v>-0.19236023085013057</v>
      </c>
      <c r="M88" s="561"/>
    </row>
    <row r="89" spans="2:27" ht="13.5" thickBot="1" x14ac:dyDescent="0.25">
      <c r="B89" s="564" t="str">
        <f t="shared" si="21"/>
        <v>B-Syrup (Sucrosic).Net production cost</v>
      </c>
      <c r="C89" s="564" t="str">
        <f t="shared" si="18"/>
        <v>B-Syrup (Sucrosic)</v>
      </c>
      <c r="I89" s="183" t="s">
        <v>634</v>
      </c>
      <c r="L89" s="566">
        <f>SUM(L87:L88)</f>
        <v>0.94612737055539864</v>
      </c>
      <c r="M89" s="561" t="str">
        <f>IF(L89=AA79,"", "Error - Totals are not equal")</f>
        <v/>
      </c>
    </row>
    <row r="90" spans="2:27" x14ac:dyDescent="0.2">
      <c r="B90" s="564" t="str">
        <f t="shared" si="17"/>
        <v>B-Syrup (Sucrosic).</v>
      </c>
      <c r="C90" s="564" t="str">
        <f t="shared" si="18"/>
        <v>B-Syrup (Sucrosic)</v>
      </c>
      <c r="G90">
        <f>IFERROR(INDEX(Allocators!$C:$C,MATCH($F90,Allocators!$E:$E,0)),0)</f>
        <v>0</v>
      </c>
      <c r="H90">
        <f>IFERROR(INDEX(Allocators!$D:$D,MATCH($F90,Allocators!$E:$E,0)),1)</f>
        <v>1</v>
      </c>
      <c r="I90" s="254"/>
      <c r="L90" s="209"/>
    </row>
    <row r="91" spans="2:27" x14ac:dyDescent="0.2">
      <c r="B91" s="564" t="str">
        <f t="shared" si="17"/>
        <v>B-Syrup (Sucrosic).Capital Cost ($'000)</v>
      </c>
      <c r="C91" s="564" t="str">
        <f t="shared" si="18"/>
        <v>B-Syrup (Sucrosic)</v>
      </c>
      <c r="F91" s="509"/>
      <c r="G91" s="251">
        <f>IFERROR(INDEX(Allocators!$C:$C,MATCH($F91,Allocators!$E:$E,0)),0)</f>
        <v>0</v>
      </c>
      <c r="H91" s="508">
        <f>IFERROR(INDEX(Allocators!$D:$D,MATCH($F91,Allocators!$E:$E,0)),1)</f>
        <v>1</v>
      </c>
      <c r="I91" s="67" t="s">
        <v>530</v>
      </c>
      <c r="L91" s="507">
        <f>SUM('B-Syrup (Sucrosic)'!I220:J220)*'Costs per L'!H91*10^6</f>
        <v>147860625</v>
      </c>
    </row>
    <row r="92" spans="2:27" ht="13.5" thickBot="1" x14ac:dyDescent="0.25">
      <c r="B92" s="564" t="str">
        <f t="shared" si="17"/>
        <v>B-Syrup (Sucrosic).Capital Cost per L</v>
      </c>
      <c r="C92" s="564" t="str">
        <f t="shared" si="18"/>
        <v>B-Syrup (Sucrosic)</v>
      </c>
      <c r="G92">
        <f>IFERROR(INDEX(Allocators!$C:$C,MATCH($F92,Allocators!$E:$E,0)),0)</f>
        <v>0</v>
      </c>
      <c r="H92">
        <f>IFERROR(INDEX(Allocators!$D:$D,MATCH($F92,Allocators!$E:$E,0)),1)</f>
        <v>1</v>
      </c>
      <c r="I92" s="183" t="s">
        <v>529</v>
      </c>
      <c r="L92" s="500">
        <f>L91/($O$2*10^6)</f>
        <v>1.4786062499999999</v>
      </c>
      <c r="M92" s="561"/>
    </row>
    <row r="93" spans="2:27" x14ac:dyDescent="0.2">
      <c r="B93" s="564" t="str">
        <f t="shared" si="17"/>
        <v>B-Syrup (Sucrosic).</v>
      </c>
      <c r="C93" s="564" t="str">
        <f t="shared" si="18"/>
        <v>B-Syrup (Sucrosic)</v>
      </c>
      <c r="G93">
        <f>IFERROR(INDEX(Allocators!$C:$C,MATCH($F93,Allocators!$E:$E,0)),0)</f>
        <v>0</v>
      </c>
      <c r="H93">
        <f>IFERROR(INDEX(Allocators!$D:$D,MATCH($F93,Allocators!$E:$E,0)),1)</f>
        <v>1</v>
      </c>
    </row>
    <row r="94" spans="2:27" x14ac:dyDescent="0.2">
      <c r="B94" s="564" t="str">
        <f t="shared" si="17"/>
        <v>B-Syrup (Sucrosic).</v>
      </c>
      <c r="C94" s="564" t="str">
        <f t="shared" si="18"/>
        <v>B-Syrup (Sucrosic)</v>
      </c>
      <c r="G94">
        <f>IFERROR(INDEX(Allocators!$C:$C,MATCH($F94,Allocators!$E:$E,0)),0)</f>
        <v>0</v>
      </c>
      <c r="H94">
        <f>IFERROR(INDEX(Allocators!$D:$D,MATCH($F94,Allocators!$E:$E,0)),1)</f>
        <v>1</v>
      </c>
    </row>
    <row r="95" spans="2:27" x14ac:dyDescent="0.2">
      <c r="B95" s="564" t="str">
        <f t="shared" si="17"/>
        <v>B-Syrup (Sucrosic).</v>
      </c>
      <c r="C95" s="564" t="str">
        <f t="shared" si="18"/>
        <v>B-Syrup (Sucrosic)</v>
      </c>
      <c r="G95">
        <f>IFERROR(INDEX(Allocators!$C:$C,MATCH($F95,Allocators!$E:$E,0)),0)</f>
        <v>0</v>
      </c>
      <c r="H95">
        <f>IFERROR(INDEX(Allocators!$D:$D,MATCH($F95,Allocators!$E:$E,0)),1)</f>
        <v>1</v>
      </c>
    </row>
    <row r="96" spans="2:27" x14ac:dyDescent="0.2">
      <c r="B96" s="564" t="str">
        <f t="shared" si="17"/>
        <v>Sorghum (Starch).</v>
      </c>
      <c r="C96" s="564" t="str">
        <f t="shared" si="18"/>
        <v>Sorghum (Starch)</v>
      </c>
      <c r="E96" s="555" t="s">
        <v>700</v>
      </c>
      <c r="F96" s="556"/>
      <c r="G96" s="556">
        <f>IFERROR(INDEX(Allocators!$C:$C,MATCH($F96,Allocators!$E:$E,0)),0)</f>
        <v>0</v>
      </c>
      <c r="H96" s="556">
        <f>IFERROR(INDEX(Allocators!$D:$D,MATCH($F96,Allocators!$E:$E,0)),1)</f>
        <v>1</v>
      </c>
      <c r="I96" s="557"/>
      <c r="J96" s="557"/>
      <c r="K96" s="557"/>
      <c r="L96" s="557"/>
      <c r="M96" s="557"/>
      <c r="N96" s="557"/>
      <c r="O96" s="557"/>
      <c r="P96" s="557"/>
      <c r="Q96" s="557"/>
      <c r="R96" s="557"/>
      <c r="S96" s="557"/>
      <c r="T96" s="557"/>
      <c r="U96" s="557"/>
      <c r="V96" s="557"/>
      <c r="W96" s="557"/>
      <c r="X96" s="557"/>
      <c r="Y96" s="557"/>
      <c r="Z96" s="557"/>
      <c r="AA96" s="557"/>
    </row>
    <row r="97" spans="2:27" x14ac:dyDescent="0.2">
      <c r="B97" s="564">
        <f t="shared" si="17"/>
        <v>0</v>
      </c>
      <c r="C97" s="564" t="str">
        <f t="shared" si="18"/>
        <v>Sorghum (Starch)</v>
      </c>
      <c r="D97" s="157">
        <v>1</v>
      </c>
      <c r="E97" s="157"/>
      <c r="F97" s="526"/>
      <c r="G97" s="251">
        <f>IFERROR(INDEX(Allocators!$C:$C,MATCH($F97,Allocators!$E:$E,0)),0)</f>
        <v>0</v>
      </c>
      <c r="H97" s="528">
        <f>IFERROR(INDEX(Allocators!$D:$D,MATCH($F97,Allocators!$E:$E,0)),1)</f>
        <v>1</v>
      </c>
      <c r="I97" s="207" t="s">
        <v>285</v>
      </c>
      <c r="J97" s="205"/>
      <c r="K97" s="205"/>
      <c r="L97" s="530">
        <f>-SUMIF('Sorgum (Starch)'!$C:$C,'Costs per L'!$D97,'Sorgum (Starch)'!L:L)/($O$2*10^6)*$H97/L$5</f>
        <v>0.4748416586395186</v>
      </c>
      <c r="M97" s="530">
        <f>-SUMIF('Sorgum (Starch)'!$C:$C,'Costs per L'!$D97,'Sorgum (Starch)'!M:M)/($O$2*10^6)*$H97/M$5</f>
        <v>0.4748416586395186</v>
      </c>
      <c r="N97" s="530">
        <f>-SUMIF('Sorgum (Starch)'!$C:$C,'Costs per L'!$D97,'Sorgum (Starch)'!N:N)/($O$2*10^6)*$H97/N$5</f>
        <v>0.4748416586395186</v>
      </c>
      <c r="O97" s="530">
        <f>-SUMIF('Sorgum (Starch)'!$C:$C,'Costs per L'!$D97,'Sorgum (Starch)'!O:O)/($O$2*10^6)*$H97/O$5</f>
        <v>0.4748416586395186</v>
      </c>
      <c r="P97" s="530">
        <f>-SUMIF('Sorgum (Starch)'!$C:$C,'Costs per L'!$D97,'Sorgum (Starch)'!P:P)/($O$2*10^6)*$H97/P$5</f>
        <v>0.4748416586395186</v>
      </c>
      <c r="Q97" s="530">
        <f>-SUMIF('Sorgum (Starch)'!$C:$C,'Costs per L'!$D97,'Sorgum (Starch)'!Q:Q)/($O$2*10^6)*$H97/Q$5</f>
        <v>0.4748416586395186</v>
      </c>
      <c r="R97" s="530">
        <f>-SUMIF('Sorgum (Starch)'!$C:$C,'Costs per L'!$D97,'Sorgum (Starch)'!R:R)/($O$2*10^6)*$H97/R$5</f>
        <v>0.4748416586395186</v>
      </c>
      <c r="S97" s="530">
        <f>-SUMIF('Sorgum (Starch)'!$C:$C,'Costs per L'!$D97,'Sorgum (Starch)'!S:S)/($O$2*10^6)*$H97/S$5</f>
        <v>0.4748416586395186</v>
      </c>
      <c r="T97" s="530">
        <f>-SUMIF('Sorgum (Starch)'!$C:$C,'Costs per L'!$D97,'Sorgum (Starch)'!T:T)/($O$2*10^6)*$H97/T$5</f>
        <v>0.4748416586395186</v>
      </c>
      <c r="U97" s="530">
        <f>-SUMIF('Sorgum (Starch)'!$C:$C,'Costs per L'!$D97,'Sorgum (Starch)'!U:U)/($O$2*10^6)*$H97/U$5</f>
        <v>0.4748416586395186</v>
      </c>
      <c r="V97" s="530">
        <f>-SUMIF('Sorgum (Starch)'!$C:$C,'Costs per L'!$D97,'Sorgum (Starch)'!V:V)/($O$2*10^6)*$H97/V$5</f>
        <v>0.4748416586395186</v>
      </c>
      <c r="W97" s="530">
        <f>-SUMIF('Sorgum (Starch)'!$C:$C,'Costs per L'!$D97,'Sorgum (Starch)'!W:W)/($O$2*10^6)*$H97/W$5</f>
        <v>0.4748416586395186</v>
      </c>
      <c r="X97" s="530">
        <f>-SUMIF('Sorgum (Starch)'!$C:$C,'Costs per L'!$D97,'Sorgum (Starch)'!X:X)/($O$2*10^6)*$H97/X$5</f>
        <v>0.4748416586395186</v>
      </c>
      <c r="Y97" s="530">
        <f>-SUMIF('Sorgum (Starch)'!$C:$C,'Costs per L'!$D97,'Sorgum (Starch)'!Y:Y)/($O$2*10^6)*$H97/Y$5</f>
        <v>0.4748416586395186</v>
      </c>
      <c r="Z97" s="531">
        <f>-SUMIF('Sorgum (Starch)'!$C:$C,'Costs per L'!$D97,'Sorgum (Starch)'!Z:Z)/($O$2*10^6)*$H97/Z$5</f>
        <v>0.4748416586395186</v>
      </c>
      <c r="AA97" s="531">
        <f t="shared" ref="AA97:AA104" si="22">AVERAGE(L97:Z97)</f>
        <v>0.4748416586395186</v>
      </c>
    </row>
    <row r="98" spans="2:27" x14ac:dyDescent="0.2">
      <c r="B98" s="564">
        <f t="shared" si="17"/>
        <v>0</v>
      </c>
      <c r="C98" s="564" t="str">
        <f t="shared" si="18"/>
        <v>Sorghum (Starch)</v>
      </c>
      <c r="D98" s="157">
        <v>2</v>
      </c>
      <c r="E98" s="157"/>
      <c r="F98" s="526"/>
      <c r="G98" s="251">
        <f>IFERROR(INDEX(Allocators!$C:$C,MATCH($F98,Allocators!$E:$E,0)),0)</f>
        <v>0</v>
      </c>
      <c r="H98" s="528">
        <f>IFERROR(INDEX(Allocators!$D:$D,MATCH($F98,Allocators!$E:$E,0)),1)</f>
        <v>1</v>
      </c>
      <c r="I98" s="207" t="s">
        <v>86</v>
      </c>
      <c r="J98" s="206"/>
      <c r="K98" s="206"/>
      <c r="L98" s="532">
        <f>-SUMIF('Sorgum (Starch)'!$C:$C,'Costs per L'!$D98,'Sorgum (Starch)'!L:L)/($O$2*10^6)*$H98/L$5</f>
        <v>2.9704502591649955E-2</v>
      </c>
      <c r="M98" s="532">
        <f>-SUMIF('Sorgum (Starch)'!$C:$C,'Costs per L'!$D98,'Sorgum (Starch)'!M:M)/($O$2*10^6)*$H98/M$5</f>
        <v>2.9704502591649955E-2</v>
      </c>
      <c r="N98" s="532">
        <f>-SUMIF('Sorgum (Starch)'!$C:$C,'Costs per L'!$D98,'Sorgum (Starch)'!N:N)/($O$2*10^6)*$H98/N$5</f>
        <v>2.9704502591649955E-2</v>
      </c>
      <c r="O98" s="532">
        <f>-SUMIF('Sorgum (Starch)'!$C:$C,'Costs per L'!$D98,'Sorgum (Starch)'!O:O)/($O$2*10^6)*$H98/O$5</f>
        <v>2.9704502591649955E-2</v>
      </c>
      <c r="P98" s="532">
        <f>-SUMIF('Sorgum (Starch)'!$C:$C,'Costs per L'!$D98,'Sorgum (Starch)'!P:P)/($O$2*10^6)*$H98/P$5</f>
        <v>2.9704502591649955E-2</v>
      </c>
      <c r="Q98" s="532">
        <f>-SUMIF('Sorgum (Starch)'!$C:$C,'Costs per L'!$D98,'Sorgum (Starch)'!Q:Q)/($O$2*10^6)*$H98/Q$5</f>
        <v>2.9704502591649955E-2</v>
      </c>
      <c r="R98" s="532">
        <f>-SUMIF('Sorgum (Starch)'!$C:$C,'Costs per L'!$D98,'Sorgum (Starch)'!R:R)/($O$2*10^6)*$H98/R$5</f>
        <v>2.9704502591649955E-2</v>
      </c>
      <c r="S98" s="532">
        <f>-SUMIF('Sorgum (Starch)'!$C:$C,'Costs per L'!$D98,'Sorgum (Starch)'!S:S)/($O$2*10^6)*$H98/S$5</f>
        <v>2.9704502591649955E-2</v>
      </c>
      <c r="T98" s="532">
        <f>-SUMIF('Sorgum (Starch)'!$C:$C,'Costs per L'!$D98,'Sorgum (Starch)'!T:T)/($O$2*10^6)*$H98/T$5</f>
        <v>2.9704502591649955E-2</v>
      </c>
      <c r="U98" s="532">
        <f>-SUMIF('Sorgum (Starch)'!$C:$C,'Costs per L'!$D98,'Sorgum (Starch)'!U:U)/($O$2*10^6)*$H98/U$5</f>
        <v>2.9704502591649955E-2</v>
      </c>
      <c r="V98" s="532">
        <f>-SUMIF('Sorgum (Starch)'!$C:$C,'Costs per L'!$D98,'Sorgum (Starch)'!V:V)/($O$2*10^6)*$H98/V$5</f>
        <v>2.9704502591649955E-2</v>
      </c>
      <c r="W98" s="532">
        <f>-SUMIF('Sorgum (Starch)'!$C:$C,'Costs per L'!$D98,'Sorgum (Starch)'!W:W)/($O$2*10^6)*$H98/W$5</f>
        <v>2.9704502591649955E-2</v>
      </c>
      <c r="X98" s="532">
        <f>-SUMIF('Sorgum (Starch)'!$C:$C,'Costs per L'!$D98,'Sorgum (Starch)'!X:X)/($O$2*10^6)*$H98/X$5</f>
        <v>2.9704502591649955E-2</v>
      </c>
      <c r="Y98" s="532">
        <f>-SUMIF('Sorgum (Starch)'!$C:$C,'Costs per L'!$D98,'Sorgum (Starch)'!Y:Y)/($O$2*10^6)*$H98/Y$5</f>
        <v>2.9704502591649955E-2</v>
      </c>
      <c r="Z98" s="533">
        <f>-SUMIF('Sorgum (Starch)'!$C:$C,'Costs per L'!$D98,'Sorgum (Starch)'!Z:Z)/($O$2*10^6)*$H98/Z$5</f>
        <v>2.9704502591649955E-2</v>
      </c>
      <c r="AA98" s="533">
        <f t="shared" si="22"/>
        <v>2.9704502591649962E-2</v>
      </c>
    </row>
    <row r="99" spans="2:27" x14ac:dyDescent="0.2">
      <c r="B99" s="564">
        <f t="shared" si="17"/>
        <v>0</v>
      </c>
      <c r="C99" s="564" t="str">
        <f t="shared" si="18"/>
        <v>Sorghum (Starch)</v>
      </c>
      <c r="D99" s="157">
        <v>3</v>
      </c>
      <c r="E99" s="157"/>
      <c r="F99" s="526"/>
      <c r="G99" s="251">
        <f>IFERROR(INDEX(Allocators!$C:$C,MATCH($F99,Allocators!$E:$E,0)),0)</f>
        <v>0</v>
      </c>
      <c r="H99" s="528">
        <f>IFERROR(INDEX(Allocators!$D:$D,MATCH($F99,Allocators!$E:$E,0)),1)</f>
        <v>1</v>
      </c>
      <c r="I99" s="207" t="s">
        <v>129</v>
      </c>
      <c r="J99" s="206"/>
      <c r="K99" s="206"/>
      <c r="L99" s="532">
        <f>-SUMIF('Sorgum (Starch)'!$C:$C,'Costs per L'!$D99,'Sorgum (Starch)'!L:L)/($O$2*10^6)*$H99/L$5</f>
        <v>6.3045220867951265E-2</v>
      </c>
      <c r="M99" s="532">
        <f>-SUMIF('Sorgum (Starch)'!$C:$C,'Costs per L'!$D99,'Sorgum (Starch)'!M:M)/($O$2*10^6)*$H99/M$5</f>
        <v>6.3045220867951265E-2</v>
      </c>
      <c r="N99" s="532">
        <f>-SUMIF('Sorgum (Starch)'!$C:$C,'Costs per L'!$D99,'Sorgum (Starch)'!N:N)/($O$2*10^6)*$H99/N$5</f>
        <v>6.3045220867951265E-2</v>
      </c>
      <c r="O99" s="532">
        <f>-SUMIF('Sorgum (Starch)'!$C:$C,'Costs per L'!$D99,'Sorgum (Starch)'!O:O)/($O$2*10^6)*$H99/O$5</f>
        <v>6.3045220867951265E-2</v>
      </c>
      <c r="P99" s="532">
        <f>-SUMIF('Sorgum (Starch)'!$C:$C,'Costs per L'!$D99,'Sorgum (Starch)'!P:P)/($O$2*10^6)*$H99/P$5</f>
        <v>6.3045220867951265E-2</v>
      </c>
      <c r="Q99" s="532">
        <f>-SUMIF('Sorgum (Starch)'!$C:$C,'Costs per L'!$D99,'Sorgum (Starch)'!Q:Q)/($O$2*10^6)*$H99/Q$5</f>
        <v>6.3045220867951265E-2</v>
      </c>
      <c r="R99" s="532">
        <f>-SUMIF('Sorgum (Starch)'!$C:$C,'Costs per L'!$D99,'Sorgum (Starch)'!R:R)/($O$2*10^6)*$H99/R$5</f>
        <v>6.3045220867951265E-2</v>
      </c>
      <c r="S99" s="532">
        <f>-SUMIF('Sorgum (Starch)'!$C:$C,'Costs per L'!$D99,'Sorgum (Starch)'!S:S)/($O$2*10^6)*$H99/S$5</f>
        <v>6.3045220867951265E-2</v>
      </c>
      <c r="T99" s="532">
        <f>-SUMIF('Sorgum (Starch)'!$C:$C,'Costs per L'!$D99,'Sorgum (Starch)'!T:T)/($O$2*10^6)*$H99/T$5</f>
        <v>6.3045220867951265E-2</v>
      </c>
      <c r="U99" s="532">
        <f>-SUMIF('Sorgum (Starch)'!$C:$C,'Costs per L'!$D99,'Sorgum (Starch)'!U:U)/($O$2*10^6)*$H99/U$5</f>
        <v>6.3045220867951265E-2</v>
      </c>
      <c r="V99" s="532">
        <f>-SUMIF('Sorgum (Starch)'!$C:$C,'Costs per L'!$D99,'Sorgum (Starch)'!V:V)/($O$2*10^6)*$H99/V$5</f>
        <v>6.3045220867951265E-2</v>
      </c>
      <c r="W99" s="532">
        <f>-SUMIF('Sorgum (Starch)'!$C:$C,'Costs per L'!$D99,'Sorgum (Starch)'!W:W)/($O$2*10^6)*$H99/W$5</f>
        <v>6.3045220867951265E-2</v>
      </c>
      <c r="X99" s="532">
        <f>-SUMIF('Sorgum (Starch)'!$C:$C,'Costs per L'!$D99,'Sorgum (Starch)'!X:X)/($O$2*10^6)*$H99/X$5</f>
        <v>6.3045220867951265E-2</v>
      </c>
      <c r="Y99" s="532">
        <f>-SUMIF('Sorgum (Starch)'!$C:$C,'Costs per L'!$D99,'Sorgum (Starch)'!Y:Y)/($O$2*10^6)*$H99/Y$5</f>
        <v>6.3045220867951265E-2</v>
      </c>
      <c r="Z99" s="533">
        <f>-SUMIF('Sorgum (Starch)'!$C:$C,'Costs per L'!$D99,'Sorgum (Starch)'!Z:Z)/($O$2*10^6)*$H99/Z$5</f>
        <v>6.3045220867951265E-2</v>
      </c>
      <c r="AA99" s="533">
        <f t="shared" si="22"/>
        <v>6.3045220867951265E-2</v>
      </c>
    </row>
    <row r="100" spans="2:27" x14ac:dyDescent="0.2">
      <c r="B100" s="564">
        <f t="shared" si="17"/>
        <v>0</v>
      </c>
      <c r="C100" s="564" t="str">
        <f t="shared" si="18"/>
        <v>Sorghum (Starch)</v>
      </c>
      <c r="D100" s="157">
        <v>4</v>
      </c>
      <c r="E100" s="157"/>
      <c r="F100" s="526"/>
      <c r="G100" s="251">
        <f>IFERROR(INDEX(Allocators!$C:$C,MATCH($F100,Allocators!$E:$E,0)),0)</f>
        <v>0</v>
      </c>
      <c r="H100" s="528">
        <f>IFERROR(INDEX(Allocators!$D:$D,MATCH($F100,Allocators!$E:$E,0)),1)</f>
        <v>1</v>
      </c>
      <c r="I100" s="207" t="s">
        <v>218</v>
      </c>
      <c r="J100" s="206"/>
      <c r="K100" s="206"/>
      <c r="L100" s="532">
        <f>-SUMIF('Sorgum (Starch)'!$C:$C,'Costs per L'!$D100,'Sorgum (Starch)'!L:L)/($O$2*10^6)*$H100/L$5</f>
        <v>6.3984976020000014E-2</v>
      </c>
      <c r="M100" s="532">
        <f>-SUMIF('Sorgum (Starch)'!$C:$C,'Costs per L'!$D100,'Sorgum (Starch)'!M:M)/($O$2*10^6)*$H100/M$5</f>
        <v>5.7989982015000004E-2</v>
      </c>
      <c r="N100" s="532">
        <f>-SUMIF('Sorgum (Starch)'!$C:$C,'Costs per L'!$D100,'Sorgum (Starch)'!N:N)/($O$2*10^6)*$H100/N$5</f>
        <v>5.7989982015000004E-2</v>
      </c>
      <c r="O100" s="532">
        <f>-SUMIF('Sorgum (Starch)'!$C:$C,'Costs per L'!$D100,'Sorgum (Starch)'!O:O)/($O$2*10^6)*$H100/O$5</f>
        <v>5.7989982015000004E-2</v>
      </c>
      <c r="P100" s="532">
        <f>-SUMIF('Sorgum (Starch)'!$C:$C,'Costs per L'!$D100,'Sorgum (Starch)'!P:P)/($O$2*10^6)*$H100/P$5</f>
        <v>5.7989982015000004E-2</v>
      </c>
      <c r="Q100" s="532">
        <f>-SUMIF('Sorgum (Starch)'!$C:$C,'Costs per L'!$D100,'Sorgum (Starch)'!Q:Q)/($O$2*10^6)*$H100/Q$5</f>
        <v>5.7989982015000004E-2</v>
      </c>
      <c r="R100" s="532">
        <f>-SUMIF('Sorgum (Starch)'!$C:$C,'Costs per L'!$D100,'Sorgum (Starch)'!R:R)/($O$2*10^6)*$H100/R$5</f>
        <v>5.7989982015000004E-2</v>
      </c>
      <c r="S100" s="532">
        <f>-SUMIF('Sorgum (Starch)'!$C:$C,'Costs per L'!$D100,'Sorgum (Starch)'!S:S)/($O$2*10^6)*$H100/S$5</f>
        <v>5.7989982015000004E-2</v>
      </c>
      <c r="T100" s="532">
        <f>-SUMIF('Sorgum (Starch)'!$C:$C,'Costs per L'!$D100,'Sorgum (Starch)'!T:T)/($O$2*10^6)*$H100/T$5</f>
        <v>5.7989982015000004E-2</v>
      </c>
      <c r="U100" s="532">
        <f>-SUMIF('Sorgum (Starch)'!$C:$C,'Costs per L'!$D100,'Sorgum (Starch)'!U:U)/($O$2*10^6)*$H100/U$5</f>
        <v>5.7989982015000004E-2</v>
      </c>
      <c r="V100" s="532">
        <f>-SUMIF('Sorgum (Starch)'!$C:$C,'Costs per L'!$D100,'Sorgum (Starch)'!V:V)/($O$2*10^6)*$H100/V$5</f>
        <v>5.7989982015000004E-2</v>
      </c>
      <c r="W100" s="532">
        <f>-SUMIF('Sorgum (Starch)'!$C:$C,'Costs per L'!$D100,'Sorgum (Starch)'!W:W)/($O$2*10^6)*$H100/W$5</f>
        <v>5.7989982015000004E-2</v>
      </c>
      <c r="X100" s="532">
        <f>-SUMIF('Sorgum (Starch)'!$C:$C,'Costs per L'!$D100,'Sorgum (Starch)'!X:X)/($O$2*10^6)*$H100/X$5</f>
        <v>5.7989982015000004E-2</v>
      </c>
      <c r="Y100" s="532">
        <f>-SUMIF('Sorgum (Starch)'!$C:$C,'Costs per L'!$D100,'Sorgum (Starch)'!Y:Y)/($O$2*10^6)*$H100/Y$5</f>
        <v>5.7989982015000004E-2</v>
      </c>
      <c r="Z100" s="533">
        <f>-SUMIF('Sorgum (Starch)'!$C:$C,'Costs per L'!$D100,'Sorgum (Starch)'!Z:Z)/($O$2*10^6)*$H100/Z$5</f>
        <v>5.7989982015000004E-2</v>
      </c>
      <c r="AA100" s="533">
        <f t="shared" si="22"/>
        <v>5.8389648282000023E-2</v>
      </c>
    </row>
    <row r="101" spans="2:27" x14ac:dyDescent="0.2">
      <c r="B101" s="564">
        <f t="shared" si="17"/>
        <v>0</v>
      </c>
      <c r="C101" s="564" t="str">
        <f t="shared" si="18"/>
        <v>Sorghum (Starch)</v>
      </c>
      <c r="D101" s="157">
        <v>5</v>
      </c>
      <c r="E101" s="157"/>
      <c r="F101" s="526"/>
      <c r="G101" s="251">
        <f>IFERROR(INDEX(Allocators!$C:$C,MATCH($F101,Allocators!$E:$E,0)),0)</f>
        <v>0</v>
      </c>
      <c r="H101" s="528">
        <f>IFERROR(INDEX(Allocators!$D:$D,MATCH($F101,Allocators!$E:$E,0)),1)</f>
        <v>1</v>
      </c>
      <c r="I101" s="207" t="s">
        <v>525</v>
      </c>
      <c r="J101" s="206"/>
      <c r="K101" s="206"/>
      <c r="L101" s="532">
        <f>-SUMIF('Sorgum (Starch)'!$C:$C,'Costs per L'!$D101,'Sorgum (Starch)'!L:L)/($O$2*10^6)*$H101/L$5</f>
        <v>4.02E-2</v>
      </c>
      <c r="M101" s="532">
        <f>-SUMIF('Sorgum (Starch)'!$C:$C,'Costs per L'!$D101,'Sorgum (Starch)'!M:M)/($O$2*10^6)*$H101/M$5</f>
        <v>4.02E-2</v>
      </c>
      <c r="N101" s="532">
        <f>-SUMIF('Sorgum (Starch)'!$C:$C,'Costs per L'!$D101,'Sorgum (Starch)'!N:N)/($O$2*10^6)*$H101/N$5</f>
        <v>4.02E-2</v>
      </c>
      <c r="O101" s="532">
        <f>-SUMIF('Sorgum (Starch)'!$C:$C,'Costs per L'!$D101,'Sorgum (Starch)'!O:O)/($O$2*10^6)*$H101/O$5</f>
        <v>4.02E-2</v>
      </c>
      <c r="P101" s="532">
        <f>-SUMIF('Sorgum (Starch)'!$C:$C,'Costs per L'!$D101,'Sorgum (Starch)'!P:P)/($O$2*10^6)*$H101/P$5</f>
        <v>4.02E-2</v>
      </c>
      <c r="Q101" s="532">
        <f>-SUMIF('Sorgum (Starch)'!$C:$C,'Costs per L'!$D101,'Sorgum (Starch)'!Q:Q)/($O$2*10^6)*$H101/Q$5</f>
        <v>4.02E-2</v>
      </c>
      <c r="R101" s="532">
        <f>-SUMIF('Sorgum (Starch)'!$C:$C,'Costs per L'!$D101,'Sorgum (Starch)'!R:R)/($O$2*10^6)*$H101/R$5</f>
        <v>4.02E-2</v>
      </c>
      <c r="S101" s="532">
        <f>-SUMIF('Sorgum (Starch)'!$C:$C,'Costs per L'!$D101,'Sorgum (Starch)'!S:S)/($O$2*10^6)*$H101/S$5</f>
        <v>4.02E-2</v>
      </c>
      <c r="T101" s="532">
        <f>-SUMIF('Sorgum (Starch)'!$C:$C,'Costs per L'!$D101,'Sorgum (Starch)'!T:T)/($O$2*10^6)*$H101/T$5</f>
        <v>4.02E-2</v>
      </c>
      <c r="U101" s="532">
        <f>-SUMIF('Sorgum (Starch)'!$C:$C,'Costs per L'!$D101,'Sorgum (Starch)'!U:U)/($O$2*10^6)*$H101/U$5</f>
        <v>4.02E-2</v>
      </c>
      <c r="V101" s="532">
        <f>-SUMIF('Sorgum (Starch)'!$C:$C,'Costs per L'!$D101,'Sorgum (Starch)'!V:V)/($O$2*10^6)*$H101/V$5</f>
        <v>4.02E-2</v>
      </c>
      <c r="W101" s="532">
        <f>-SUMIF('Sorgum (Starch)'!$C:$C,'Costs per L'!$D101,'Sorgum (Starch)'!W:W)/($O$2*10^6)*$H101/W$5</f>
        <v>4.02E-2</v>
      </c>
      <c r="X101" s="532">
        <f>-SUMIF('Sorgum (Starch)'!$C:$C,'Costs per L'!$D101,'Sorgum (Starch)'!X:X)/($O$2*10^6)*$H101/X$5</f>
        <v>4.02E-2</v>
      </c>
      <c r="Y101" s="532">
        <f>-SUMIF('Sorgum (Starch)'!$C:$C,'Costs per L'!$D101,'Sorgum (Starch)'!Y:Y)/($O$2*10^6)*$H101/Y$5</f>
        <v>4.02E-2</v>
      </c>
      <c r="Z101" s="533">
        <f>-SUMIF('Sorgum (Starch)'!$C:$C,'Costs per L'!$D101,'Sorgum (Starch)'!Z:Z)/($O$2*10^6)*$H101/Z$5</f>
        <v>4.02E-2</v>
      </c>
      <c r="AA101" s="533">
        <f t="shared" si="22"/>
        <v>4.0200000000000007E-2</v>
      </c>
    </row>
    <row r="102" spans="2:27" x14ac:dyDescent="0.2">
      <c r="B102" s="564">
        <f t="shared" si="17"/>
        <v>0</v>
      </c>
      <c r="C102" s="564" t="str">
        <f t="shared" si="18"/>
        <v>Sorghum (Starch)</v>
      </c>
      <c r="D102" s="157">
        <v>6</v>
      </c>
      <c r="E102" s="157"/>
      <c r="F102" s="526"/>
      <c r="G102" s="251">
        <f>IFERROR(INDEX(Allocators!$C:$C,MATCH($F102,Allocators!$E:$E,0)),0)</f>
        <v>0</v>
      </c>
      <c r="H102" s="528">
        <f>IFERROR(INDEX(Allocators!$D:$D,MATCH($F102,Allocators!$E:$E,0)),1)</f>
        <v>1</v>
      </c>
      <c r="I102" s="207" t="s">
        <v>448</v>
      </c>
      <c r="J102" s="206"/>
      <c r="K102" s="206"/>
      <c r="L102" s="532">
        <f>-SUMIF('Sorgum (Starch)'!$C:$C,'Costs per L'!$D102,'Sorgum (Starch)'!L:L)/($O$2*10^6)*$H102/L$5</f>
        <v>1.87171E-2</v>
      </c>
      <c r="M102" s="532">
        <f>-SUMIF('Sorgum (Starch)'!$C:$C,'Costs per L'!$D102,'Sorgum (Starch)'!M:M)/($O$2*10^6)*$H102/M$5</f>
        <v>1.87171E-2</v>
      </c>
      <c r="N102" s="532">
        <f>-SUMIF('Sorgum (Starch)'!$C:$C,'Costs per L'!$D102,'Sorgum (Starch)'!N:N)/($O$2*10^6)*$H102/N$5</f>
        <v>1.87171E-2</v>
      </c>
      <c r="O102" s="532">
        <f>-SUMIF('Sorgum (Starch)'!$C:$C,'Costs per L'!$D102,'Sorgum (Starch)'!O:O)/($O$2*10^6)*$H102/O$5</f>
        <v>1.87171E-2</v>
      </c>
      <c r="P102" s="532">
        <f>-SUMIF('Sorgum (Starch)'!$C:$C,'Costs per L'!$D102,'Sorgum (Starch)'!P:P)/($O$2*10^6)*$H102/P$5</f>
        <v>1.87171E-2</v>
      </c>
      <c r="Q102" s="532">
        <f>-SUMIF('Sorgum (Starch)'!$C:$C,'Costs per L'!$D102,'Sorgum (Starch)'!Q:Q)/($O$2*10^6)*$H102/Q$5</f>
        <v>1.87171E-2</v>
      </c>
      <c r="R102" s="532">
        <f>-SUMIF('Sorgum (Starch)'!$C:$C,'Costs per L'!$D102,'Sorgum (Starch)'!R:R)/($O$2*10^6)*$H102/R$5</f>
        <v>1.87171E-2</v>
      </c>
      <c r="S102" s="532">
        <f>-SUMIF('Sorgum (Starch)'!$C:$C,'Costs per L'!$D102,'Sorgum (Starch)'!S:S)/($O$2*10^6)*$H102/S$5</f>
        <v>1.87171E-2</v>
      </c>
      <c r="T102" s="532">
        <f>-SUMIF('Sorgum (Starch)'!$C:$C,'Costs per L'!$D102,'Sorgum (Starch)'!T:T)/($O$2*10^6)*$H102/T$5</f>
        <v>1.87171E-2</v>
      </c>
      <c r="U102" s="532">
        <f>-SUMIF('Sorgum (Starch)'!$C:$C,'Costs per L'!$D102,'Sorgum (Starch)'!U:U)/($O$2*10^6)*$H102/U$5</f>
        <v>1.87171E-2</v>
      </c>
      <c r="V102" s="532">
        <f>-SUMIF('Sorgum (Starch)'!$C:$C,'Costs per L'!$D102,'Sorgum (Starch)'!V:V)/($O$2*10^6)*$H102/V$5</f>
        <v>1.87171E-2</v>
      </c>
      <c r="W102" s="532">
        <f>-SUMIF('Sorgum (Starch)'!$C:$C,'Costs per L'!$D102,'Sorgum (Starch)'!W:W)/($O$2*10^6)*$H102/W$5</f>
        <v>1.87171E-2</v>
      </c>
      <c r="X102" s="532">
        <f>-SUMIF('Sorgum (Starch)'!$C:$C,'Costs per L'!$D102,'Sorgum (Starch)'!X:X)/($O$2*10^6)*$H102/X$5</f>
        <v>1.87171E-2</v>
      </c>
      <c r="Y102" s="532">
        <f>-SUMIF('Sorgum (Starch)'!$C:$C,'Costs per L'!$D102,'Sorgum (Starch)'!Y:Y)/($O$2*10^6)*$H102/Y$5</f>
        <v>1.87171E-2</v>
      </c>
      <c r="Z102" s="533">
        <f>-SUMIF('Sorgum (Starch)'!$C:$C,'Costs per L'!$D102,'Sorgum (Starch)'!Z:Z)/($O$2*10^6)*$H102/Z$5</f>
        <v>1.87171E-2</v>
      </c>
      <c r="AA102" s="533">
        <f t="shared" si="22"/>
        <v>1.8717099999999993E-2</v>
      </c>
    </row>
    <row r="103" spans="2:27" x14ac:dyDescent="0.2">
      <c r="B103" s="564">
        <f t="shared" si="17"/>
        <v>0</v>
      </c>
      <c r="C103" s="564" t="str">
        <f t="shared" si="18"/>
        <v>Sorghum (Starch)</v>
      </c>
      <c r="D103" s="157">
        <v>7</v>
      </c>
      <c r="E103" s="157"/>
      <c r="F103" s="526"/>
      <c r="G103" s="251">
        <f>IFERROR(INDEX(Allocators!$C:$C,MATCH($F103,Allocators!$E:$E,0)),0)</f>
        <v>0</v>
      </c>
      <c r="H103" s="528">
        <f>IFERROR(INDEX(Allocators!$D:$D,MATCH($F103,Allocators!$E:$E,0)),1)</f>
        <v>1</v>
      </c>
      <c r="I103" s="181" t="s">
        <v>184</v>
      </c>
      <c r="J103" s="206"/>
      <c r="K103" s="206"/>
      <c r="L103" s="532">
        <f>-SUMIF('Sorgum (Starch)'!$C:$C,'Costs per L'!$D103,'Sorgum (Starch)'!L:L)/($O$2*10^6)*$H103/L$5</f>
        <v>7.769681139349531E-2</v>
      </c>
      <c r="M103" s="532">
        <f>-SUMIF('Sorgum (Starch)'!$C:$C,'Costs per L'!$D103,'Sorgum (Starch)'!M:M)/($O$2*10^6)*$H103/M$5</f>
        <v>7.7696811393495296E-2</v>
      </c>
      <c r="N103" s="532">
        <f>-SUMIF('Sorgum (Starch)'!$C:$C,'Costs per L'!$D103,'Sorgum (Starch)'!N:N)/($O$2*10^6)*$H103/N$5</f>
        <v>7.7696811393495296E-2</v>
      </c>
      <c r="O103" s="532">
        <f>-SUMIF('Sorgum (Starch)'!$C:$C,'Costs per L'!$D103,'Sorgum (Starch)'!O:O)/($O$2*10^6)*$H103/O$5</f>
        <v>7.7696811393495296E-2</v>
      </c>
      <c r="P103" s="532">
        <f>-SUMIF('Sorgum (Starch)'!$C:$C,'Costs per L'!$D103,'Sorgum (Starch)'!P:P)/($O$2*10^6)*$H103/P$5</f>
        <v>7.7696811393495296E-2</v>
      </c>
      <c r="Q103" s="532">
        <f>-SUMIF('Sorgum (Starch)'!$C:$C,'Costs per L'!$D103,'Sorgum (Starch)'!Q:Q)/($O$2*10^6)*$H103/Q$5</f>
        <v>7.7696811393495296E-2</v>
      </c>
      <c r="R103" s="532">
        <f>-SUMIF('Sorgum (Starch)'!$C:$C,'Costs per L'!$D103,'Sorgum (Starch)'!R:R)/($O$2*10^6)*$H103/R$5</f>
        <v>7.7696811393495296E-2</v>
      </c>
      <c r="S103" s="532">
        <f>-SUMIF('Sorgum (Starch)'!$C:$C,'Costs per L'!$D103,'Sorgum (Starch)'!S:S)/($O$2*10^6)*$H103/S$5</f>
        <v>7.7696811393495296E-2</v>
      </c>
      <c r="T103" s="532">
        <f>-SUMIF('Sorgum (Starch)'!$C:$C,'Costs per L'!$D103,'Sorgum (Starch)'!T:T)/($O$2*10^6)*$H103/T$5</f>
        <v>7.7696811393495296E-2</v>
      </c>
      <c r="U103" s="532">
        <f>-SUMIF('Sorgum (Starch)'!$C:$C,'Costs per L'!$D103,'Sorgum (Starch)'!U:U)/($O$2*10^6)*$H103/U$5</f>
        <v>7.7696811393495296E-2</v>
      </c>
      <c r="V103" s="532">
        <f>-SUMIF('Sorgum (Starch)'!$C:$C,'Costs per L'!$D103,'Sorgum (Starch)'!V:V)/($O$2*10^6)*$H103/V$5</f>
        <v>7.7696811393495296E-2</v>
      </c>
      <c r="W103" s="532">
        <f>-SUMIF('Sorgum (Starch)'!$C:$C,'Costs per L'!$D103,'Sorgum (Starch)'!W:W)/($O$2*10^6)*$H103/W$5</f>
        <v>7.7696811393495296E-2</v>
      </c>
      <c r="X103" s="532">
        <f>-SUMIF('Sorgum (Starch)'!$C:$C,'Costs per L'!$D103,'Sorgum (Starch)'!X:X)/($O$2*10^6)*$H103/X$5</f>
        <v>7.7696811393495296E-2</v>
      </c>
      <c r="Y103" s="532">
        <f>-SUMIF('Sorgum (Starch)'!$C:$C,'Costs per L'!$D103,'Sorgum (Starch)'!Y:Y)/($O$2*10^6)*$H103/Y$5</f>
        <v>7.7696811393495296E-2</v>
      </c>
      <c r="Z103" s="533">
        <f>-SUMIF('Sorgum (Starch)'!$C:$C,'Costs per L'!$D103,'Sorgum (Starch)'!Z:Z)/($O$2*10^6)*$H103/Z$5</f>
        <v>7.7696811393495296E-2</v>
      </c>
      <c r="AA103" s="533">
        <f t="shared" si="22"/>
        <v>7.7696811393495283E-2</v>
      </c>
    </row>
    <row r="104" spans="2:27" ht="13.5" thickBot="1" x14ac:dyDescent="0.25">
      <c r="B104" s="564" t="str">
        <f t="shared" si="17"/>
        <v>Sorghum (Starch).Total production costs ($/L) before depreciation and interest</v>
      </c>
      <c r="C104" s="564" t="str">
        <f t="shared" si="18"/>
        <v>Sorghum (Starch)</v>
      </c>
      <c r="F104" s="527"/>
      <c r="G104">
        <f>IFERROR(INDEX(Allocators!$C:$C,MATCH($F104,Allocators!$E:$E,0)),0)</f>
        <v>0</v>
      </c>
      <c r="H104" s="529">
        <f>IFERROR(INDEX(Allocators!$D:$D,MATCH($F104,Allocators!$E:$E,0)),1)</f>
        <v>1</v>
      </c>
      <c r="I104" s="183" t="s">
        <v>633</v>
      </c>
      <c r="J104" s="204"/>
      <c r="K104" s="204"/>
      <c r="L104" s="534">
        <f t="shared" ref="L104:Z104" si="23">SUM(L97:L103)</f>
        <v>0.76819026951261515</v>
      </c>
      <c r="M104" s="534">
        <f t="shared" si="23"/>
        <v>0.76219527550761523</v>
      </c>
      <c r="N104" s="534">
        <f t="shared" si="23"/>
        <v>0.76219527550761523</v>
      </c>
      <c r="O104" s="534">
        <f t="shared" si="23"/>
        <v>0.76219527550761523</v>
      </c>
      <c r="P104" s="534">
        <f t="shared" si="23"/>
        <v>0.76219527550761523</v>
      </c>
      <c r="Q104" s="534">
        <f t="shared" si="23"/>
        <v>0.76219527550761523</v>
      </c>
      <c r="R104" s="534">
        <f t="shared" si="23"/>
        <v>0.76219527550761523</v>
      </c>
      <c r="S104" s="534">
        <f t="shared" si="23"/>
        <v>0.76219527550761523</v>
      </c>
      <c r="T104" s="534">
        <f t="shared" si="23"/>
        <v>0.76219527550761523</v>
      </c>
      <c r="U104" s="534">
        <f t="shared" si="23"/>
        <v>0.76219527550761523</v>
      </c>
      <c r="V104" s="534">
        <f t="shared" si="23"/>
        <v>0.76219527550761523</v>
      </c>
      <c r="W104" s="534">
        <f t="shared" si="23"/>
        <v>0.76219527550761523</v>
      </c>
      <c r="X104" s="534">
        <f t="shared" si="23"/>
        <v>0.76219527550761523</v>
      </c>
      <c r="Y104" s="534">
        <f t="shared" si="23"/>
        <v>0.76219527550761523</v>
      </c>
      <c r="Z104" s="535">
        <f t="shared" si="23"/>
        <v>0.76219527550761523</v>
      </c>
      <c r="AA104" s="535">
        <f t="shared" si="22"/>
        <v>0.76259494177461518</v>
      </c>
    </row>
    <row r="105" spans="2:27" x14ac:dyDescent="0.2">
      <c r="B105" s="564" t="str">
        <f t="shared" si="17"/>
        <v>Sorghum (Starch).Cost of Capital (Depreciation)</v>
      </c>
      <c r="C105" s="564" t="str">
        <f t="shared" si="18"/>
        <v>Sorghum (Starch)</v>
      </c>
      <c r="F105" s="526"/>
      <c r="G105" s="251">
        <f>IFERROR(INDEX(Allocators!$C:$C,MATCH($F105,Allocators!$E:$E,0)),0)</f>
        <v>0</v>
      </c>
      <c r="H105" s="528">
        <f>IFERROR(INDEX(Allocators!$D:$D,MATCH($F105,Allocators!$E:$E,0)),1)</f>
        <v>1</v>
      </c>
      <c r="I105" s="181" t="s">
        <v>471</v>
      </c>
      <c r="J105" s="203"/>
      <c r="K105" s="203"/>
      <c r="L105" s="536">
        <f>Depreciation!L124/$O$2/(10^6)/L$5*$H105</f>
        <v>7.9933333333333342E-2</v>
      </c>
      <c r="M105" s="536">
        <f>Depreciation!M124/$O$2/(10^6)/M$5*$H105</f>
        <v>5.9950000000000003E-2</v>
      </c>
      <c r="N105" s="536">
        <f>Depreciation!N124/$O$2/(10^6)/N$5*$H105</f>
        <v>5.9950000000000003E-2</v>
      </c>
      <c r="O105" s="536">
        <f>Depreciation!O124/$O$2/(10^6)/O$5*$H105</f>
        <v>5.9950000000000003E-2</v>
      </c>
      <c r="P105" s="536">
        <f>Depreciation!P124/$O$2/(10^6)/P$5*$H105</f>
        <v>5.9950000000000003E-2</v>
      </c>
      <c r="Q105" s="536">
        <f>Depreciation!Q124/$O$2/(10^6)/Q$5*$H105</f>
        <v>5.9950000000000003E-2</v>
      </c>
      <c r="R105" s="536">
        <f>Depreciation!R124/$O$2/(10^6)/R$5*$H105</f>
        <v>5.9950000000000003E-2</v>
      </c>
      <c r="S105" s="536">
        <f>Depreciation!S124/$O$2/(10^6)/S$5*$H105</f>
        <v>5.9950000000000003E-2</v>
      </c>
      <c r="T105" s="536">
        <f>Depreciation!T124/$O$2/(10^6)/T$5*$H105</f>
        <v>5.9950000000000003E-2</v>
      </c>
      <c r="U105" s="536">
        <f>Depreciation!U124/$O$2/(10^6)/U$5*$H105</f>
        <v>5.9950000000000003E-2</v>
      </c>
      <c r="V105" s="536">
        <f>Depreciation!V124/$O$2/(10^6)/V$5*$H105</f>
        <v>5.9950000000000003E-2</v>
      </c>
      <c r="W105" s="536">
        <f>Depreciation!W124/$O$2/(10^6)/W$5*$H105</f>
        <v>5.9950000000000003E-2</v>
      </c>
      <c r="X105" s="536">
        <f>Depreciation!X124/$O$2/(10^6)/X$5*$H105</f>
        <v>5.9950000000000003E-2</v>
      </c>
      <c r="Y105" s="536">
        <f>Depreciation!Y124/$O$2/(10^6)/Y$5*$H105</f>
        <v>5.9950000000000003E-2</v>
      </c>
      <c r="Z105" s="537">
        <f>Depreciation!Z124/$O$2/(10^6)/Z$5*$H105</f>
        <v>5.9950000000000003E-2</v>
      </c>
      <c r="AA105" s="537">
        <f t="shared" ref="AA105:AA106" si="24">AVERAGE(L105:Z105)</f>
        <v>6.128222222222221E-2</v>
      </c>
    </row>
    <row r="106" spans="2:27" x14ac:dyDescent="0.2">
      <c r="B106" s="564" t="str">
        <f t="shared" si="17"/>
        <v>Sorghum (Starch).Interest</v>
      </c>
      <c r="C106" s="564" t="str">
        <f t="shared" si="18"/>
        <v>Sorghum (Starch)</v>
      </c>
      <c r="F106" s="526"/>
      <c r="G106" s="251">
        <f>IFERROR(INDEX(Allocators!$C:$C,MATCH($F106,Allocators!$E:$E,0)),0)</f>
        <v>0</v>
      </c>
      <c r="H106" s="528">
        <f>IFERROR(INDEX(Allocators!$D:$D,MATCH($F106,Allocators!$E:$E,0)),1)</f>
        <v>1</v>
      </c>
      <c r="I106" s="563" t="s">
        <v>470</v>
      </c>
      <c r="J106" s="203"/>
      <c r="K106" s="203"/>
      <c r="L106" s="536">
        <f>INDEX('Loan Repayments'!$AF$14:$AF$63,MATCH(L$8,'Loan Repayments'!$AA$14:$AA$63,0))
/($O$2*10^6)/L$5*$H106</f>
        <v>4.8690347953124942E-2</v>
      </c>
      <c r="M106" s="536">
        <f>INDEX('Loan Repayments'!$AF$14:$AF$63,MATCH(M$8,'Loan Repayments'!$AA$14:$AA$63,0))
/($O$2*10^6)/M$5*$H106</f>
        <v>3.6517760964843708E-2</v>
      </c>
      <c r="N106" s="536">
        <f>INDEX('Loan Repayments'!$AF$14:$AF$63,MATCH(N$8,'Loan Repayments'!$AA$14:$AA$63,0))
/($O$2*10^6)/N$5*$H106</f>
        <v>3.6517760964843708E-2</v>
      </c>
      <c r="O106" s="536">
        <f>INDEX('Loan Repayments'!$AF$14:$AF$63,MATCH(O$8,'Loan Repayments'!$AA$14:$AA$63,0))
/($O$2*10^6)/O$5*$H106</f>
        <v>3.6517760964843708E-2</v>
      </c>
      <c r="P106" s="536">
        <f>INDEX('Loan Repayments'!$AF$14:$AF$63,MATCH(P$8,'Loan Repayments'!$AA$14:$AA$63,0))
/($O$2*10^6)/P$5*$H106</f>
        <v>3.6517760964843708E-2</v>
      </c>
      <c r="Q106" s="536">
        <f>INDEX('Loan Repayments'!$AF$14:$AF$63,MATCH(Q$8,'Loan Repayments'!$AA$14:$AA$63,0))
/($O$2*10^6)/Q$5*$H106</f>
        <v>3.6517760964843708E-2</v>
      </c>
      <c r="R106" s="536">
        <f>INDEX('Loan Repayments'!$AF$14:$AF$63,MATCH(R$8,'Loan Repayments'!$AA$14:$AA$63,0))
/($O$2*10^6)/R$5*$H106</f>
        <v>3.6517760964843708E-2</v>
      </c>
      <c r="S106" s="536">
        <f>INDEX('Loan Repayments'!$AF$14:$AF$63,MATCH(S$8,'Loan Repayments'!$AA$14:$AA$63,0))
/($O$2*10^6)/S$5*$H106</f>
        <v>3.6517760964843708E-2</v>
      </c>
      <c r="T106" s="536">
        <f>INDEX('Loan Repayments'!$AF$14:$AF$63,MATCH(T$8,'Loan Repayments'!$AA$14:$AA$63,0))
/($O$2*10^6)/T$5*$H106</f>
        <v>3.6517760964843708E-2</v>
      </c>
      <c r="U106" s="536">
        <f>INDEX('Loan Repayments'!$AF$14:$AF$63,MATCH(U$8,'Loan Repayments'!$AA$14:$AA$63,0))
/($O$2*10^6)/U$5*$H106</f>
        <v>3.6517760964843708E-2</v>
      </c>
      <c r="V106" s="536">
        <f>INDEX('Loan Repayments'!$AF$14:$AF$63,MATCH(V$8,'Loan Repayments'!$AA$14:$AA$63,0))
/($O$2*10^6)/V$5*$H106</f>
        <v>3.6517760964843708E-2</v>
      </c>
      <c r="W106" s="536">
        <f>INDEX('Loan Repayments'!$AF$14:$AF$63,MATCH(W$8,'Loan Repayments'!$AA$14:$AA$63,0))
/($O$2*10^6)/W$5*$H106</f>
        <v>3.6517760964843708E-2</v>
      </c>
      <c r="X106" s="536">
        <f>INDEX('Loan Repayments'!$AF$14:$AF$63,MATCH(X$8,'Loan Repayments'!$AA$14:$AA$63,0))
/($O$2*10^6)/X$5*$H106</f>
        <v>3.6517760964843708E-2</v>
      </c>
      <c r="Y106" s="536">
        <f>INDEX('Loan Repayments'!$AF$14:$AF$63,MATCH(Y$8,'Loan Repayments'!$AA$14:$AA$63,0))
/($O$2*10^6)/Y$5*$H106</f>
        <v>3.6517760964843708E-2</v>
      </c>
      <c r="Z106" s="537">
        <f>INDEX('Loan Repayments'!$AF$14:$AF$63,MATCH(Z$8,'Loan Repayments'!$AA$14:$AA$63,0))
/($O$2*10^6)/Z$5*$H106</f>
        <v>3.6517760964843708E-2</v>
      </c>
      <c r="AA106" s="537">
        <f t="shared" si="24"/>
        <v>3.7329266764062459E-2</v>
      </c>
    </row>
    <row r="107" spans="2:27" ht="13.5" thickBot="1" x14ac:dyDescent="0.25">
      <c r="B107" s="564" t="str">
        <f t="shared" si="17"/>
        <v>Sorghum (Starch).Total production cost ($/L)</v>
      </c>
      <c r="C107" s="564" t="str">
        <f t="shared" si="18"/>
        <v>Sorghum (Starch)</v>
      </c>
      <c r="F107" s="527"/>
      <c r="G107">
        <f>IFERROR(INDEX(Allocators!$C:$C,MATCH($F107,Allocators!$E:$E,0)),0)</f>
        <v>0</v>
      </c>
      <c r="H107" s="527">
        <f>IFERROR(INDEX(Allocators!$D:$D,MATCH($F107,Allocators!$E:$E,0)),1)</f>
        <v>1</v>
      </c>
      <c r="I107" s="183" t="s">
        <v>632</v>
      </c>
      <c r="J107" s="204"/>
      <c r="K107" s="204"/>
      <c r="L107" s="534">
        <f t="shared" ref="L107:Z107" si="25">SUM(L104,L105)</f>
        <v>0.84812360284594845</v>
      </c>
      <c r="M107" s="534">
        <f t="shared" si="25"/>
        <v>0.82214527550761529</v>
      </c>
      <c r="N107" s="534">
        <f t="shared" si="25"/>
        <v>0.82214527550761529</v>
      </c>
      <c r="O107" s="534">
        <f t="shared" si="25"/>
        <v>0.82214527550761529</v>
      </c>
      <c r="P107" s="534">
        <f t="shared" si="25"/>
        <v>0.82214527550761529</v>
      </c>
      <c r="Q107" s="534">
        <f t="shared" si="25"/>
        <v>0.82214527550761529</v>
      </c>
      <c r="R107" s="534">
        <f t="shared" si="25"/>
        <v>0.82214527550761529</v>
      </c>
      <c r="S107" s="534">
        <f t="shared" si="25"/>
        <v>0.82214527550761529</v>
      </c>
      <c r="T107" s="534">
        <f t="shared" si="25"/>
        <v>0.82214527550761529</v>
      </c>
      <c r="U107" s="534">
        <f t="shared" si="25"/>
        <v>0.82214527550761529</v>
      </c>
      <c r="V107" s="534">
        <f t="shared" si="25"/>
        <v>0.82214527550761529</v>
      </c>
      <c r="W107" s="534">
        <f t="shared" si="25"/>
        <v>0.82214527550761529</v>
      </c>
      <c r="X107" s="534">
        <f t="shared" si="25"/>
        <v>0.82214527550761529</v>
      </c>
      <c r="Y107" s="534">
        <f t="shared" si="25"/>
        <v>0.82214527550761529</v>
      </c>
      <c r="Z107" s="535">
        <f t="shared" si="25"/>
        <v>0.82214527550761529</v>
      </c>
      <c r="AA107" s="535">
        <f>SUM(AA104:AA106)</f>
        <v>0.86120643076089987</v>
      </c>
    </row>
    <row r="108" spans="2:27" x14ac:dyDescent="0.2">
      <c r="B108" s="564">
        <f t="shared" si="17"/>
        <v>0</v>
      </c>
      <c r="C108" s="564" t="str">
        <f t="shared" si="18"/>
        <v>Sorghum (Starch)</v>
      </c>
      <c r="D108" s="157">
        <v>8</v>
      </c>
      <c r="F108" s="526"/>
      <c r="G108" s="251">
        <f>IFERROR(INDEX(Allocators!$C:$C,MATCH($F108,Allocators!$E:$E,0)),0)</f>
        <v>0</v>
      </c>
      <c r="H108" s="528">
        <f>IFERROR(INDEX(Allocators!$D:$D,MATCH($F108,Allocators!$E:$E,0)),1)</f>
        <v>1</v>
      </c>
      <c r="I108" s="525" t="s">
        <v>638</v>
      </c>
      <c r="J108" s="514"/>
      <c r="K108" s="514"/>
      <c r="L108" s="538">
        <f>-SUMIF('Sorgum (Starch)'!$C:$C,'Costs per L'!$D108,'Sorgum (Starch)'!L:L)/($O$2*10^6)*$H108/L$5</f>
        <v>-0.17550860076813837</v>
      </c>
      <c r="M108" s="538">
        <f>-SUMIF('Sorgum (Starch)'!$C:$C,'Costs per L'!$D108,'Sorgum (Starch)'!M:M)/($O$2*10^6)*$H108/M$5</f>
        <v>-0.1755086007681384</v>
      </c>
      <c r="N108" s="538">
        <f>-SUMIF('Sorgum (Starch)'!$C:$C,'Costs per L'!$D108,'Sorgum (Starch)'!N:N)/($O$2*10^6)*$H108/N$5</f>
        <v>-0.1755086007681384</v>
      </c>
      <c r="O108" s="538">
        <f>-SUMIF('Sorgum (Starch)'!$C:$C,'Costs per L'!$D108,'Sorgum (Starch)'!O:O)/($O$2*10^6)*$H108/O$5</f>
        <v>-0.1755086007681384</v>
      </c>
      <c r="P108" s="538">
        <f>-SUMIF('Sorgum (Starch)'!$C:$C,'Costs per L'!$D108,'Sorgum (Starch)'!P:P)/($O$2*10^6)*$H108/P$5</f>
        <v>-0.1755086007681384</v>
      </c>
      <c r="Q108" s="538">
        <f>-SUMIF('Sorgum (Starch)'!$C:$C,'Costs per L'!$D108,'Sorgum (Starch)'!Q:Q)/($O$2*10^6)*$H108/Q$5</f>
        <v>-0.1755086007681384</v>
      </c>
      <c r="R108" s="538">
        <f>-SUMIF('Sorgum (Starch)'!$C:$C,'Costs per L'!$D108,'Sorgum (Starch)'!R:R)/($O$2*10^6)*$H108/R$5</f>
        <v>-0.1755086007681384</v>
      </c>
      <c r="S108" s="538">
        <f>-SUMIF('Sorgum (Starch)'!$C:$C,'Costs per L'!$D108,'Sorgum (Starch)'!S:S)/($O$2*10^6)*$H108/S$5</f>
        <v>-0.1755086007681384</v>
      </c>
      <c r="T108" s="538">
        <f>-SUMIF('Sorgum (Starch)'!$C:$C,'Costs per L'!$D108,'Sorgum (Starch)'!T:T)/($O$2*10^6)*$H108/T$5</f>
        <v>-0.1755086007681384</v>
      </c>
      <c r="U108" s="538">
        <f>-SUMIF('Sorgum (Starch)'!$C:$C,'Costs per L'!$D108,'Sorgum (Starch)'!U:U)/($O$2*10^6)*$H108/U$5</f>
        <v>-0.1755086007681384</v>
      </c>
      <c r="V108" s="538">
        <f>-SUMIF('Sorgum (Starch)'!$C:$C,'Costs per L'!$D108,'Sorgum (Starch)'!V:V)/($O$2*10^6)*$H108/V$5</f>
        <v>-0.1755086007681384</v>
      </c>
      <c r="W108" s="538">
        <f>-SUMIF('Sorgum (Starch)'!$C:$C,'Costs per L'!$D108,'Sorgum (Starch)'!W:W)/($O$2*10^6)*$H108/W$5</f>
        <v>-0.1755086007681384</v>
      </c>
      <c r="X108" s="538">
        <f>-SUMIF('Sorgum (Starch)'!$C:$C,'Costs per L'!$D108,'Sorgum (Starch)'!X:X)/($O$2*10^6)*$H108/X$5</f>
        <v>-0.1755086007681384</v>
      </c>
      <c r="Y108" s="538">
        <f>-SUMIF('Sorgum (Starch)'!$C:$C,'Costs per L'!$D108,'Sorgum (Starch)'!Y:Y)/($O$2*10^6)*$H108/Y$5</f>
        <v>-0.1755086007681384</v>
      </c>
      <c r="Z108" s="538">
        <f>-SUMIF('Sorgum (Starch)'!$C:$C,'Costs per L'!$D108,'Sorgum (Starch)'!Z:Z)/($O$2*10^6)*$H108/Z$5</f>
        <v>-0.1755086007681384</v>
      </c>
      <c r="AA108" s="539">
        <f>AVERAGE(L108:Z108)</f>
        <v>-0.17550860076813843</v>
      </c>
    </row>
    <row r="109" spans="2:27" ht="13.5" thickBot="1" x14ac:dyDescent="0.25">
      <c r="B109" s="564" t="str">
        <f t="shared" si="17"/>
        <v>Sorghum (Starch).Net production cost ($/L)</v>
      </c>
      <c r="C109" s="564" t="str">
        <f t="shared" si="18"/>
        <v>Sorghum (Starch)</v>
      </c>
      <c r="G109" s="171">
        <f>IFERROR(INDEX(Allocators!$C:$C,MATCH($F109,Allocators!$E:$E,0)),0)</f>
        <v>0</v>
      </c>
      <c r="H109" s="171">
        <f>IFERROR(INDEX(Allocators!$D:$D,MATCH($F109,Allocators!$E:$E,0)),1)</f>
        <v>1</v>
      </c>
      <c r="I109" s="183" t="s">
        <v>637</v>
      </c>
      <c r="J109" s="514"/>
      <c r="K109" s="514"/>
      <c r="L109" s="534">
        <f t="shared" ref="L109:AA109" si="26">SUM(L107:L108)</f>
        <v>0.67261500207781011</v>
      </c>
      <c r="M109" s="534">
        <f t="shared" si="26"/>
        <v>0.64663667473947695</v>
      </c>
      <c r="N109" s="534">
        <f t="shared" si="26"/>
        <v>0.64663667473947695</v>
      </c>
      <c r="O109" s="534">
        <f t="shared" si="26"/>
        <v>0.64663667473947695</v>
      </c>
      <c r="P109" s="534">
        <f t="shared" si="26"/>
        <v>0.64663667473947695</v>
      </c>
      <c r="Q109" s="534">
        <f t="shared" si="26"/>
        <v>0.64663667473947695</v>
      </c>
      <c r="R109" s="534">
        <f t="shared" si="26"/>
        <v>0.64663667473947695</v>
      </c>
      <c r="S109" s="534">
        <f t="shared" si="26"/>
        <v>0.64663667473947695</v>
      </c>
      <c r="T109" s="534">
        <f t="shared" si="26"/>
        <v>0.64663667473947695</v>
      </c>
      <c r="U109" s="534">
        <f t="shared" si="26"/>
        <v>0.64663667473947695</v>
      </c>
      <c r="V109" s="534">
        <f t="shared" si="26"/>
        <v>0.64663667473947695</v>
      </c>
      <c r="W109" s="534">
        <f t="shared" si="26"/>
        <v>0.64663667473947695</v>
      </c>
      <c r="X109" s="534">
        <f t="shared" si="26"/>
        <v>0.64663667473947695</v>
      </c>
      <c r="Y109" s="534">
        <f t="shared" si="26"/>
        <v>0.64663667473947695</v>
      </c>
      <c r="Z109" s="534">
        <f t="shared" si="26"/>
        <v>0.64663667473947695</v>
      </c>
      <c r="AA109" s="540">
        <f t="shared" si="26"/>
        <v>0.68569782999276141</v>
      </c>
    </row>
    <row r="110" spans="2:27" x14ac:dyDescent="0.2">
      <c r="B110" s="564" t="str">
        <f t="shared" si="17"/>
        <v>Sorghum (Starch).Remove inflation factors</v>
      </c>
      <c r="C110" s="564" t="str">
        <f t="shared" si="18"/>
        <v>Sorghum (Starch)</v>
      </c>
      <c r="G110">
        <f>IFERROR(INDEX(Allocators!$C:$C,MATCH($F110,Allocators!$E:$E,0)),0)</f>
        <v>0</v>
      </c>
      <c r="H110">
        <f>IFERROR(INDEX(Allocators!$D:$D,MATCH($F110,Allocators!$E:$E,0)),1)</f>
        <v>1</v>
      </c>
      <c r="I110" s="215" t="s">
        <v>544</v>
      </c>
      <c r="J110" s="179"/>
      <c r="K110" s="179"/>
      <c r="L110" s="179"/>
      <c r="M110" s="179"/>
      <c r="N110" s="179"/>
      <c r="O110" s="179"/>
      <c r="P110" s="179"/>
      <c r="Q110" s="179"/>
      <c r="R110" s="179"/>
      <c r="S110" s="179"/>
      <c r="T110" s="179"/>
      <c r="U110" s="179"/>
      <c r="V110" s="179"/>
      <c r="W110" s="179"/>
      <c r="X110" s="179"/>
      <c r="Y110" s="179"/>
      <c r="Z110" s="179"/>
    </row>
    <row r="111" spans="2:27" x14ac:dyDescent="0.2">
      <c r="B111" s="564" t="str">
        <f t="shared" si="17"/>
        <v>Sorghum (Starch).</v>
      </c>
      <c r="C111" s="564" t="str">
        <f t="shared" si="18"/>
        <v>Sorghum (Starch)</v>
      </c>
      <c r="G111">
        <f>IFERROR(INDEX(Allocators!$C:$C,MATCH($F111,Allocators!$E:$E,0)),0)</f>
        <v>0</v>
      </c>
      <c r="H111">
        <f>IFERROR(INDEX(Allocators!$D:$D,MATCH($F111,Allocators!$E:$E,0)),1)</f>
        <v>1</v>
      </c>
      <c r="I111" s="208"/>
      <c r="J111" s="179"/>
      <c r="K111" s="179"/>
      <c r="L111" s="179"/>
      <c r="M111" s="179"/>
      <c r="N111" s="179"/>
      <c r="O111" s="179"/>
      <c r="P111" s="179"/>
      <c r="Q111" s="179"/>
      <c r="R111" s="179"/>
      <c r="S111" s="179"/>
      <c r="T111" s="179"/>
      <c r="U111" s="179"/>
      <c r="V111" s="179"/>
      <c r="W111" s="179"/>
      <c r="X111" s="179"/>
      <c r="Y111" s="179"/>
      <c r="Z111" s="179"/>
    </row>
    <row r="112" spans="2:27" x14ac:dyDescent="0.2">
      <c r="B112" s="564" t="str">
        <f t="shared" si="17"/>
        <v>Sorghum (Starch).Feedstock</v>
      </c>
      <c r="C112" s="564" t="str">
        <f t="shared" si="18"/>
        <v>Sorghum (Starch)</v>
      </c>
      <c r="G112">
        <f>IFERROR(INDEX(Allocators!$C:$C,MATCH($F112,Allocators!$E:$E,0)),0)</f>
        <v>0</v>
      </c>
      <c r="H112">
        <f>IFERROR(INDEX(Allocators!$D:$D,MATCH($F112,Allocators!$E:$E,0)),1)</f>
        <v>1</v>
      </c>
      <c r="I112" s="341" t="s">
        <v>285</v>
      </c>
      <c r="K112" s="179"/>
      <c r="L112" s="541">
        <f>AA97</f>
        <v>0.4748416586395186</v>
      </c>
      <c r="M112" s="179"/>
      <c r="N112" s="179"/>
      <c r="O112" s="179"/>
      <c r="P112" s="179"/>
      <c r="Q112" s="179"/>
      <c r="R112" s="179"/>
      <c r="S112" s="179"/>
      <c r="T112" s="179"/>
      <c r="U112" s="179"/>
      <c r="V112" s="179"/>
      <c r="W112" s="179"/>
      <c r="X112" s="179"/>
      <c r="Y112" s="179"/>
      <c r="Z112" s="179"/>
    </row>
    <row r="113" spans="2:27" x14ac:dyDescent="0.2">
      <c r="B113" s="564" t="str">
        <f t="shared" si="17"/>
        <v>Sorghum (Starch).Direct Costs</v>
      </c>
      <c r="C113" s="564" t="str">
        <f t="shared" si="18"/>
        <v>Sorghum (Starch)</v>
      </c>
      <c r="G113">
        <f>IFERROR(INDEX(Allocators!$C:$C,MATCH($F113,Allocators!$E:$E,0)),0)</f>
        <v>0</v>
      </c>
      <c r="H113">
        <f>IFERROR(INDEX(Allocators!$D:$D,MATCH($F113,Allocators!$E:$E,0)),1)</f>
        <v>1</v>
      </c>
      <c r="I113" s="341" t="s">
        <v>526</v>
      </c>
      <c r="L113" s="541">
        <f>SUM(AA98:AA99,AA103)</f>
        <v>0.17044653485309652</v>
      </c>
    </row>
    <row r="114" spans="2:27" x14ac:dyDescent="0.2">
      <c r="B114" s="564" t="str">
        <f t="shared" si="17"/>
        <v>Sorghum (Starch).Maintenance</v>
      </c>
      <c r="C114" s="564" t="str">
        <f t="shared" si="18"/>
        <v>Sorghum (Starch)</v>
      </c>
      <c r="G114">
        <f>IFERROR(INDEX(Allocators!$C:$C,MATCH($F114,Allocators!$E:$E,0)),0)</f>
        <v>0</v>
      </c>
      <c r="H114">
        <f>IFERROR(INDEX(Allocators!$D:$D,MATCH($F114,Allocators!$E:$E,0)),1)</f>
        <v>1</v>
      </c>
      <c r="I114" s="341" t="s">
        <v>218</v>
      </c>
      <c r="L114" s="541">
        <f>AA100</f>
        <v>5.8389648282000023E-2</v>
      </c>
    </row>
    <row r="115" spans="2:27" x14ac:dyDescent="0.2">
      <c r="B115" s="564" t="str">
        <f t="shared" si="17"/>
        <v>Sorghum (Starch).Indirect Costs</v>
      </c>
      <c r="C115" s="564" t="str">
        <f t="shared" si="18"/>
        <v>Sorghum (Starch)</v>
      </c>
      <c r="G115">
        <f>IFERROR(INDEX(Allocators!$C:$C,MATCH($F115,Allocators!$E:$E,0)),0)</f>
        <v>0</v>
      </c>
      <c r="H115">
        <f>IFERROR(INDEX(Allocators!$D:$D,MATCH($F115,Allocators!$E:$E,0)),1)</f>
        <v>1</v>
      </c>
      <c r="I115" s="341" t="s">
        <v>527</v>
      </c>
      <c r="L115" s="541">
        <f>SUM(AA101:AA102)</f>
        <v>5.89171E-2</v>
      </c>
    </row>
    <row r="116" spans="2:27" x14ac:dyDescent="0.2">
      <c r="B116" s="564" t="str">
        <f t="shared" si="17"/>
        <v>Sorghum (Starch).Finance</v>
      </c>
      <c r="C116" s="564" t="str">
        <f t="shared" si="18"/>
        <v>Sorghum (Starch)</v>
      </c>
      <c r="G116">
        <f>IFERROR(INDEX(Allocators!$C:$C,MATCH($F116,Allocators!$E:$E,0)),0)</f>
        <v>0</v>
      </c>
      <c r="H116">
        <f>IFERROR(INDEX(Allocators!$D:$D,MATCH($F116,Allocators!$E:$E,0)),1)</f>
        <v>1</v>
      </c>
      <c r="I116" s="341" t="s">
        <v>528</v>
      </c>
      <c r="L116" s="541">
        <f>SUM(AA105:AA106)</f>
        <v>9.8611488986284662E-2</v>
      </c>
    </row>
    <row r="117" spans="2:27" ht="13.5" thickBot="1" x14ac:dyDescent="0.25">
      <c r="B117" s="564" t="str">
        <f t="shared" si="17"/>
        <v>Sorghum (Starch).Total production</v>
      </c>
      <c r="C117" s="564" t="str">
        <f t="shared" si="18"/>
        <v>Sorghum (Starch)</v>
      </c>
      <c r="G117">
        <f>IFERROR(INDEX(Allocators!$C:$C,MATCH($F117,Allocators!$E:$E,0)),0)</f>
        <v>0</v>
      </c>
      <c r="H117">
        <f>IFERROR(INDEX(Allocators!$D:$D,MATCH($F117,Allocators!$E:$E,0)),1)</f>
        <v>1</v>
      </c>
      <c r="I117" s="183" t="s">
        <v>467</v>
      </c>
      <c r="L117" s="534">
        <f>SUM(L112:L116)</f>
        <v>0.86120643076089987</v>
      </c>
      <c r="M117" s="561" t="str">
        <f>IF(ROUND(L117,4)=ROUND(AA107,4),"", "Error - Totals are not equal")</f>
        <v/>
      </c>
    </row>
    <row r="118" spans="2:27" x14ac:dyDescent="0.2">
      <c r="B118" s="564" t="str">
        <f t="shared" si="17"/>
        <v>Sorghum (Starch).Co-product credit</v>
      </c>
      <c r="C118" s="564" t="str">
        <f t="shared" si="18"/>
        <v>Sorghum (Starch)</v>
      </c>
      <c r="G118">
        <f>IFERROR(INDEX(Allocators!$C:$C,MATCH($F118,Allocators!$E:$E,0)),0)</f>
        <v>0</v>
      </c>
      <c r="H118">
        <f>IFERROR(INDEX(Allocators!$D:$D,MATCH($F118,Allocators!$E:$E,0)),1)</f>
        <v>1</v>
      </c>
      <c r="I118" s="515" t="s">
        <v>635</v>
      </c>
      <c r="L118" s="542">
        <f>AA108</f>
        <v>-0.17550860076813843</v>
      </c>
    </row>
    <row r="119" spans="2:27" ht="13.5" thickBot="1" x14ac:dyDescent="0.25">
      <c r="B119" s="564" t="str">
        <f t="shared" si="17"/>
        <v>Sorghum (Starch).Net production cost</v>
      </c>
      <c r="C119" s="564" t="str">
        <f t="shared" si="18"/>
        <v>Sorghum (Starch)</v>
      </c>
      <c r="G119">
        <f>IFERROR(INDEX(Allocators!$C:$C,MATCH($F119,Allocators!$E:$E,0)),0)</f>
        <v>0</v>
      </c>
      <c r="H119">
        <f>IFERROR(INDEX(Allocators!$D:$D,MATCH($F119,Allocators!$E:$E,0)),1)</f>
        <v>1</v>
      </c>
      <c r="I119" s="183" t="s">
        <v>634</v>
      </c>
      <c r="L119" s="534">
        <f>SUM(L117:L118)</f>
        <v>0.68569782999276141</v>
      </c>
      <c r="M119" s="561" t="str">
        <f>IF(L119=AA109,"", "Error - Totals are not equal")</f>
        <v/>
      </c>
    </row>
    <row r="120" spans="2:27" x14ac:dyDescent="0.2">
      <c r="B120" s="564" t="str">
        <f t="shared" si="17"/>
        <v>Sorghum (Starch).</v>
      </c>
      <c r="C120" s="564" t="str">
        <f t="shared" si="18"/>
        <v>Sorghum (Starch)</v>
      </c>
      <c r="G120">
        <f>IFERROR(INDEX(Allocators!$C:$C,MATCH($F120,Allocators!$E:$E,0)),0)</f>
        <v>0</v>
      </c>
      <c r="H120">
        <f>IFERROR(INDEX(Allocators!$D:$D,MATCH($F120,Allocators!$E:$E,0)),1)</f>
        <v>1</v>
      </c>
    </row>
    <row r="121" spans="2:27" x14ac:dyDescent="0.2">
      <c r="B121" s="564" t="str">
        <f t="shared" si="17"/>
        <v>Sorghum (Starch).Capital Cost ($'000)</v>
      </c>
      <c r="C121" s="564" t="str">
        <f t="shared" si="18"/>
        <v>Sorghum (Starch)</v>
      </c>
      <c r="F121" s="526"/>
      <c r="G121" s="251">
        <f>IFERROR(INDEX(Allocators!$C:$C,MATCH($F121,Allocators!$E:$E,0)),0)</f>
        <v>0</v>
      </c>
      <c r="H121" s="528">
        <f>IFERROR(INDEX(Allocators!$D:$D,MATCH($F121,Allocators!$E:$E,0)),1)</f>
        <v>1</v>
      </c>
      <c r="I121" s="341" t="s">
        <v>530</v>
      </c>
      <c r="L121" s="543">
        <f>SUM('Sorgum (Starch)'!J268:K268)*'Costs per L'!H121*10^6</f>
        <v>179850000.00000003</v>
      </c>
    </row>
    <row r="122" spans="2:27" ht="13.5" thickBot="1" x14ac:dyDescent="0.25">
      <c r="B122" s="564" t="str">
        <f t="shared" si="17"/>
        <v>Sorghum (Starch).Capital Cost per L</v>
      </c>
      <c r="C122" s="564" t="str">
        <f t="shared" si="18"/>
        <v>Sorghum (Starch)</v>
      </c>
      <c r="G122">
        <f>IFERROR(INDEX(Allocators!$C:$C,MATCH($F122,Allocators!$E:$E,0)),0)</f>
        <v>0</v>
      </c>
      <c r="H122">
        <f>IFERROR(INDEX(Allocators!$D:$D,MATCH($F122,Allocators!$E:$E,0)),1)</f>
        <v>1</v>
      </c>
      <c r="I122" s="183" t="s">
        <v>529</v>
      </c>
      <c r="L122" s="534">
        <f>L121/($O$2*10^6)</f>
        <v>1.7985000000000002</v>
      </c>
      <c r="M122" s="561"/>
    </row>
    <row r="123" spans="2:27" x14ac:dyDescent="0.2">
      <c r="B123" s="564" t="str">
        <f t="shared" si="17"/>
        <v>Sorghum (Starch).</v>
      </c>
      <c r="C123" s="564" t="str">
        <f t="shared" si="18"/>
        <v>Sorghum (Starch)</v>
      </c>
      <c r="G123">
        <f>IFERROR(INDEX(Allocators!$C:$C,MATCH($F123,Allocators!$E:$E,0)),0)</f>
        <v>0</v>
      </c>
      <c r="H123">
        <f>IFERROR(INDEX(Allocators!$D:$D,MATCH($F123,Allocators!$E:$E,0)),1)</f>
        <v>1</v>
      </c>
    </row>
    <row r="124" spans="2:27" x14ac:dyDescent="0.2">
      <c r="B124" s="564" t="str">
        <f t="shared" si="17"/>
        <v>Sorghum (Starch).</v>
      </c>
      <c r="C124" s="564" t="str">
        <f t="shared" si="18"/>
        <v>Sorghum (Starch)</v>
      </c>
      <c r="G124">
        <f>IFERROR(INDEX(Allocators!$C:$C,MATCH($F124,Allocators!$E:$E,0)),0)</f>
        <v>0</v>
      </c>
      <c r="H124">
        <f>IFERROR(INDEX(Allocators!$D:$D,MATCH($F124,Allocators!$E:$E,0)),1)</f>
        <v>1</v>
      </c>
    </row>
    <row r="125" spans="2:27" x14ac:dyDescent="0.2">
      <c r="B125" s="564" t="str">
        <f t="shared" si="17"/>
        <v>Forest Residues (Cellulosic).</v>
      </c>
      <c r="C125" s="564" t="str">
        <f t="shared" si="18"/>
        <v>Forest Residues (Cellulosic)</v>
      </c>
      <c r="E125" s="558" t="s">
        <v>701</v>
      </c>
      <c r="F125" s="559"/>
      <c r="G125" s="559">
        <f>IFERROR(INDEX(Allocators!$C:$C,MATCH($F125,Allocators!$E:$E,0)),0)</f>
        <v>0</v>
      </c>
      <c r="H125" s="559">
        <f>IFERROR(INDEX(Allocators!$D:$D,MATCH($F125,Allocators!$E:$E,0)),1)</f>
        <v>1</v>
      </c>
      <c r="I125" s="560"/>
      <c r="J125" s="560"/>
      <c r="K125" s="560"/>
      <c r="L125" s="560"/>
      <c r="M125" s="560"/>
      <c r="N125" s="560"/>
      <c r="O125" s="560"/>
      <c r="P125" s="560"/>
      <c r="Q125" s="560"/>
      <c r="R125" s="560"/>
      <c r="S125" s="560"/>
      <c r="T125" s="560"/>
      <c r="U125" s="560"/>
      <c r="V125" s="560"/>
      <c r="W125" s="560"/>
      <c r="X125" s="560"/>
      <c r="Y125" s="560"/>
      <c r="Z125" s="560"/>
      <c r="AA125" s="560"/>
    </row>
    <row r="126" spans="2:27" x14ac:dyDescent="0.2">
      <c r="B126" s="564">
        <f t="shared" si="17"/>
        <v>0</v>
      </c>
      <c r="C126" s="564" t="str">
        <f t="shared" si="18"/>
        <v>Forest Residues (Cellulosic)</v>
      </c>
      <c r="D126" s="157">
        <v>1</v>
      </c>
      <c r="E126" s="157"/>
      <c r="F126" s="252"/>
      <c r="G126" s="251">
        <f>IFERROR(INDEX(Allocators!$C:$C,MATCH($F126,Allocators!$E:$E,0)),0)</f>
        <v>0</v>
      </c>
      <c r="H126" s="258">
        <f>IFERROR(INDEX(Allocators!$D:$D,MATCH($F126,Allocators!$E:$E,0)),1)</f>
        <v>1</v>
      </c>
      <c r="I126" s="207" t="s">
        <v>285</v>
      </c>
      <c r="J126" s="205"/>
      <c r="K126" s="205"/>
      <c r="L126" s="205">
        <f>-SUMIF('Forest Residues (Cellulosic)'!$C:$C,'Costs per L'!$D126,'Forest Residues (Cellulosic)'!L:L)/($O$2*10^6)*$H126/L$5</f>
        <v>0.28738122087646678</v>
      </c>
      <c r="M126" s="205">
        <f>-SUMIF('Forest Residues (Cellulosic)'!$C:$C,'Costs per L'!$D126,'Forest Residues (Cellulosic)'!M:M)/($O$2*10^6)*$H126/M$5</f>
        <v>0.28738122087646678</v>
      </c>
      <c r="N126" s="205">
        <f>-SUMIF('Forest Residues (Cellulosic)'!$C:$C,'Costs per L'!$D126,'Forest Residues (Cellulosic)'!N:N)/($O$2*10^6)*$H126/N$5</f>
        <v>0.28738122087646678</v>
      </c>
      <c r="O126" s="205">
        <f>-SUMIF('Forest Residues (Cellulosic)'!$C:$C,'Costs per L'!$D126,'Forest Residues (Cellulosic)'!O:O)/($O$2*10^6)*$H126/O$5</f>
        <v>0.28738122087646678</v>
      </c>
      <c r="P126" s="205">
        <f>-SUMIF('Forest Residues (Cellulosic)'!$C:$C,'Costs per L'!$D126,'Forest Residues (Cellulosic)'!P:P)/($O$2*10^6)*$H126/P$5</f>
        <v>0.28738122087646678</v>
      </c>
      <c r="Q126" s="205">
        <f>-SUMIF('Forest Residues (Cellulosic)'!$C:$C,'Costs per L'!$D126,'Forest Residues (Cellulosic)'!Q:Q)/($O$2*10^6)*$H126/Q$5</f>
        <v>0.28738122087646678</v>
      </c>
      <c r="R126" s="205">
        <f>-SUMIF('Forest Residues (Cellulosic)'!$C:$C,'Costs per L'!$D126,'Forest Residues (Cellulosic)'!R:R)/($O$2*10^6)*$H126/R$5</f>
        <v>0.28738122087646678</v>
      </c>
      <c r="S126" s="205">
        <f>-SUMIF('Forest Residues (Cellulosic)'!$C:$C,'Costs per L'!$D126,'Forest Residues (Cellulosic)'!S:S)/($O$2*10^6)*$H126/S$5</f>
        <v>0.28738122087646678</v>
      </c>
      <c r="T126" s="205">
        <f>-SUMIF('Forest Residues (Cellulosic)'!$C:$C,'Costs per L'!$D126,'Forest Residues (Cellulosic)'!T:T)/($O$2*10^6)*$H126/T$5</f>
        <v>0.28738122087646678</v>
      </c>
      <c r="U126" s="205">
        <f>-SUMIF('Forest Residues (Cellulosic)'!$C:$C,'Costs per L'!$D126,'Forest Residues (Cellulosic)'!U:U)/($O$2*10^6)*$H126/U$5</f>
        <v>0.28738122087646678</v>
      </c>
      <c r="V126" s="205">
        <f>-SUMIF('Forest Residues (Cellulosic)'!$C:$C,'Costs per L'!$D126,'Forest Residues (Cellulosic)'!V:V)/($O$2*10^6)*$H126/V$5</f>
        <v>0.28738122087646678</v>
      </c>
      <c r="W126" s="205">
        <f>-SUMIF('Forest Residues (Cellulosic)'!$C:$C,'Costs per L'!$D126,'Forest Residues (Cellulosic)'!W:W)/($O$2*10^6)*$H126/W$5</f>
        <v>0.28738122087646678</v>
      </c>
      <c r="X126" s="205">
        <f>-SUMIF('Forest Residues (Cellulosic)'!$C:$C,'Costs per L'!$D126,'Forest Residues (Cellulosic)'!X:X)/($O$2*10^6)*$H126/X$5</f>
        <v>0.28738122087646678</v>
      </c>
      <c r="Y126" s="205">
        <f>-SUMIF('Forest Residues (Cellulosic)'!$C:$C,'Costs per L'!$D126,'Forest Residues (Cellulosic)'!Y:Y)/($O$2*10^6)*$H126/Y$5</f>
        <v>0.28738122087646678</v>
      </c>
      <c r="Z126" s="210">
        <f>-SUMIF('Forest Residues (Cellulosic)'!$C:$C,'Costs per L'!$D126,'Forest Residues (Cellulosic)'!Z:Z)/($O$2*10^6)*$H126/Z$5</f>
        <v>0.28738122087646678</v>
      </c>
      <c r="AA126" s="210">
        <f t="shared" ref="AA126:AA133" si="27">AVERAGE(L126:Z126)</f>
        <v>0.28738122087646673</v>
      </c>
    </row>
    <row r="127" spans="2:27" x14ac:dyDescent="0.2">
      <c r="B127" s="564">
        <f t="shared" si="17"/>
        <v>0</v>
      </c>
      <c r="C127" s="564" t="str">
        <f t="shared" si="18"/>
        <v>Forest Residues (Cellulosic)</v>
      </c>
      <c r="D127" s="157">
        <v>2</v>
      </c>
      <c r="E127" s="157"/>
      <c r="F127" s="252"/>
      <c r="G127" s="251">
        <f>IFERROR(INDEX(Allocators!$C:$C,MATCH($F127,Allocators!$E:$E,0)),0)</f>
        <v>0</v>
      </c>
      <c r="H127" s="258">
        <f>IFERROR(INDEX(Allocators!$D:$D,MATCH($F127,Allocators!$E:$E,0)),1)</f>
        <v>1</v>
      </c>
      <c r="I127" s="207" t="s">
        <v>86</v>
      </c>
      <c r="J127" s="206"/>
      <c r="K127" s="206"/>
      <c r="L127" s="206">
        <f>-SUMIF('Forest Residues (Cellulosic)'!$C:$C,'Costs per L'!$D127,'Forest Residues (Cellulosic)'!L:L)/($O$2*10^6)*$H127/L$5</f>
        <v>0.29950786126470935</v>
      </c>
      <c r="M127" s="206">
        <f>-SUMIF('Forest Residues (Cellulosic)'!$C:$C,'Costs per L'!$D127,'Forest Residues (Cellulosic)'!M:M)/($O$2*10^6)*$H127/M$5</f>
        <v>0.2995078612647093</v>
      </c>
      <c r="N127" s="206">
        <f>-SUMIF('Forest Residues (Cellulosic)'!$C:$C,'Costs per L'!$D127,'Forest Residues (Cellulosic)'!N:N)/($O$2*10^6)*$H127/N$5</f>
        <v>0.2995078612647093</v>
      </c>
      <c r="O127" s="206">
        <f>-SUMIF('Forest Residues (Cellulosic)'!$C:$C,'Costs per L'!$D127,'Forest Residues (Cellulosic)'!O:O)/($O$2*10^6)*$H127/O$5</f>
        <v>0.2995078612647093</v>
      </c>
      <c r="P127" s="206">
        <f>-SUMIF('Forest Residues (Cellulosic)'!$C:$C,'Costs per L'!$D127,'Forest Residues (Cellulosic)'!P:P)/($O$2*10^6)*$H127/P$5</f>
        <v>0.2995078612647093</v>
      </c>
      <c r="Q127" s="206">
        <f>-SUMIF('Forest Residues (Cellulosic)'!$C:$C,'Costs per L'!$D127,'Forest Residues (Cellulosic)'!Q:Q)/($O$2*10^6)*$H127/Q$5</f>
        <v>0.2995078612647093</v>
      </c>
      <c r="R127" s="206">
        <f>-SUMIF('Forest Residues (Cellulosic)'!$C:$C,'Costs per L'!$D127,'Forest Residues (Cellulosic)'!R:R)/($O$2*10^6)*$H127/R$5</f>
        <v>0.2995078612647093</v>
      </c>
      <c r="S127" s="206">
        <f>-SUMIF('Forest Residues (Cellulosic)'!$C:$C,'Costs per L'!$D127,'Forest Residues (Cellulosic)'!S:S)/($O$2*10^6)*$H127/S$5</f>
        <v>0.2995078612647093</v>
      </c>
      <c r="T127" s="206">
        <f>-SUMIF('Forest Residues (Cellulosic)'!$C:$C,'Costs per L'!$D127,'Forest Residues (Cellulosic)'!T:T)/($O$2*10^6)*$H127/T$5</f>
        <v>0.2995078612647093</v>
      </c>
      <c r="U127" s="206">
        <f>-SUMIF('Forest Residues (Cellulosic)'!$C:$C,'Costs per L'!$D127,'Forest Residues (Cellulosic)'!U:U)/($O$2*10^6)*$H127/U$5</f>
        <v>0.2995078612647093</v>
      </c>
      <c r="V127" s="206">
        <f>-SUMIF('Forest Residues (Cellulosic)'!$C:$C,'Costs per L'!$D127,'Forest Residues (Cellulosic)'!V:V)/($O$2*10^6)*$H127/V$5</f>
        <v>0.2995078612647093</v>
      </c>
      <c r="W127" s="206">
        <f>-SUMIF('Forest Residues (Cellulosic)'!$C:$C,'Costs per L'!$D127,'Forest Residues (Cellulosic)'!W:W)/($O$2*10^6)*$H127/W$5</f>
        <v>0.2995078612647093</v>
      </c>
      <c r="X127" s="206">
        <f>-SUMIF('Forest Residues (Cellulosic)'!$C:$C,'Costs per L'!$D127,'Forest Residues (Cellulosic)'!X:X)/($O$2*10^6)*$H127/X$5</f>
        <v>0.2995078612647093</v>
      </c>
      <c r="Y127" s="206">
        <f>-SUMIF('Forest Residues (Cellulosic)'!$C:$C,'Costs per L'!$D127,'Forest Residues (Cellulosic)'!Y:Y)/($O$2*10^6)*$H127/Y$5</f>
        <v>0.2995078612647093</v>
      </c>
      <c r="Z127" s="211">
        <f>-SUMIF('Forest Residues (Cellulosic)'!$C:$C,'Costs per L'!$D127,'Forest Residues (Cellulosic)'!Z:Z)/($O$2*10^6)*$H127/Z$5</f>
        <v>0.2995078612647093</v>
      </c>
      <c r="AA127" s="211">
        <f t="shared" si="27"/>
        <v>0.29950786126470941</v>
      </c>
    </row>
    <row r="128" spans="2:27" x14ac:dyDescent="0.2">
      <c r="B128" s="564">
        <f t="shared" si="17"/>
        <v>0</v>
      </c>
      <c r="C128" s="564" t="str">
        <f t="shared" si="18"/>
        <v>Forest Residues (Cellulosic)</v>
      </c>
      <c r="D128" s="157">
        <v>3</v>
      </c>
      <c r="E128" s="157"/>
      <c r="F128" s="252"/>
      <c r="G128" s="251">
        <f>IFERROR(INDEX(Allocators!$C:$C,MATCH($F128,Allocators!$E:$E,0)),0)</f>
        <v>0</v>
      </c>
      <c r="H128" s="258">
        <f>IFERROR(INDEX(Allocators!$D:$D,MATCH($F128,Allocators!$E:$E,0)),1)</f>
        <v>1</v>
      </c>
      <c r="I128" s="207" t="s">
        <v>129</v>
      </c>
      <c r="J128" s="206"/>
      <c r="K128" s="206"/>
      <c r="L128" s="206">
        <f>-SUMIF('Forest Residues (Cellulosic)'!$C:$C,'Costs per L'!$D128,'Forest Residues (Cellulosic)'!L:L)/($O$2*10^6)*$H128/L$5</f>
        <v>7.801843600000001E-2</v>
      </c>
      <c r="M128" s="206">
        <f>-SUMIF('Forest Residues (Cellulosic)'!$C:$C,'Costs per L'!$D128,'Forest Residues (Cellulosic)'!M:M)/($O$2*10^6)*$H128/M$5</f>
        <v>7.8018435999999997E-2</v>
      </c>
      <c r="N128" s="206">
        <f>-SUMIF('Forest Residues (Cellulosic)'!$C:$C,'Costs per L'!$D128,'Forest Residues (Cellulosic)'!N:N)/($O$2*10^6)*$H128/N$5</f>
        <v>7.8018435999999997E-2</v>
      </c>
      <c r="O128" s="206">
        <f>-SUMIF('Forest Residues (Cellulosic)'!$C:$C,'Costs per L'!$D128,'Forest Residues (Cellulosic)'!O:O)/($O$2*10^6)*$H128/O$5</f>
        <v>7.8018435999999997E-2</v>
      </c>
      <c r="P128" s="206">
        <f>-SUMIF('Forest Residues (Cellulosic)'!$C:$C,'Costs per L'!$D128,'Forest Residues (Cellulosic)'!P:P)/($O$2*10^6)*$H128/P$5</f>
        <v>7.8018435999999997E-2</v>
      </c>
      <c r="Q128" s="206">
        <f>-SUMIF('Forest Residues (Cellulosic)'!$C:$C,'Costs per L'!$D128,'Forest Residues (Cellulosic)'!Q:Q)/($O$2*10^6)*$H128/Q$5</f>
        <v>7.8018435999999997E-2</v>
      </c>
      <c r="R128" s="206">
        <f>-SUMIF('Forest Residues (Cellulosic)'!$C:$C,'Costs per L'!$D128,'Forest Residues (Cellulosic)'!R:R)/($O$2*10^6)*$H128/R$5</f>
        <v>7.8018435999999997E-2</v>
      </c>
      <c r="S128" s="206">
        <f>-SUMIF('Forest Residues (Cellulosic)'!$C:$C,'Costs per L'!$D128,'Forest Residues (Cellulosic)'!S:S)/($O$2*10^6)*$H128/S$5</f>
        <v>7.8018435999999997E-2</v>
      </c>
      <c r="T128" s="206">
        <f>-SUMIF('Forest Residues (Cellulosic)'!$C:$C,'Costs per L'!$D128,'Forest Residues (Cellulosic)'!T:T)/($O$2*10^6)*$H128/T$5</f>
        <v>7.8018435999999997E-2</v>
      </c>
      <c r="U128" s="206">
        <f>-SUMIF('Forest Residues (Cellulosic)'!$C:$C,'Costs per L'!$D128,'Forest Residues (Cellulosic)'!U:U)/($O$2*10^6)*$H128/U$5</f>
        <v>7.8018435999999997E-2</v>
      </c>
      <c r="V128" s="206">
        <f>-SUMIF('Forest Residues (Cellulosic)'!$C:$C,'Costs per L'!$D128,'Forest Residues (Cellulosic)'!V:V)/($O$2*10^6)*$H128/V$5</f>
        <v>7.8018435999999997E-2</v>
      </c>
      <c r="W128" s="206">
        <f>-SUMIF('Forest Residues (Cellulosic)'!$C:$C,'Costs per L'!$D128,'Forest Residues (Cellulosic)'!W:W)/($O$2*10^6)*$H128/W$5</f>
        <v>7.8018435999999997E-2</v>
      </c>
      <c r="X128" s="206">
        <f>-SUMIF('Forest Residues (Cellulosic)'!$C:$C,'Costs per L'!$D128,'Forest Residues (Cellulosic)'!X:X)/($O$2*10^6)*$H128/X$5</f>
        <v>7.8018435999999997E-2</v>
      </c>
      <c r="Y128" s="206">
        <f>-SUMIF('Forest Residues (Cellulosic)'!$C:$C,'Costs per L'!$D128,'Forest Residues (Cellulosic)'!Y:Y)/($O$2*10^6)*$H128/Y$5</f>
        <v>7.8018435999999997E-2</v>
      </c>
      <c r="Z128" s="211">
        <f>-SUMIF('Forest Residues (Cellulosic)'!$C:$C,'Costs per L'!$D128,'Forest Residues (Cellulosic)'!Z:Z)/($O$2*10^6)*$H128/Z$5</f>
        <v>7.8018435999999997E-2</v>
      </c>
      <c r="AA128" s="211">
        <f t="shared" si="27"/>
        <v>7.801843600000001E-2</v>
      </c>
    </row>
    <row r="129" spans="2:27" x14ac:dyDescent="0.2">
      <c r="B129" s="564">
        <f t="shared" si="17"/>
        <v>0</v>
      </c>
      <c r="C129" s="564" t="str">
        <f t="shared" si="18"/>
        <v>Forest Residues (Cellulosic)</v>
      </c>
      <c r="D129" s="157">
        <v>4</v>
      </c>
      <c r="E129" s="157"/>
      <c r="F129" s="252"/>
      <c r="G129" s="251">
        <f>IFERROR(INDEX(Allocators!$C:$C,MATCH($F129,Allocators!$E:$E,0)),0)</f>
        <v>0</v>
      </c>
      <c r="H129" s="258">
        <f>IFERROR(INDEX(Allocators!$D:$D,MATCH($F129,Allocators!$E:$E,0)),1)</f>
        <v>1</v>
      </c>
      <c r="I129" s="207" t="s">
        <v>218</v>
      </c>
      <c r="J129" s="206"/>
      <c r="K129" s="206"/>
      <c r="L129" s="206">
        <f>-SUMIF('Forest Residues (Cellulosic)'!$C:$C,'Costs per L'!$D129,'Forest Residues (Cellulosic)'!L:L)/($O$2*10^6)*$H129/L$5</f>
        <v>0.12998567007350001</v>
      </c>
      <c r="M129" s="206">
        <f>-SUMIF('Forest Residues (Cellulosic)'!$C:$C,'Costs per L'!$D129,'Forest Residues (Cellulosic)'!M:M)/($O$2*10^6)*$H129/M$5</f>
        <v>0.120420721305125</v>
      </c>
      <c r="N129" s="206">
        <f>-SUMIF('Forest Residues (Cellulosic)'!$C:$C,'Costs per L'!$D129,'Forest Residues (Cellulosic)'!N:N)/($O$2*10^6)*$H129/N$5</f>
        <v>0.120420721305125</v>
      </c>
      <c r="O129" s="206">
        <f>-SUMIF('Forest Residues (Cellulosic)'!$C:$C,'Costs per L'!$D129,'Forest Residues (Cellulosic)'!O:O)/($O$2*10^6)*$H129/O$5</f>
        <v>0.120420721305125</v>
      </c>
      <c r="P129" s="206">
        <f>-SUMIF('Forest Residues (Cellulosic)'!$C:$C,'Costs per L'!$D129,'Forest Residues (Cellulosic)'!P:P)/($O$2*10^6)*$H129/P$5</f>
        <v>0.120420721305125</v>
      </c>
      <c r="Q129" s="206">
        <f>-SUMIF('Forest Residues (Cellulosic)'!$C:$C,'Costs per L'!$D129,'Forest Residues (Cellulosic)'!Q:Q)/($O$2*10^6)*$H129/Q$5</f>
        <v>0.120420721305125</v>
      </c>
      <c r="R129" s="206">
        <f>-SUMIF('Forest Residues (Cellulosic)'!$C:$C,'Costs per L'!$D129,'Forest Residues (Cellulosic)'!R:R)/($O$2*10^6)*$H129/R$5</f>
        <v>0.120420721305125</v>
      </c>
      <c r="S129" s="206">
        <f>-SUMIF('Forest Residues (Cellulosic)'!$C:$C,'Costs per L'!$D129,'Forest Residues (Cellulosic)'!S:S)/($O$2*10^6)*$H129/S$5</f>
        <v>0.120420721305125</v>
      </c>
      <c r="T129" s="206">
        <f>-SUMIF('Forest Residues (Cellulosic)'!$C:$C,'Costs per L'!$D129,'Forest Residues (Cellulosic)'!T:T)/($O$2*10^6)*$H129/T$5</f>
        <v>0.120420721305125</v>
      </c>
      <c r="U129" s="206">
        <f>-SUMIF('Forest Residues (Cellulosic)'!$C:$C,'Costs per L'!$D129,'Forest Residues (Cellulosic)'!U:U)/($O$2*10^6)*$H129/U$5</f>
        <v>0.120420721305125</v>
      </c>
      <c r="V129" s="206">
        <f>-SUMIF('Forest Residues (Cellulosic)'!$C:$C,'Costs per L'!$D129,'Forest Residues (Cellulosic)'!V:V)/($O$2*10^6)*$H129/V$5</f>
        <v>0.120420721305125</v>
      </c>
      <c r="W129" s="206">
        <f>-SUMIF('Forest Residues (Cellulosic)'!$C:$C,'Costs per L'!$D129,'Forest Residues (Cellulosic)'!W:W)/($O$2*10^6)*$H129/W$5</f>
        <v>0.120420721305125</v>
      </c>
      <c r="X129" s="206">
        <f>-SUMIF('Forest Residues (Cellulosic)'!$C:$C,'Costs per L'!$D129,'Forest Residues (Cellulosic)'!X:X)/($O$2*10^6)*$H129/X$5</f>
        <v>0.120420721305125</v>
      </c>
      <c r="Y129" s="206">
        <f>-SUMIF('Forest Residues (Cellulosic)'!$C:$C,'Costs per L'!$D129,'Forest Residues (Cellulosic)'!Y:Y)/($O$2*10^6)*$H129/Y$5</f>
        <v>0.120420721305125</v>
      </c>
      <c r="Z129" s="211">
        <f>-SUMIF('Forest Residues (Cellulosic)'!$C:$C,'Costs per L'!$D129,'Forest Residues (Cellulosic)'!Z:Z)/($O$2*10^6)*$H129/Z$5</f>
        <v>0.120420721305125</v>
      </c>
      <c r="AA129" s="211">
        <f t="shared" si="27"/>
        <v>0.12105838455634998</v>
      </c>
    </row>
    <row r="130" spans="2:27" x14ac:dyDescent="0.2">
      <c r="B130" s="564">
        <f t="shared" si="17"/>
        <v>0</v>
      </c>
      <c r="C130" s="564" t="str">
        <f t="shared" si="18"/>
        <v>Forest Residues (Cellulosic)</v>
      </c>
      <c r="D130" s="157">
        <v>5</v>
      </c>
      <c r="E130" s="157"/>
      <c r="F130" s="252"/>
      <c r="G130" s="251">
        <f>IFERROR(INDEX(Allocators!$C:$C,MATCH($F130,Allocators!$E:$E,0)),0)</f>
        <v>0</v>
      </c>
      <c r="H130" s="258">
        <f>IFERROR(INDEX(Allocators!$D:$D,MATCH($F130,Allocators!$E:$E,0)),1)</f>
        <v>1</v>
      </c>
      <c r="I130" s="207" t="s">
        <v>525</v>
      </c>
      <c r="J130" s="206"/>
      <c r="K130" s="206"/>
      <c r="L130" s="206">
        <f>-SUMIF('Forest Residues (Cellulosic)'!$C:$C,'Costs per L'!$D130,'Forest Residues (Cellulosic)'!L:L)/($O$2*10^6)*$H130/L$5</f>
        <v>3.7740000000000003E-2</v>
      </c>
      <c r="M130" s="206">
        <f>-SUMIF('Forest Residues (Cellulosic)'!$C:$C,'Costs per L'!$D130,'Forest Residues (Cellulosic)'!M:M)/($O$2*10^6)*$H130/M$5</f>
        <v>3.7740000000000003E-2</v>
      </c>
      <c r="N130" s="206">
        <f>-SUMIF('Forest Residues (Cellulosic)'!$C:$C,'Costs per L'!$D130,'Forest Residues (Cellulosic)'!N:N)/($O$2*10^6)*$H130/N$5</f>
        <v>3.7740000000000003E-2</v>
      </c>
      <c r="O130" s="206">
        <f>-SUMIF('Forest Residues (Cellulosic)'!$C:$C,'Costs per L'!$D130,'Forest Residues (Cellulosic)'!O:O)/($O$2*10^6)*$H130/O$5</f>
        <v>3.7740000000000003E-2</v>
      </c>
      <c r="P130" s="206">
        <f>-SUMIF('Forest Residues (Cellulosic)'!$C:$C,'Costs per L'!$D130,'Forest Residues (Cellulosic)'!P:P)/($O$2*10^6)*$H130/P$5</f>
        <v>3.7740000000000003E-2</v>
      </c>
      <c r="Q130" s="206">
        <f>-SUMIF('Forest Residues (Cellulosic)'!$C:$C,'Costs per L'!$D130,'Forest Residues (Cellulosic)'!Q:Q)/($O$2*10^6)*$H130/Q$5</f>
        <v>3.7740000000000003E-2</v>
      </c>
      <c r="R130" s="206">
        <f>-SUMIF('Forest Residues (Cellulosic)'!$C:$C,'Costs per L'!$D130,'Forest Residues (Cellulosic)'!R:R)/($O$2*10^6)*$H130/R$5</f>
        <v>3.7740000000000003E-2</v>
      </c>
      <c r="S130" s="206">
        <f>-SUMIF('Forest Residues (Cellulosic)'!$C:$C,'Costs per L'!$D130,'Forest Residues (Cellulosic)'!S:S)/($O$2*10^6)*$H130/S$5</f>
        <v>3.7740000000000003E-2</v>
      </c>
      <c r="T130" s="206">
        <f>-SUMIF('Forest Residues (Cellulosic)'!$C:$C,'Costs per L'!$D130,'Forest Residues (Cellulosic)'!T:T)/($O$2*10^6)*$H130/T$5</f>
        <v>3.7740000000000003E-2</v>
      </c>
      <c r="U130" s="206">
        <f>-SUMIF('Forest Residues (Cellulosic)'!$C:$C,'Costs per L'!$D130,'Forest Residues (Cellulosic)'!U:U)/($O$2*10^6)*$H130/U$5</f>
        <v>3.7740000000000003E-2</v>
      </c>
      <c r="V130" s="206">
        <f>-SUMIF('Forest Residues (Cellulosic)'!$C:$C,'Costs per L'!$D130,'Forest Residues (Cellulosic)'!V:V)/($O$2*10^6)*$H130/V$5</f>
        <v>3.7740000000000003E-2</v>
      </c>
      <c r="W130" s="206">
        <f>-SUMIF('Forest Residues (Cellulosic)'!$C:$C,'Costs per L'!$D130,'Forest Residues (Cellulosic)'!W:W)/($O$2*10^6)*$H130/W$5</f>
        <v>3.7740000000000003E-2</v>
      </c>
      <c r="X130" s="206">
        <f>-SUMIF('Forest Residues (Cellulosic)'!$C:$C,'Costs per L'!$D130,'Forest Residues (Cellulosic)'!X:X)/($O$2*10^6)*$H130/X$5</f>
        <v>3.7740000000000003E-2</v>
      </c>
      <c r="Y130" s="206">
        <f>-SUMIF('Forest Residues (Cellulosic)'!$C:$C,'Costs per L'!$D130,'Forest Residues (Cellulosic)'!Y:Y)/($O$2*10^6)*$H130/Y$5</f>
        <v>3.7740000000000003E-2</v>
      </c>
      <c r="Z130" s="211">
        <f>-SUMIF('Forest Residues (Cellulosic)'!$C:$C,'Costs per L'!$D130,'Forest Residues (Cellulosic)'!Z:Z)/($O$2*10^6)*$H130/Z$5</f>
        <v>3.7740000000000003E-2</v>
      </c>
      <c r="AA130" s="211">
        <f t="shared" si="27"/>
        <v>3.7740000000000003E-2</v>
      </c>
    </row>
    <row r="131" spans="2:27" x14ac:dyDescent="0.2">
      <c r="B131" s="564">
        <f t="shared" si="17"/>
        <v>0</v>
      </c>
      <c r="C131" s="564" t="str">
        <f t="shared" si="18"/>
        <v>Forest Residues (Cellulosic)</v>
      </c>
      <c r="D131" s="157">
        <v>6</v>
      </c>
      <c r="E131" s="157"/>
      <c r="F131" s="252"/>
      <c r="G131" s="251">
        <f>IFERROR(INDEX(Allocators!$C:$C,MATCH($F131,Allocators!$E:$E,0)),0)</f>
        <v>0</v>
      </c>
      <c r="H131" s="258">
        <f>IFERROR(INDEX(Allocators!$D:$D,MATCH($F131,Allocators!$E:$E,0)),1)</f>
        <v>1</v>
      </c>
      <c r="I131" s="207" t="s">
        <v>448</v>
      </c>
      <c r="J131" s="206"/>
      <c r="K131" s="206"/>
      <c r="L131" s="206">
        <f>-SUMIF('Forest Residues (Cellulosic)'!$C:$C,'Costs per L'!$D131,'Forest Residues (Cellulosic)'!L:L)/($O$2*10^6)*$H131/L$5</f>
        <v>2.19300625E-2</v>
      </c>
      <c r="M131" s="206">
        <f>-SUMIF('Forest Residues (Cellulosic)'!$C:$C,'Costs per L'!$D131,'Forest Residues (Cellulosic)'!$M:$M)/($O$2*10^6)*$H131/M$5</f>
        <v>2.19300625E-2</v>
      </c>
      <c r="N131" s="206">
        <f>-SUMIF('Forest Residues (Cellulosic)'!$C:$C,'Costs per L'!$D131,'Forest Residues (Cellulosic)'!N:N)/($O$2*10^6)*$H131/N$5</f>
        <v>2.19300625E-2</v>
      </c>
      <c r="O131" s="206">
        <f>-SUMIF('Forest Residues (Cellulosic)'!$C:$C,'Costs per L'!$D131,'Forest Residues (Cellulosic)'!O:O)/($O$2*10^6)*$H131/O$5</f>
        <v>2.19300625E-2</v>
      </c>
      <c r="P131" s="206">
        <f>-SUMIF('Forest Residues (Cellulosic)'!$C:$C,'Costs per L'!$D131,'Forest Residues (Cellulosic)'!P:P)/($O$2*10^6)*$H131/P$5</f>
        <v>2.19300625E-2</v>
      </c>
      <c r="Q131" s="206">
        <f>-SUMIF('Forest Residues (Cellulosic)'!$C:$C,'Costs per L'!$D131,'Forest Residues (Cellulosic)'!Q:Q)/($O$2*10^6)*$H131/Q$5</f>
        <v>2.19300625E-2</v>
      </c>
      <c r="R131" s="206">
        <f>-SUMIF('Forest Residues (Cellulosic)'!$C:$C,'Costs per L'!$D131,'Forest Residues (Cellulosic)'!R:R)/($O$2*10^6)*$H131/R$5</f>
        <v>2.19300625E-2</v>
      </c>
      <c r="S131" s="206">
        <f>-SUMIF('Forest Residues (Cellulosic)'!$C:$C,'Costs per L'!$D131,'Forest Residues (Cellulosic)'!S:S)/($O$2*10^6)*$H131/S$5</f>
        <v>2.19300625E-2</v>
      </c>
      <c r="T131" s="206">
        <f>-SUMIF('Forest Residues (Cellulosic)'!$C:$C,'Costs per L'!$D131,'Forest Residues (Cellulosic)'!T:T)/($O$2*10^6)*$H131/T$5</f>
        <v>2.19300625E-2</v>
      </c>
      <c r="U131" s="206">
        <f>-SUMIF('Forest Residues (Cellulosic)'!$C:$C,'Costs per L'!$D131,'Forest Residues (Cellulosic)'!U:U)/($O$2*10^6)*$H131/U$5</f>
        <v>2.19300625E-2</v>
      </c>
      <c r="V131" s="206">
        <f>-SUMIF('Forest Residues (Cellulosic)'!$C:$C,'Costs per L'!$D131,'Forest Residues (Cellulosic)'!V:V)/($O$2*10^6)*$H131/V$5</f>
        <v>2.19300625E-2</v>
      </c>
      <c r="W131" s="206">
        <f>-SUMIF('Forest Residues (Cellulosic)'!$C:$C,'Costs per L'!$D131,'Forest Residues (Cellulosic)'!W:W)/($O$2*10^6)*$H131/W$5</f>
        <v>2.19300625E-2</v>
      </c>
      <c r="X131" s="206">
        <f>-SUMIF('Forest Residues (Cellulosic)'!$C:$C,'Costs per L'!$D131,'Forest Residues (Cellulosic)'!X:X)/($O$2*10^6)*$H131/X$5</f>
        <v>2.19300625E-2</v>
      </c>
      <c r="Y131" s="206">
        <f>-SUMIF('Forest Residues (Cellulosic)'!$C:$C,'Costs per L'!$D131,'Forest Residues (Cellulosic)'!Y:Y)/($O$2*10^6)*$H131/Y$5</f>
        <v>2.19300625E-2</v>
      </c>
      <c r="Z131" s="206">
        <f>-SUMIF('Forest Residues (Cellulosic)'!$C:$C,'Costs per L'!$D131,'Forest Residues (Cellulosic)'!Z:Z)/($O$2*10^6)*$H131/Z$5</f>
        <v>2.19300625E-2</v>
      </c>
      <c r="AA131" s="211">
        <f t="shared" si="27"/>
        <v>2.1930062500000007E-2</v>
      </c>
    </row>
    <row r="132" spans="2:27" x14ac:dyDescent="0.2">
      <c r="B132" s="564">
        <f t="shared" si="17"/>
        <v>0</v>
      </c>
      <c r="C132" s="564" t="str">
        <f t="shared" si="18"/>
        <v>Forest Residues (Cellulosic)</v>
      </c>
      <c r="D132" s="157">
        <v>7</v>
      </c>
      <c r="E132" s="157"/>
      <c r="F132" s="252"/>
      <c r="G132" s="251">
        <f>IFERROR(INDEX(Allocators!$C:$C,MATCH($F132,Allocators!$E:$E,0)),0)</f>
        <v>0</v>
      </c>
      <c r="H132" s="258">
        <f>IFERROR(INDEX(Allocators!$D:$D,MATCH($F132,Allocators!$E:$E,0)),1)</f>
        <v>1</v>
      </c>
      <c r="I132" s="181" t="s">
        <v>184</v>
      </c>
      <c r="J132" s="206"/>
      <c r="K132" s="206"/>
      <c r="L132" s="206">
        <f>-SUMIF('Forest Residues (Cellulosic)'!$C:$C,'Costs per L'!$D132,'Forest Residues (Cellulosic)'!L:L)/($O$2*10^6)*$H132/L$5</f>
        <v>2.2348425000000002E-2</v>
      </c>
      <c r="M132" s="206">
        <f>-SUMIF('Forest Residues (Cellulosic)'!$C:$C,'Costs per L'!$D132,'Forest Residues (Cellulosic)'!M:M)/($O$2*10^6)*$H132/M$5</f>
        <v>2.2348425000000002E-2</v>
      </c>
      <c r="N132" s="206">
        <f>-SUMIF('Forest Residues (Cellulosic)'!$C:$C,'Costs per L'!$D132,'Forest Residues (Cellulosic)'!N:N)/($O$2*10^6)*$H132/N$5</f>
        <v>2.2348425000000002E-2</v>
      </c>
      <c r="O132" s="206">
        <f>-SUMIF('Forest Residues (Cellulosic)'!$C:$C,'Costs per L'!$D132,'Forest Residues (Cellulosic)'!O:O)/($O$2*10^6)*$H132/O$5</f>
        <v>2.2348425000000002E-2</v>
      </c>
      <c r="P132" s="206">
        <f>-SUMIF('Forest Residues (Cellulosic)'!$C:$C,'Costs per L'!$D132,'Forest Residues (Cellulosic)'!P:P)/($O$2*10^6)*$H132/P$5</f>
        <v>2.2348425000000002E-2</v>
      </c>
      <c r="Q132" s="206">
        <f>-SUMIF('Forest Residues (Cellulosic)'!$C:$C,'Costs per L'!$D132,'Forest Residues (Cellulosic)'!Q:Q)/($O$2*10^6)*$H132/Q$5</f>
        <v>2.2348425000000002E-2</v>
      </c>
      <c r="R132" s="206">
        <f>-SUMIF('Forest Residues (Cellulosic)'!$C:$C,'Costs per L'!$D132,'Forest Residues (Cellulosic)'!R:R)/($O$2*10^6)*$H132/R$5</f>
        <v>2.2348425000000002E-2</v>
      </c>
      <c r="S132" s="206">
        <f>-SUMIF('Forest Residues (Cellulosic)'!$C:$C,'Costs per L'!$D132,'Forest Residues (Cellulosic)'!S:S)/($O$2*10^6)*$H132/S$5</f>
        <v>2.2348425000000002E-2</v>
      </c>
      <c r="T132" s="206">
        <f>-SUMIF('Forest Residues (Cellulosic)'!$C:$C,'Costs per L'!$D132,'Forest Residues (Cellulosic)'!T:T)/($O$2*10^6)*$H132/T$5</f>
        <v>2.2348425000000002E-2</v>
      </c>
      <c r="U132" s="206">
        <f>-SUMIF('Forest Residues (Cellulosic)'!$C:$C,'Costs per L'!$D132,'Forest Residues (Cellulosic)'!U:U)/($O$2*10^6)*$H132/U$5</f>
        <v>2.2348425000000002E-2</v>
      </c>
      <c r="V132" s="206">
        <f>-SUMIF('Forest Residues (Cellulosic)'!$C:$C,'Costs per L'!$D132,'Forest Residues (Cellulosic)'!V:V)/($O$2*10^6)*$H132/V$5</f>
        <v>2.2348425000000002E-2</v>
      </c>
      <c r="W132" s="206">
        <f>-SUMIF('Forest Residues (Cellulosic)'!$C:$C,'Costs per L'!$D132,'Forest Residues (Cellulosic)'!W:W)/($O$2*10^6)*$H132/W$5</f>
        <v>2.2348425000000002E-2</v>
      </c>
      <c r="X132" s="206">
        <f>-SUMIF('Forest Residues (Cellulosic)'!$C:$C,'Costs per L'!$D132,'Forest Residues (Cellulosic)'!X:X)/($O$2*10^6)*$H132/X$5</f>
        <v>2.2348425000000002E-2</v>
      </c>
      <c r="Y132" s="206">
        <f>-SUMIF('Forest Residues (Cellulosic)'!$C:$C,'Costs per L'!$D132,'Forest Residues (Cellulosic)'!Y:Y)/($O$2*10^6)*$H132/Y$5</f>
        <v>2.2348425000000002E-2</v>
      </c>
      <c r="Z132" s="206">
        <f>-SUMIF('Forest Residues (Cellulosic)'!$C:$C,'Costs per L'!$D132,'Forest Residues (Cellulosic)'!Z:Z)/($O$2*10^6)*$H132/Z$5</f>
        <v>2.2348425000000002E-2</v>
      </c>
      <c r="AA132" s="211">
        <f t="shared" si="27"/>
        <v>2.2348425000000002E-2</v>
      </c>
    </row>
    <row r="133" spans="2:27" ht="13.5" thickBot="1" x14ac:dyDescent="0.25">
      <c r="B133" s="564" t="str">
        <f t="shared" si="17"/>
        <v>Forest Residues (Cellulosic).Total production costs ($/L) before depreciation and interest</v>
      </c>
      <c r="C133" s="564" t="str">
        <f t="shared" si="18"/>
        <v>Forest Residues (Cellulosic)</v>
      </c>
      <c r="F133" s="544"/>
      <c r="G133">
        <f>IFERROR(INDEX(Allocators!$C:$C,MATCH($F133,Allocators!$E:$E,0)),0)</f>
        <v>0</v>
      </c>
      <c r="H133" s="545">
        <f>IFERROR(INDEX(Allocators!$D:$D,MATCH($F133,Allocators!$E:$E,0)),1)</f>
        <v>1</v>
      </c>
      <c r="I133" s="183" t="s">
        <v>633</v>
      </c>
      <c r="J133" s="204"/>
      <c r="K133" s="204"/>
      <c r="L133" s="204">
        <f t="shared" ref="L133:Z133" si="28">SUM(L126:L132)</f>
        <v>0.8769116757146761</v>
      </c>
      <c r="M133" s="204">
        <f t="shared" si="28"/>
        <v>0.86734672694630111</v>
      </c>
      <c r="N133" s="204">
        <f t="shared" si="28"/>
        <v>0.86734672694630111</v>
      </c>
      <c r="O133" s="204">
        <f t="shared" si="28"/>
        <v>0.86734672694630111</v>
      </c>
      <c r="P133" s="204">
        <f t="shared" si="28"/>
        <v>0.86734672694630111</v>
      </c>
      <c r="Q133" s="204">
        <f t="shared" si="28"/>
        <v>0.86734672694630111</v>
      </c>
      <c r="R133" s="204">
        <f t="shared" si="28"/>
        <v>0.86734672694630111</v>
      </c>
      <c r="S133" s="204">
        <f t="shared" si="28"/>
        <v>0.86734672694630111</v>
      </c>
      <c r="T133" s="204">
        <f t="shared" si="28"/>
        <v>0.86734672694630111</v>
      </c>
      <c r="U133" s="204">
        <f t="shared" si="28"/>
        <v>0.86734672694630111</v>
      </c>
      <c r="V133" s="204">
        <f t="shared" si="28"/>
        <v>0.86734672694630111</v>
      </c>
      <c r="W133" s="204">
        <f t="shared" si="28"/>
        <v>0.86734672694630111</v>
      </c>
      <c r="X133" s="204">
        <f t="shared" si="28"/>
        <v>0.86734672694630111</v>
      </c>
      <c r="Y133" s="204">
        <f t="shared" si="28"/>
        <v>0.86734672694630111</v>
      </c>
      <c r="Z133" s="212">
        <f t="shared" si="28"/>
        <v>0.86734672694630111</v>
      </c>
      <c r="AA133" s="212">
        <f t="shared" si="27"/>
        <v>0.86798439019752627</v>
      </c>
    </row>
    <row r="134" spans="2:27" x14ac:dyDescent="0.2">
      <c r="B134" s="564" t="str">
        <f t="shared" si="17"/>
        <v>Forest Residues (Cellulosic).Cost of Capital (Depreciation)</v>
      </c>
      <c r="C134" s="564" t="str">
        <f t="shared" si="18"/>
        <v>Forest Residues (Cellulosic)</v>
      </c>
      <c r="F134" s="252"/>
      <c r="G134" s="251">
        <f>IFERROR(INDEX(Allocators!$C:$C,MATCH($F134,Allocators!$E:$E,0)),0)</f>
        <v>0</v>
      </c>
      <c r="H134" s="258">
        <f>IFERROR(INDEX(Allocators!$D:$D,MATCH($F134,Allocators!$E:$E,0)),1)</f>
        <v>1</v>
      </c>
      <c r="I134" s="181" t="s">
        <v>471</v>
      </c>
      <c r="J134" s="203"/>
      <c r="K134" s="203"/>
      <c r="L134" s="203">
        <f>Depreciation!L151/$O$2/(10^6)/L$5*$H134</f>
        <v>0.1275327777777778</v>
      </c>
      <c r="M134" s="203">
        <f>Depreciation!M151/$O$2/(10^6)/M$5*$H134</f>
        <v>9.5649583333333343E-2</v>
      </c>
      <c r="N134" s="203">
        <f>Depreciation!N151/$O$2/(10^6)/N$5*$H134</f>
        <v>9.5649583333333343E-2</v>
      </c>
      <c r="O134" s="203">
        <f>Depreciation!O151/$O$2/(10^6)/O$5*$H134</f>
        <v>9.5649583333333343E-2</v>
      </c>
      <c r="P134" s="203">
        <f>Depreciation!P151/$O$2/(10^6)/P$5*$H134</f>
        <v>9.5649583333333343E-2</v>
      </c>
      <c r="Q134" s="203">
        <f>Depreciation!Q151/$O$2/(10^6)/Q$5*$H134</f>
        <v>9.5649583333333343E-2</v>
      </c>
      <c r="R134" s="203">
        <f>Depreciation!R151/$O$2/(10^6)/R$5*$H134</f>
        <v>9.5649583333333343E-2</v>
      </c>
      <c r="S134" s="203">
        <f>Depreciation!S151/$O$2/(10^6)/S$5*$H134</f>
        <v>9.5649583333333343E-2</v>
      </c>
      <c r="T134" s="203">
        <f>Depreciation!T151/$O$2/(10^6)/T$5*$H134</f>
        <v>9.5649583333333343E-2</v>
      </c>
      <c r="U134" s="203">
        <f>Depreciation!U151/$O$2/(10^6)/U$5*$H134</f>
        <v>9.5649583333333343E-2</v>
      </c>
      <c r="V134" s="203">
        <f>Depreciation!V151/$O$2/(10^6)/V$5*$H134</f>
        <v>9.5649583333333343E-2</v>
      </c>
      <c r="W134" s="203">
        <f>Depreciation!W151/$O$2/(10^6)/W$5*$H134</f>
        <v>9.5649583333333343E-2</v>
      </c>
      <c r="X134" s="203">
        <f>Depreciation!X151/$O$2/(10^6)/X$5*$H134</f>
        <v>9.5649583333333343E-2</v>
      </c>
      <c r="Y134" s="203">
        <f>Depreciation!Y151/$O$2/(10^6)/Y$5*$H134</f>
        <v>9.5649583333333343E-2</v>
      </c>
      <c r="Z134" s="213">
        <f>Depreciation!Z151/$O$2/(10^6)/Z$5*$H134</f>
        <v>9.5649583333333343E-2</v>
      </c>
      <c r="AA134" s="213">
        <f t="shared" ref="AA134:AA135" si="29">AVERAGE(L134:Z134)</f>
        <v>9.7775129629629615E-2</v>
      </c>
    </row>
    <row r="135" spans="2:27" x14ac:dyDescent="0.2">
      <c r="B135" s="564" t="str">
        <f t="shared" si="17"/>
        <v>Forest Residues (Cellulosic).Interest</v>
      </c>
      <c r="C135" s="564" t="str">
        <f t="shared" si="18"/>
        <v>Forest Residues (Cellulosic)</v>
      </c>
      <c r="F135" s="252"/>
      <c r="G135" s="251">
        <f>IFERROR(INDEX(Allocators!$C:$C,MATCH($F135,Allocators!$E:$E,0)),0)</f>
        <v>0</v>
      </c>
      <c r="H135" s="258">
        <f>IFERROR(INDEX(Allocators!$D:$D,MATCH($F135,Allocators!$E:$E,0)),1)</f>
        <v>1</v>
      </c>
      <c r="I135" s="181" t="s">
        <v>470</v>
      </c>
      <c r="J135" s="203"/>
      <c r="K135" s="203"/>
      <c r="L135" s="203">
        <f>INDEX('Loan Repayments'!$AN$14:$AN$63,MATCH(L$8,'Loan Repayments'!$AI$14:$AI$63,0))
/($O$2*10^6)/L$5*$H135</f>
        <v>7.768492900869757E-2</v>
      </c>
      <c r="M135" s="203">
        <f>INDEX('Loan Repayments'!$AN$14:$AN$63,MATCH(M$8,'Loan Repayments'!$AI$14:$AI$63,0))
/($O$2*10^6)/M$5*$H135</f>
        <v>5.8263696756523174E-2</v>
      </c>
      <c r="N135" s="203">
        <f>INDEX('Loan Repayments'!$AN$14:$AN$63,MATCH(N$8,'Loan Repayments'!$AI$14:$AI$63,0))
/($O$2*10^6)/N$5*$H135</f>
        <v>5.8263696756523174E-2</v>
      </c>
      <c r="O135" s="203">
        <f>INDEX('Loan Repayments'!$AN$14:$AN$63,MATCH(O$8,'Loan Repayments'!$AI$14:$AI$63,0))
/($O$2*10^6)/O$5*$H135</f>
        <v>5.8263696756523174E-2</v>
      </c>
      <c r="P135" s="203">
        <f>INDEX('Loan Repayments'!$AN$14:$AN$63,MATCH(P$8,'Loan Repayments'!$AI$14:$AI$63,0))
/($O$2*10^6)/P$5*$H135</f>
        <v>5.8263696756523174E-2</v>
      </c>
      <c r="Q135" s="203">
        <f>INDEX('Loan Repayments'!$AN$14:$AN$63,MATCH(Q$8,'Loan Repayments'!$AI$14:$AI$63,0))
/($O$2*10^6)/Q$5*$H135</f>
        <v>5.8263696756523174E-2</v>
      </c>
      <c r="R135" s="203">
        <f>INDEX('Loan Repayments'!$AN$14:$AN$63,MATCH(R$8,'Loan Repayments'!$AI$14:$AI$63,0))
/($O$2*10^6)/R$5*$H135</f>
        <v>5.8263696756523174E-2</v>
      </c>
      <c r="S135" s="203">
        <f>INDEX('Loan Repayments'!$AN$14:$AN$63,MATCH(S$8,'Loan Repayments'!$AI$14:$AI$63,0))
/($O$2*10^6)/S$5*$H135</f>
        <v>5.8263696756523174E-2</v>
      </c>
      <c r="T135" s="203">
        <f>INDEX('Loan Repayments'!$AN$14:$AN$63,MATCH(T$8,'Loan Repayments'!$AI$14:$AI$63,0))
/($O$2*10^6)/T$5*$H135</f>
        <v>5.8263696756523174E-2</v>
      </c>
      <c r="U135" s="203">
        <f>INDEX('Loan Repayments'!$AN$14:$AN$63,MATCH(U$8,'Loan Repayments'!$AI$14:$AI$63,0))
/($O$2*10^6)/U$5*$H135</f>
        <v>5.8263696756523174E-2</v>
      </c>
      <c r="V135" s="203">
        <f>INDEX('Loan Repayments'!$AN$14:$AN$63,MATCH(V$8,'Loan Repayments'!$AI$14:$AI$63,0))
/($O$2*10^6)/V$5*$H135</f>
        <v>5.8263696756523174E-2</v>
      </c>
      <c r="W135" s="203">
        <f>INDEX('Loan Repayments'!$AN$14:$AN$63,MATCH(W$8,'Loan Repayments'!$AI$14:$AI$63,0))
/($O$2*10^6)/W$5*$H135</f>
        <v>5.8263696756523174E-2</v>
      </c>
      <c r="X135" s="203">
        <f>INDEX('Loan Repayments'!$AN$14:$AN$63,MATCH(X$8,'Loan Repayments'!$AI$14:$AI$63,0))
/($O$2*10^6)/X$5*$H135</f>
        <v>5.8263696756523174E-2</v>
      </c>
      <c r="Y135" s="203">
        <f>INDEX('Loan Repayments'!$AN$14:$AN$63,MATCH(Y$8,'Loan Repayments'!$AI$14:$AI$63,0))
/($O$2*10^6)/Y$5*$H135</f>
        <v>5.8263696756523174E-2</v>
      </c>
      <c r="Z135" s="213">
        <f>INDEX('Loan Repayments'!$AN$14:$AN$63,MATCH(Z$8,'Loan Repayments'!$AI$14:$AI$63,0))
/($O$2*10^6)/Z$5*$H135</f>
        <v>5.8263696756523174E-2</v>
      </c>
      <c r="AA135" s="213">
        <f t="shared" si="29"/>
        <v>5.9558445573334805E-2</v>
      </c>
    </row>
    <row r="136" spans="2:27" ht="13.5" thickBot="1" x14ac:dyDescent="0.25">
      <c r="B136" s="564" t="str">
        <f t="shared" si="17"/>
        <v>Forest Residues (Cellulosic).Total production cost ($/L)</v>
      </c>
      <c r="C136" s="564" t="str">
        <f t="shared" si="18"/>
        <v>Forest Residues (Cellulosic)</v>
      </c>
      <c r="F136" s="544"/>
      <c r="G136">
        <f>IFERROR(INDEX(Allocators!$C:$C,MATCH($F136,Allocators!$E:$E,0)),0)</f>
        <v>0</v>
      </c>
      <c r="H136" s="544">
        <f>IFERROR(INDEX(Allocators!$D:$D,MATCH($F136,Allocators!$E:$E,0)),1)</f>
        <v>1</v>
      </c>
      <c r="I136" s="183" t="s">
        <v>632</v>
      </c>
      <c r="J136" s="204"/>
      <c r="K136" s="204"/>
      <c r="L136" s="204">
        <f t="shared" ref="L136:Z136" si="30">SUM(L133,L134)</f>
        <v>1.0044444534924539</v>
      </c>
      <c r="M136" s="204">
        <f t="shared" si="30"/>
        <v>0.96299631027963439</v>
      </c>
      <c r="N136" s="204">
        <f t="shared" si="30"/>
        <v>0.96299631027963439</v>
      </c>
      <c r="O136" s="204">
        <f t="shared" si="30"/>
        <v>0.96299631027963439</v>
      </c>
      <c r="P136" s="204">
        <f t="shared" si="30"/>
        <v>0.96299631027963439</v>
      </c>
      <c r="Q136" s="204">
        <f t="shared" si="30"/>
        <v>0.96299631027963439</v>
      </c>
      <c r="R136" s="204">
        <f t="shared" si="30"/>
        <v>0.96299631027963439</v>
      </c>
      <c r="S136" s="204">
        <f t="shared" si="30"/>
        <v>0.96299631027963439</v>
      </c>
      <c r="T136" s="204">
        <f t="shared" si="30"/>
        <v>0.96299631027963439</v>
      </c>
      <c r="U136" s="204">
        <f t="shared" si="30"/>
        <v>0.96299631027963439</v>
      </c>
      <c r="V136" s="204">
        <f t="shared" si="30"/>
        <v>0.96299631027963439</v>
      </c>
      <c r="W136" s="204">
        <f t="shared" si="30"/>
        <v>0.96299631027963439</v>
      </c>
      <c r="X136" s="204">
        <f t="shared" si="30"/>
        <v>0.96299631027963439</v>
      </c>
      <c r="Y136" s="204">
        <f t="shared" si="30"/>
        <v>0.96299631027963439</v>
      </c>
      <c r="Z136" s="212">
        <f t="shared" si="30"/>
        <v>0.96299631027963439</v>
      </c>
      <c r="AA136" s="212">
        <f>SUM(AA133:AA135)</f>
        <v>1.0253179654004907</v>
      </c>
    </row>
    <row r="137" spans="2:27" x14ac:dyDescent="0.2">
      <c r="B137" s="564">
        <f t="shared" si="17"/>
        <v>0</v>
      </c>
      <c r="C137" s="564" t="str">
        <f t="shared" si="18"/>
        <v>Forest Residues (Cellulosic)</v>
      </c>
      <c r="D137" s="157">
        <v>8</v>
      </c>
      <c r="F137" s="252"/>
      <c r="G137" s="251">
        <f>IFERROR(INDEX(Allocators!$C:$C,MATCH($F137,Allocators!$E:$E,0)),0)</f>
        <v>0</v>
      </c>
      <c r="H137" s="258">
        <f>IFERROR(INDEX(Allocators!$D:$D,MATCH($F137,Allocators!$E:$E,0)),1)</f>
        <v>1</v>
      </c>
      <c r="I137" s="525" t="s">
        <v>638</v>
      </c>
      <c r="J137" s="514"/>
      <c r="K137" s="514"/>
      <c r="L137" s="546">
        <f>-SUMIF('Forest Residues (Cellulosic)'!$C:$C,'Costs per L'!$D137,'Forest Residues (Cellulosic)'!L:L)/($O$2*10^6)*$H137/L$5</f>
        <v>-9.963273490523368E-2</v>
      </c>
      <c r="M137" s="546">
        <f>-SUMIF('Forest Residues (Cellulosic)'!$C:$C,'Costs per L'!$D137,'Forest Residues (Cellulosic)'!M:M)/($O$2*10^6)*$H137/M$5</f>
        <v>-9.963273490523368E-2</v>
      </c>
      <c r="N137" s="546">
        <f>-SUMIF('Forest Residues (Cellulosic)'!$C:$C,'Costs per L'!$D137,'Forest Residues (Cellulosic)'!N:N)/($O$2*10^6)*$H137/N$5</f>
        <v>-9.963273490523368E-2</v>
      </c>
      <c r="O137" s="546">
        <f>-SUMIF('Forest Residues (Cellulosic)'!$C:$C,'Costs per L'!$D137,'Forest Residues (Cellulosic)'!O:O)/($O$2*10^6)*$H137/O$5</f>
        <v>-9.963273490523368E-2</v>
      </c>
      <c r="P137" s="546">
        <f>-SUMIF('Forest Residues (Cellulosic)'!$C:$C,'Costs per L'!$D137,'Forest Residues (Cellulosic)'!P:P)/($O$2*10^6)*$H137/P$5</f>
        <v>-9.963273490523368E-2</v>
      </c>
      <c r="Q137" s="546">
        <f>-SUMIF('Forest Residues (Cellulosic)'!$C:$C,'Costs per L'!$D137,'Forest Residues (Cellulosic)'!Q:Q)/($O$2*10^6)*$H137/Q$5</f>
        <v>-9.963273490523368E-2</v>
      </c>
      <c r="R137" s="546">
        <f>-SUMIF('Forest Residues (Cellulosic)'!$C:$C,'Costs per L'!$D137,'Forest Residues (Cellulosic)'!R:R)/($O$2*10^6)*$H137/R$5</f>
        <v>-9.963273490523368E-2</v>
      </c>
      <c r="S137" s="546">
        <f>-SUMIF('Forest Residues (Cellulosic)'!$C:$C,'Costs per L'!$D137,'Forest Residues (Cellulosic)'!S:S)/($O$2*10^6)*$H137/S$5</f>
        <v>-9.963273490523368E-2</v>
      </c>
      <c r="T137" s="546">
        <f>-SUMIF('Forest Residues (Cellulosic)'!$C:$C,'Costs per L'!$D137,'Forest Residues (Cellulosic)'!T:T)/($O$2*10^6)*$H137/T$5</f>
        <v>-9.963273490523368E-2</v>
      </c>
      <c r="U137" s="546">
        <f>-SUMIF('Forest Residues (Cellulosic)'!$C:$C,'Costs per L'!$D137,'Forest Residues (Cellulosic)'!U:U)/($O$2*10^6)*$H137/U$5</f>
        <v>-9.963273490523368E-2</v>
      </c>
      <c r="V137" s="546">
        <f>-SUMIF('Forest Residues (Cellulosic)'!$C:$C,'Costs per L'!$D137,'Forest Residues (Cellulosic)'!V:V)/($O$2*10^6)*$H137/V$5</f>
        <v>-9.963273490523368E-2</v>
      </c>
      <c r="W137" s="546">
        <f>-SUMIF('Forest Residues (Cellulosic)'!$C:$C,'Costs per L'!$D137,'Forest Residues (Cellulosic)'!W:W)/($O$2*10^6)*$H137/W$5</f>
        <v>-9.963273490523368E-2</v>
      </c>
      <c r="X137" s="546">
        <f>-SUMIF('Forest Residues (Cellulosic)'!$C:$C,'Costs per L'!$D137,'Forest Residues (Cellulosic)'!X:X)/($O$2*10^6)*$H137/X$5</f>
        <v>-9.963273490523368E-2</v>
      </c>
      <c r="Y137" s="546">
        <f>-SUMIF('Forest Residues (Cellulosic)'!$C:$C,'Costs per L'!$D137,'Forest Residues (Cellulosic)'!Y:Y)/($O$2*10^6)*$H137/Y$5</f>
        <v>-9.963273490523368E-2</v>
      </c>
      <c r="Z137" s="546">
        <f>-SUMIF('Forest Residues (Cellulosic)'!$C:$C,'Costs per L'!$D137,'Forest Residues (Cellulosic)'!Z:Z)/($O$2*10^6)*$H137/Z$5</f>
        <v>-9.963273490523368E-2</v>
      </c>
      <c r="AA137" s="547">
        <f>AVERAGE(L137:Z137)</f>
        <v>-9.9632734905233708E-2</v>
      </c>
    </row>
    <row r="138" spans="2:27" ht="13.5" thickBot="1" x14ac:dyDescent="0.25">
      <c r="B138" s="564" t="str">
        <f t="shared" si="17"/>
        <v>Forest Residues (Cellulosic).Net production cost ($/L)</v>
      </c>
      <c r="C138" s="564" t="str">
        <f t="shared" si="18"/>
        <v>Forest Residues (Cellulosic)</v>
      </c>
      <c r="G138" s="171">
        <f>IFERROR(INDEX(Allocators!$C:$C,MATCH($F138,Allocators!$E:$E,0)),0)</f>
        <v>0</v>
      </c>
      <c r="H138" s="171">
        <f>IFERROR(INDEX(Allocators!$D:$D,MATCH($F138,Allocators!$E:$E,0)),1)</f>
        <v>1</v>
      </c>
      <c r="I138" s="183" t="s">
        <v>637</v>
      </c>
      <c r="J138" s="514"/>
      <c r="K138" s="514"/>
      <c r="L138" s="204">
        <f t="shared" ref="L138:AA138" si="31">SUM(L136:L137)</f>
        <v>0.9048117185872202</v>
      </c>
      <c r="M138" s="204">
        <f t="shared" si="31"/>
        <v>0.86336357537440067</v>
      </c>
      <c r="N138" s="204">
        <f t="shared" si="31"/>
        <v>0.86336357537440067</v>
      </c>
      <c r="O138" s="204">
        <f t="shared" si="31"/>
        <v>0.86336357537440067</v>
      </c>
      <c r="P138" s="204">
        <f t="shared" si="31"/>
        <v>0.86336357537440067</v>
      </c>
      <c r="Q138" s="204">
        <f t="shared" si="31"/>
        <v>0.86336357537440067</v>
      </c>
      <c r="R138" s="204">
        <f t="shared" si="31"/>
        <v>0.86336357537440067</v>
      </c>
      <c r="S138" s="204">
        <f t="shared" si="31"/>
        <v>0.86336357537440067</v>
      </c>
      <c r="T138" s="204">
        <f t="shared" si="31"/>
        <v>0.86336357537440067</v>
      </c>
      <c r="U138" s="204">
        <f t="shared" si="31"/>
        <v>0.86336357537440067</v>
      </c>
      <c r="V138" s="204">
        <f t="shared" si="31"/>
        <v>0.86336357537440067</v>
      </c>
      <c r="W138" s="204">
        <f t="shared" si="31"/>
        <v>0.86336357537440067</v>
      </c>
      <c r="X138" s="204">
        <f t="shared" si="31"/>
        <v>0.86336357537440067</v>
      </c>
      <c r="Y138" s="204">
        <f t="shared" si="31"/>
        <v>0.86336357537440067</v>
      </c>
      <c r="Z138" s="204">
        <f t="shared" si="31"/>
        <v>0.86336357537440067</v>
      </c>
      <c r="AA138" s="548">
        <f t="shared" si="31"/>
        <v>0.92568523049525697</v>
      </c>
    </row>
    <row r="139" spans="2:27" x14ac:dyDescent="0.2">
      <c r="B139" s="564" t="str">
        <f t="shared" si="17"/>
        <v>Forest Residues (Cellulosic).Remove inflation factors</v>
      </c>
      <c r="C139" s="564" t="str">
        <f t="shared" si="18"/>
        <v>Forest Residues (Cellulosic)</v>
      </c>
      <c r="G139">
        <f>IFERROR(INDEX(Allocators!$C:$C,MATCH($F139,Allocators!$E:$E,0)),0)</f>
        <v>0</v>
      </c>
      <c r="H139">
        <f>IFERROR(INDEX(Allocators!$D:$D,MATCH($F139,Allocators!$E:$E,0)),1)</f>
        <v>1</v>
      </c>
      <c r="I139" s="215" t="s">
        <v>544</v>
      </c>
      <c r="J139" s="179"/>
      <c r="K139" s="179"/>
      <c r="L139" s="179"/>
      <c r="M139" s="179"/>
      <c r="N139" s="179"/>
      <c r="O139" s="179"/>
      <c r="P139" s="179"/>
      <c r="Q139" s="179"/>
      <c r="R139" s="179"/>
      <c r="S139" s="179"/>
      <c r="T139" s="179"/>
      <c r="U139" s="179"/>
      <c r="V139" s="179"/>
      <c r="W139" s="179"/>
      <c r="X139" s="179"/>
      <c r="Y139" s="179"/>
      <c r="Z139" s="179"/>
    </row>
    <row r="140" spans="2:27" x14ac:dyDescent="0.2">
      <c r="B140" s="564" t="str">
        <f t="shared" si="17"/>
        <v>Forest Residues (Cellulosic).</v>
      </c>
      <c r="C140" s="564" t="str">
        <f t="shared" ref="C140:C180" si="32">IF(ISBLANK(E140),C139,E140)</f>
        <v>Forest Residues (Cellulosic)</v>
      </c>
      <c r="G140">
        <f>IFERROR(INDEX(Allocators!$C:$C,MATCH($F140,Allocators!$E:$E,0)),0)</f>
        <v>0</v>
      </c>
      <c r="H140">
        <f>IFERROR(INDEX(Allocators!$D:$D,MATCH($F140,Allocators!$E:$E,0)),1)</f>
        <v>1</v>
      </c>
      <c r="I140" s="208"/>
      <c r="J140" s="179"/>
      <c r="K140" s="179"/>
      <c r="L140" s="179"/>
      <c r="M140" s="179"/>
      <c r="N140" s="179"/>
      <c r="O140" s="179"/>
      <c r="P140" s="179"/>
      <c r="Q140" s="179"/>
      <c r="R140" s="179"/>
      <c r="S140" s="179"/>
      <c r="T140" s="179"/>
      <c r="U140" s="179"/>
      <c r="V140" s="179"/>
      <c r="W140" s="179"/>
      <c r="X140" s="179"/>
      <c r="Y140" s="179"/>
      <c r="Z140" s="179"/>
    </row>
    <row r="141" spans="2:27" x14ac:dyDescent="0.2">
      <c r="B141" s="564" t="str">
        <f t="shared" si="17"/>
        <v>Forest Residues (Cellulosic).Feedstock</v>
      </c>
      <c r="C141" s="564" t="str">
        <f t="shared" si="32"/>
        <v>Forest Residues (Cellulosic)</v>
      </c>
      <c r="G141">
        <f>IFERROR(INDEX(Allocators!$C:$C,MATCH($F141,Allocators!$E:$E,0)),0)</f>
        <v>0</v>
      </c>
      <c r="H141">
        <f>IFERROR(INDEX(Allocators!$D:$D,MATCH($F141,Allocators!$E:$E,0)),1)</f>
        <v>1</v>
      </c>
      <c r="I141" s="341" t="s">
        <v>285</v>
      </c>
      <c r="K141" s="179"/>
      <c r="L141" s="253">
        <f>AA126</f>
        <v>0.28738122087646673</v>
      </c>
      <c r="M141" s="179"/>
      <c r="N141" s="613"/>
      <c r="O141" s="179"/>
      <c r="P141" s="179"/>
      <c r="Q141" s="179"/>
      <c r="R141" s="179"/>
      <c r="S141" s="179"/>
      <c r="T141" s="179"/>
      <c r="U141" s="179"/>
      <c r="V141" s="179"/>
      <c r="W141" s="179"/>
      <c r="X141" s="179"/>
      <c r="Y141" s="179"/>
      <c r="Z141" s="179"/>
    </row>
    <row r="142" spans="2:27" x14ac:dyDescent="0.2">
      <c r="B142" s="564" t="str">
        <f t="shared" ref="B142:B151" si="33">IF(D142&gt;0,0,C142&amp;"."&amp;I142)</f>
        <v>Forest Residues (Cellulosic).Direct Costs</v>
      </c>
      <c r="C142" s="564" t="str">
        <f t="shared" si="32"/>
        <v>Forest Residues (Cellulosic)</v>
      </c>
      <c r="G142">
        <f>IFERROR(INDEX(Allocators!$C:$C,MATCH($F142,Allocators!$E:$E,0)),0)</f>
        <v>0</v>
      </c>
      <c r="H142">
        <f>IFERROR(INDEX(Allocators!$D:$D,MATCH($F142,Allocators!$E:$E,0)),1)</f>
        <v>1</v>
      </c>
      <c r="I142" s="341" t="s">
        <v>526</v>
      </c>
      <c r="L142" s="253">
        <f>SUM(AA127:AA128,AA132)</f>
        <v>0.39987472226470944</v>
      </c>
    </row>
    <row r="143" spans="2:27" x14ac:dyDescent="0.2">
      <c r="B143" s="564" t="str">
        <f t="shared" si="33"/>
        <v>Forest Residues (Cellulosic).Maintenance</v>
      </c>
      <c r="C143" s="564" t="str">
        <f t="shared" si="32"/>
        <v>Forest Residues (Cellulosic)</v>
      </c>
      <c r="G143">
        <f>IFERROR(INDEX(Allocators!$C:$C,MATCH($F143,Allocators!$E:$E,0)),0)</f>
        <v>0</v>
      </c>
      <c r="H143">
        <f>IFERROR(INDEX(Allocators!$D:$D,MATCH($F143,Allocators!$E:$E,0)),1)</f>
        <v>1</v>
      </c>
      <c r="I143" s="341" t="s">
        <v>218</v>
      </c>
      <c r="L143" s="253">
        <f>AA129</f>
        <v>0.12105838455634998</v>
      </c>
    </row>
    <row r="144" spans="2:27" x14ac:dyDescent="0.2">
      <c r="B144" s="564" t="str">
        <f t="shared" si="33"/>
        <v>Forest Residues (Cellulosic).Indirect Costs</v>
      </c>
      <c r="C144" s="564" t="str">
        <f t="shared" si="32"/>
        <v>Forest Residues (Cellulosic)</v>
      </c>
      <c r="G144">
        <f>IFERROR(INDEX(Allocators!$C:$C,MATCH($F144,Allocators!$E:$E,0)),0)</f>
        <v>0</v>
      </c>
      <c r="H144">
        <f>IFERROR(INDEX(Allocators!$D:$D,MATCH($F144,Allocators!$E:$E,0)),1)</f>
        <v>1</v>
      </c>
      <c r="I144" s="341" t="s">
        <v>527</v>
      </c>
      <c r="L144" s="253">
        <f>SUM(AA130:AA131)</f>
        <v>5.967006250000001E-2</v>
      </c>
    </row>
    <row r="145" spans="2:27" x14ac:dyDescent="0.2">
      <c r="B145" s="564" t="str">
        <f t="shared" si="33"/>
        <v>Forest Residues (Cellulosic).Finance</v>
      </c>
      <c r="C145" s="564" t="str">
        <f t="shared" si="32"/>
        <v>Forest Residues (Cellulosic)</v>
      </c>
      <c r="G145">
        <f>IFERROR(INDEX(Allocators!$C:$C,MATCH($F145,Allocators!$E:$E,0)),0)</f>
        <v>0</v>
      </c>
      <c r="H145">
        <f>IFERROR(INDEX(Allocators!$D:$D,MATCH($F145,Allocators!$E:$E,0)),1)</f>
        <v>1</v>
      </c>
      <c r="I145" s="341" t="s">
        <v>528</v>
      </c>
      <c r="L145" s="253">
        <f>SUM(AA134:AA135)</f>
        <v>0.15733357520296443</v>
      </c>
    </row>
    <row r="146" spans="2:27" ht="13.5" thickBot="1" x14ac:dyDescent="0.25">
      <c r="B146" s="564" t="str">
        <f t="shared" si="33"/>
        <v>Forest Residues (Cellulosic).Total production</v>
      </c>
      <c r="C146" s="564" t="str">
        <f t="shared" si="32"/>
        <v>Forest Residues (Cellulosic)</v>
      </c>
      <c r="G146">
        <f>IFERROR(INDEX(Allocators!$C:$C,MATCH($F146,Allocators!$E:$E,0)),0)</f>
        <v>0</v>
      </c>
      <c r="H146">
        <f>IFERROR(INDEX(Allocators!$D:$D,MATCH($F146,Allocators!$E:$E,0)),1)</f>
        <v>1</v>
      </c>
      <c r="I146" s="183" t="s">
        <v>467</v>
      </c>
      <c r="L146" s="204">
        <f>SUM(L141:L145)</f>
        <v>1.0253179654004905</v>
      </c>
      <c r="M146" s="561" t="str">
        <f>IF(L146=AA136,"", "Error - Totals are not equal")</f>
        <v/>
      </c>
    </row>
    <row r="147" spans="2:27" x14ac:dyDescent="0.2">
      <c r="B147" s="564" t="str">
        <f t="shared" si="33"/>
        <v>Forest Residues (Cellulosic).Co-product credit</v>
      </c>
      <c r="C147" s="564" t="str">
        <f t="shared" si="32"/>
        <v>Forest Residues (Cellulosic)</v>
      </c>
      <c r="G147">
        <f>IFERROR(INDEX(Allocators!$C:$C,MATCH($F147,Allocators!$E:$E,0)),0)</f>
        <v>0</v>
      </c>
      <c r="H147">
        <f>IFERROR(INDEX(Allocators!$D:$D,MATCH($F147,Allocators!$E:$E,0)),1)</f>
        <v>1</v>
      </c>
      <c r="I147" s="515" t="s">
        <v>635</v>
      </c>
      <c r="L147" s="519">
        <f>AA137</f>
        <v>-9.9632734905233708E-2</v>
      </c>
    </row>
    <row r="148" spans="2:27" ht="13.5" thickBot="1" x14ac:dyDescent="0.25">
      <c r="B148" s="564" t="str">
        <f t="shared" si="33"/>
        <v>Forest Residues (Cellulosic).Net production cost</v>
      </c>
      <c r="C148" s="564" t="str">
        <f t="shared" si="32"/>
        <v>Forest Residues (Cellulosic)</v>
      </c>
      <c r="G148">
        <f>IFERROR(INDEX(Allocators!$C:$C,MATCH($F148,Allocators!$E:$E,0)),0)</f>
        <v>0</v>
      </c>
      <c r="H148">
        <f>IFERROR(INDEX(Allocators!$D:$D,MATCH($F148,Allocators!$E:$E,0)),1)</f>
        <v>1</v>
      </c>
      <c r="I148" s="183" t="s">
        <v>634</v>
      </c>
      <c r="L148" s="204">
        <f>SUM(L146:L147)</f>
        <v>0.92568523049525675</v>
      </c>
      <c r="M148" s="561" t="str">
        <f>IF(L148=AA138,"", "Error - Totals are not equal")</f>
        <v/>
      </c>
    </row>
    <row r="149" spans="2:27" x14ac:dyDescent="0.2">
      <c r="B149" s="564" t="str">
        <f t="shared" si="33"/>
        <v>Forest Residues (Cellulosic).</v>
      </c>
      <c r="C149" s="564" t="str">
        <f t="shared" si="32"/>
        <v>Forest Residues (Cellulosic)</v>
      </c>
      <c r="G149">
        <f>IFERROR(INDEX(Allocators!$C:$C,MATCH($F149,Allocators!$E:$E,0)),0)</f>
        <v>0</v>
      </c>
      <c r="H149">
        <f>IFERROR(INDEX(Allocators!$D:$D,MATCH($F149,Allocators!$E:$E,0)),1)</f>
        <v>1</v>
      </c>
    </row>
    <row r="150" spans="2:27" x14ac:dyDescent="0.2">
      <c r="B150" s="564" t="str">
        <f t="shared" si="33"/>
        <v>Forest Residues (Cellulosic).Capital Cost ($'000)</v>
      </c>
      <c r="C150" s="564" t="str">
        <f t="shared" si="32"/>
        <v>Forest Residues (Cellulosic)</v>
      </c>
      <c r="F150" s="252"/>
      <c r="G150" s="549">
        <f>IFERROR(INDEX(Allocators!$C:$C,MATCH($F150,Allocators!$E:$E,0)),0)</f>
        <v>0</v>
      </c>
      <c r="H150" s="258">
        <f>IFERROR(INDEX(Allocators!$D:$D,MATCH($F150,Allocators!$E:$E,0)),1)</f>
        <v>1</v>
      </c>
      <c r="I150" s="341" t="s">
        <v>530</v>
      </c>
      <c r="L150" s="256">
        <f>SUM('Forest Residues (Cellulosic)'!J289:K289)*'Costs per L'!H150*10^6</f>
        <v>286948750</v>
      </c>
    </row>
    <row r="151" spans="2:27" ht="13.5" thickBot="1" x14ac:dyDescent="0.25">
      <c r="B151" s="564" t="str">
        <f t="shared" si="33"/>
        <v>Forest Residues (Cellulosic).Capital Cost per L</v>
      </c>
      <c r="C151" s="564" t="str">
        <f t="shared" si="32"/>
        <v>Forest Residues (Cellulosic)</v>
      </c>
      <c r="I151" s="183" t="s">
        <v>529</v>
      </c>
      <c r="L151" s="204">
        <f>L150/($O$2*10^6)</f>
        <v>2.8694875</v>
      </c>
    </row>
    <row r="152" spans="2:27" x14ac:dyDescent="0.2">
      <c r="C152" s="564" t="str">
        <f t="shared" si="32"/>
        <v>Forest Residues (Cellulosic)</v>
      </c>
    </row>
    <row r="153" spans="2:27" x14ac:dyDescent="0.2">
      <c r="C153" s="564" t="str">
        <f t="shared" si="32"/>
        <v>Forest Residues (Cellulosic)</v>
      </c>
    </row>
    <row r="154" spans="2:27" x14ac:dyDescent="0.2">
      <c r="B154" s="564" t="str">
        <f t="shared" ref="B154:B180" si="34">IF(D154&gt;0,0,C154&amp;"."&amp;I154)</f>
        <v>Imported Starch.</v>
      </c>
      <c r="C154" s="564" t="str">
        <f t="shared" si="32"/>
        <v>Imported Starch</v>
      </c>
      <c r="E154" s="573" t="s">
        <v>854</v>
      </c>
      <c r="F154" s="574"/>
      <c r="G154" s="574">
        <f>IFERROR(INDEX(Allocators!$C:$C,MATCH($F154,Allocators!$E:$E,0)),0)</f>
        <v>0</v>
      </c>
      <c r="H154" s="574">
        <f>IFERROR(INDEX(Allocators!$D:$D,MATCH($F154,Allocators!$E:$E,0)),1)</f>
        <v>1</v>
      </c>
      <c r="I154" s="575"/>
      <c r="J154" s="575"/>
      <c r="K154" s="575"/>
      <c r="L154" s="575"/>
      <c r="M154" s="575"/>
      <c r="N154" s="575"/>
      <c r="O154" s="575"/>
      <c r="P154" s="575"/>
      <c r="Q154" s="575"/>
      <c r="R154" s="575"/>
      <c r="S154" s="575"/>
      <c r="T154" s="575"/>
      <c r="U154" s="575"/>
      <c r="V154" s="575"/>
      <c r="W154" s="575"/>
      <c r="X154" s="575"/>
      <c r="Y154" s="575"/>
      <c r="Z154" s="575"/>
      <c r="AA154" s="575"/>
    </row>
    <row r="155" spans="2:27" x14ac:dyDescent="0.2">
      <c r="B155" s="564">
        <f t="shared" si="34"/>
        <v>0</v>
      </c>
      <c r="C155" s="564" t="str">
        <f t="shared" si="32"/>
        <v>Imported Starch</v>
      </c>
      <c r="D155" s="157">
        <v>1</v>
      </c>
      <c r="E155" s="157"/>
      <c r="F155" s="587"/>
      <c r="G155" s="251">
        <f>IFERROR(INDEX(Allocators!$C:$C,MATCH($F155,Allocators!$E:$E,0)),0)</f>
        <v>0</v>
      </c>
      <c r="H155" s="589">
        <f>IFERROR(INDEX(Allocators!$D:$D,MATCH($F155,Allocators!$E:$E,0)),1)</f>
        <v>1</v>
      </c>
      <c r="I155" s="207" t="s">
        <v>285</v>
      </c>
      <c r="J155" s="205"/>
      <c r="K155" s="205"/>
      <c r="L155" s="577">
        <f>-SUMIF('Imported Starch'!$C:$C,'Costs per L'!$D155,'Imported Starch'!L:L)/($O$2*10^6)*$H155/L$5</f>
        <v>0.63670048635840515</v>
      </c>
      <c r="M155" s="577">
        <f>-SUMIF('Imported Starch'!$C:$C,'Costs per L'!$D155,'Imported Starch'!M:M)/($O$2*10^6)*$H155/M$5</f>
        <v>0.63670048635840515</v>
      </c>
      <c r="N155" s="577">
        <f>-SUMIF('Imported Starch'!$C:$C,'Costs per L'!$D155,'Imported Starch'!N:N)/($O$2*10^6)*$H155/N$5</f>
        <v>0.63670048635840515</v>
      </c>
      <c r="O155" s="577">
        <f>-SUMIF('Imported Starch'!$C:$C,'Costs per L'!$D155,'Imported Starch'!O:O)/($O$2*10^6)*$H155/O$5</f>
        <v>0.63670048635840515</v>
      </c>
      <c r="P155" s="577">
        <f>-SUMIF('Imported Starch'!$C:$C,'Costs per L'!$D155,'Imported Starch'!P:P)/($O$2*10^6)*$H155/P$5</f>
        <v>0.63670048635840515</v>
      </c>
      <c r="Q155" s="577">
        <f>-SUMIF('Imported Starch'!$C:$C,'Costs per L'!$D155,'Imported Starch'!Q:Q)/($O$2*10^6)*$H155/Q$5</f>
        <v>0.63670048635840515</v>
      </c>
      <c r="R155" s="577">
        <f>-SUMIF('Imported Starch'!$C:$C,'Costs per L'!$D155,'Imported Starch'!R:R)/($O$2*10^6)*$H155/R$5</f>
        <v>0.63670048635840515</v>
      </c>
      <c r="S155" s="577">
        <f>-SUMIF('Imported Starch'!$C:$C,'Costs per L'!$D155,'Imported Starch'!S:S)/($O$2*10^6)*$H155/S$5</f>
        <v>0.63670048635840515</v>
      </c>
      <c r="T155" s="577">
        <f>-SUMIF('Imported Starch'!$C:$C,'Costs per L'!$D155,'Imported Starch'!T:T)/($O$2*10^6)*$H155/T$5</f>
        <v>0.63670048635840515</v>
      </c>
      <c r="U155" s="577">
        <f>-SUMIF('Imported Starch'!$C:$C,'Costs per L'!$D155,'Imported Starch'!U:U)/($O$2*10^6)*$H155/U$5</f>
        <v>0.63670048635840515</v>
      </c>
      <c r="V155" s="577">
        <f>-SUMIF('Imported Starch'!$C:$C,'Costs per L'!$D155,'Imported Starch'!V:V)/($O$2*10^6)*$H155/V$5</f>
        <v>0.63670048635840515</v>
      </c>
      <c r="W155" s="577">
        <f>-SUMIF('Imported Starch'!$C:$C,'Costs per L'!$D155,'Imported Starch'!W:W)/($O$2*10^6)*$H155/W$5</f>
        <v>0.63670048635840515</v>
      </c>
      <c r="X155" s="577">
        <f>-SUMIF('Imported Starch'!$C:$C,'Costs per L'!$D155,'Imported Starch'!X:X)/($O$2*10^6)*$H155/X$5</f>
        <v>0.63670048635840515</v>
      </c>
      <c r="Y155" s="577">
        <f>-SUMIF('Imported Starch'!$C:$C,'Costs per L'!$D155,'Imported Starch'!Y:Y)/($O$2*10^6)*$H155/Y$5</f>
        <v>0.63670048635840515</v>
      </c>
      <c r="Z155" s="576">
        <f>-SUMIF('Imported Starch'!$C:$C,'Costs per L'!$D155,'Imported Starch'!Z:Z)/($O$2*10^6)*$H155/Z$5</f>
        <v>0.63670048635840515</v>
      </c>
      <c r="AA155" s="576">
        <f t="shared" ref="AA155:AA164" si="35">AVERAGE(L155:Z155)</f>
        <v>0.63670048635840526</v>
      </c>
    </row>
    <row r="156" spans="2:27" x14ac:dyDescent="0.2">
      <c r="B156" s="564">
        <f t="shared" si="34"/>
        <v>0</v>
      </c>
      <c r="C156" s="564" t="str">
        <f t="shared" si="32"/>
        <v>Imported Starch</v>
      </c>
      <c r="D156" s="157">
        <v>2</v>
      </c>
      <c r="E156" s="157"/>
      <c r="F156" s="587"/>
      <c r="G156" s="251">
        <f>IFERROR(INDEX(Allocators!$C:$C,MATCH($F156,Allocators!$E:$E,0)),0)</f>
        <v>0</v>
      </c>
      <c r="H156" s="589">
        <f>IFERROR(INDEX(Allocators!$D:$D,MATCH($F156,Allocators!$E:$E,0)),1)</f>
        <v>1</v>
      </c>
      <c r="I156" s="207" t="s">
        <v>86</v>
      </c>
      <c r="J156" s="206"/>
      <c r="K156" s="206"/>
      <c r="L156" s="578">
        <f>-SUMIF('Imported Starch'!$C:$C,'Costs per L'!$D156,'Imported Starch'!L:L)/($O$2*10^6)*$H156/L$5</f>
        <v>2.7157174943740037E-2</v>
      </c>
      <c r="M156" s="578">
        <f>-SUMIF('Imported Starch'!$C:$C,'Costs per L'!$D156,'Imported Starch'!M:M)/($O$2*10^6)*$H156/M$5</f>
        <v>2.7157174943740037E-2</v>
      </c>
      <c r="N156" s="578">
        <f>-SUMIF('Imported Starch'!$C:$C,'Costs per L'!$D156,'Imported Starch'!N:N)/($O$2*10^6)*$H156/N$5</f>
        <v>2.7157174943740037E-2</v>
      </c>
      <c r="O156" s="578">
        <f>-SUMIF('Imported Starch'!$C:$C,'Costs per L'!$D156,'Imported Starch'!O:O)/($O$2*10^6)*$H156/O$5</f>
        <v>2.7157174943740037E-2</v>
      </c>
      <c r="P156" s="578">
        <f>-SUMIF('Imported Starch'!$C:$C,'Costs per L'!$D156,'Imported Starch'!P:P)/($O$2*10^6)*$H156/P$5</f>
        <v>2.7157174943740037E-2</v>
      </c>
      <c r="Q156" s="578">
        <f>-SUMIF('Imported Starch'!$C:$C,'Costs per L'!$D156,'Imported Starch'!Q:Q)/($O$2*10^6)*$H156/Q$5</f>
        <v>2.7157174943740037E-2</v>
      </c>
      <c r="R156" s="578">
        <f>-SUMIF('Imported Starch'!$C:$C,'Costs per L'!$D156,'Imported Starch'!R:R)/($O$2*10^6)*$H156/R$5</f>
        <v>2.7157174943740037E-2</v>
      </c>
      <c r="S156" s="578">
        <f>-SUMIF('Imported Starch'!$C:$C,'Costs per L'!$D156,'Imported Starch'!S:S)/($O$2*10^6)*$H156/S$5</f>
        <v>2.7157174943740037E-2</v>
      </c>
      <c r="T156" s="578">
        <f>-SUMIF('Imported Starch'!$C:$C,'Costs per L'!$D156,'Imported Starch'!T:T)/($O$2*10^6)*$H156/T$5</f>
        <v>2.7157174943740037E-2</v>
      </c>
      <c r="U156" s="578">
        <f>-SUMIF('Imported Starch'!$C:$C,'Costs per L'!$D156,'Imported Starch'!U:U)/($O$2*10^6)*$H156/U$5</f>
        <v>2.7157174943740037E-2</v>
      </c>
      <c r="V156" s="578">
        <f>-SUMIF('Imported Starch'!$C:$C,'Costs per L'!$D156,'Imported Starch'!V:V)/($O$2*10^6)*$H156/V$5</f>
        <v>2.7157174943740037E-2</v>
      </c>
      <c r="W156" s="578">
        <f>-SUMIF('Imported Starch'!$C:$C,'Costs per L'!$D156,'Imported Starch'!W:W)/($O$2*10^6)*$H156/W$5</f>
        <v>2.7157174943740037E-2</v>
      </c>
      <c r="X156" s="578">
        <f>-SUMIF('Imported Starch'!$C:$C,'Costs per L'!$D156,'Imported Starch'!X:X)/($O$2*10^6)*$H156/X$5</f>
        <v>2.7157174943740037E-2</v>
      </c>
      <c r="Y156" s="578">
        <f>-SUMIF('Imported Starch'!$C:$C,'Costs per L'!$D156,'Imported Starch'!Y:Y)/($O$2*10^6)*$H156/Y$5</f>
        <v>2.7157174943740037E-2</v>
      </c>
      <c r="Z156" s="579">
        <f>-SUMIF('Imported Starch'!$C:$C,'Costs per L'!$D156,'Imported Starch'!Z:Z)/($O$2*10^6)*$H156/Z$5</f>
        <v>2.7157174943740037E-2</v>
      </c>
      <c r="AA156" s="579">
        <f t="shared" si="35"/>
        <v>2.7157174943740037E-2</v>
      </c>
    </row>
    <row r="157" spans="2:27" x14ac:dyDescent="0.2">
      <c r="B157" s="564">
        <f t="shared" si="34"/>
        <v>0</v>
      </c>
      <c r="C157" s="564" t="str">
        <f t="shared" si="32"/>
        <v>Imported Starch</v>
      </c>
      <c r="D157" s="157">
        <v>3</v>
      </c>
      <c r="E157" s="157"/>
      <c r="F157" s="587"/>
      <c r="G157" s="251">
        <f>IFERROR(INDEX(Allocators!$C:$C,MATCH($F157,Allocators!$E:$E,0)),0)</f>
        <v>0</v>
      </c>
      <c r="H157" s="589">
        <f>IFERROR(INDEX(Allocators!$D:$D,MATCH($F157,Allocators!$E:$E,0)),1)</f>
        <v>1</v>
      </c>
      <c r="I157" s="207" t="s">
        <v>129</v>
      </c>
      <c r="J157" s="206"/>
      <c r="K157" s="206"/>
      <c r="L157" s="578">
        <f>-SUMIF('Imported Starch'!$C:$C,'Costs per L'!$D157,'Imported Starch'!L:L)/($O$2*10^6)*$H157/L$5</f>
        <v>5.6986927111573417E-2</v>
      </c>
      <c r="M157" s="578">
        <f>-SUMIF('Imported Starch'!$C:$C,'Costs per L'!$D157,'Imported Starch'!M:M)/($O$2*10^6)*$H157/M$5</f>
        <v>5.6986927111573403E-2</v>
      </c>
      <c r="N157" s="578">
        <f>-SUMIF('Imported Starch'!$C:$C,'Costs per L'!$D157,'Imported Starch'!N:N)/($O$2*10^6)*$H157/N$5</f>
        <v>5.6986927111573403E-2</v>
      </c>
      <c r="O157" s="578">
        <f>-SUMIF('Imported Starch'!$C:$C,'Costs per L'!$D157,'Imported Starch'!O:O)/($O$2*10^6)*$H157/O$5</f>
        <v>5.6986927111573403E-2</v>
      </c>
      <c r="P157" s="578">
        <f>-SUMIF('Imported Starch'!$C:$C,'Costs per L'!$D157,'Imported Starch'!P:P)/($O$2*10^6)*$H157/P$5</f>
        <v>5.6986927111573403E-2</v>
      </c>
      <c r="Q157" s="578">
        <f>-SUMIF('Imported Starch'!$C:$C,'Costs per L'!$D157,'Imported Starch'!Q:Q)/($O$2*10^6)*$H157/Q$5</f>
        <v>5.6986927111573403E-2</v>
      </c>
      <c r="R157" s="578">
        <f>-SUMIF('Imported Starch'!$C:$C,'Costs per L'!$D157,'Imported Starch'!R:R)/($O$2*10^6)*$H157/R$5</f>
        <v>5.6986927111573403E-2</v>
      </c>
      <c r="S157" s="578">
        <f>-SUMIF('Imported Starch'!$C:$C,'Costs per L'!$D157,'Imported Starch'!S:S)/($O$2*10^6)*$H157/S$5</f>
        <v>5.6986927111573403E-2</v>
      </c>
      <c r="T157" s="578">
        <f>-SUMIF('Imported Starch'!$C:$C,'Costs per L'!$D157,'Imported Starch'!T:T)/($O$2*10^6)*$H157/T$5</f>
        <v>5.6986927111573403E-2</v>
      </c>
      <c r="U157" s="578">
        <f>-SUMIF('Imported Starch'!$C:$C,'Costs per L'!$D157,'Imported Starch'!U:U)/($O$2*10^6)*$H157/U$5</f>
        <v>5.6986927111573403E-2</v>
      </c>
      <c r="V157" s="578">
        <f>-SUMIF('Imported Starch'!$C:$C,'Costs per L'!$D157,'Imported Starch'!V:V)/($O$2*10^6)*$H157/V$5</f>
        <v>5.6986927111573403E-2</v>
      </c>
      <c r="W157" s="578">
        <f>-SUMIF('Imported Starch'!$C:$C,'Costs per L'!$D157,'Imported Starch'!W:W)/($O$2*10^6)*$H157/W$5</f>
        <v>5.6986927111573403E-2</v>
      </c>
      <c r="X157" s="578">
        <f>-SUMIF('Imported Starch'!$C:$C,'Costs per L'!$D157,'Imported Starch'!X:X)/($O$2*10^6)*$H157/X$5</f>
        <v>5.6986927111573403E-2</v>
      </c>
      <c r="Y157" s="578">
        <f>-SUMIF('Imported Starch'!$C:$C,'Costs per L'!$D157,'Imported Starch'!Y:Y)/($O$2*10^6)*$H157/Y$5</f>
        <v>5.6986927111573403E-2</v>
      </c>
      <c r="Z157" s="579">
        <f>-SUMIF('Imported Starch'!$C:$C,'Costs per L'!$D157,'Imported Starch'!Z:Z)/($O$2*10^6)*$H157/Z$5</f>
        <v>5.6986927111573403E-2</v>
      </c>
      <c r="AA157" s="579">
        <f t="shared" si="35"/>
        <v>5.6986927111573389E-2</v>
      </c>
    </row>
    <row r="158" spans="2:27" x14ac:dyDescent="0.2">
      <c r="B158" s="564">
        <f t="shared" si="34"/>
        <v>0</v>
      </c>
      <c r="C158" s="564" t="str">
        <f t="shared" si="32"/>
        <v>Imported Starch</v>
      </c>
      <c r="D158" s="157">
        <v>4</v>
      </c>
      <c r="E158" s="157"/>
      <c r="F158" s="587"/>
      <c r="G158" s="251">
        <f>IFERROR(INDEX(Allocators!$C:$C,MATCH($F158,Allocators!$E:$E,0)),0)</f>
        <v>0</v>
      </c>
      <c r="H158" s="589">
        <f>IFERROR(INDEX(Allocators!$D:$D,MATCH($F158,Allocators!$E:$E,0)),1)</f>
        <v>1</v>
      </c>
      <c r="I158" s="207" t="s">
        <v>218</v>
      </c>
      <c r="J158" s="206"/>
      <c r="K158" s="206"/>
      <c r="L158" s="578">
        <f>-SUMIF('Imported Starch'!$C:$C,'Costs per L'!$D158,'Imported Starch'!L:L)/($O$2*10^6)*$H158/L$5</f>
        <v>4.9000750000000003E-2</v>
      </c>
      <c r="M158" s="578">
        <f>-SUMIF('Imported Starch'!$C:$C,'Costs per L'!$D158,'Imported Starch'!M:M)/($O$2*10^6)*$H158/M$5</f>
        <v>4.4185500000000003E-2</v>
      </c>
      <c r="N158" s="578">
        <f>-SUMIF('Imported Starch'!$C:$C,'Costs per L'!$D158,'Imported Starch'!N:N)/($O$2*10^6)*$H158/N$5</f>
        <v>4.4185500000000003E-2</v>
      </c>
      <c r="O158" s="578">
        <f>-SUMIF('Imported Starch'!$C:$C,'Costs per L'!$D158,'Imported Starch'!O:O)/($O$2*10^6)*$H158/O$5</f>
        <v>4.4185500000000003E-2</v>
      </c>
      <c r="P158" s="578">
        <f>-SUMIF('Imported Starch'!$C:$C,'Costs per L'!$D158,'Imported Starch'!P:P)/($O$2*10^6)*$H158/P$5</f>
        <v>4.4185500000000003E-2</v>
      </c>
      <c r="Q158" s="578">
        <f>-SUMIF('Imported Starch'!$C:$C,'Costs per L'!$D158,'Imported Starch'!Q:Q)/($O$2*10^6)*$H158/Q$5</f>
        <v>4.4185500000000003E-2</v>
      </c>
      <c r="R158" s="578">
        <f>-SUMIF('Imported Starch'!$C:$C,'Costs per L'!$D158,'Imported Starch'!R:R)/($O$2*10^6)*$H158/R$5</f>
        <v>4.4185500000000003E-2</v>
      </c>
      <c r="S158" s="578">
        <f>-SUMIF('Imported Starch'!$C:$C,'Costs per L'!$D158,'Imported Starch'!S:S)/($O$2*10^6)*$H158/S$5</f>
        <v>4.4185500000000003E-2</v>
      </c>
      <c r="T158" s="578">
        <f>-SUMIF('Imported Starch'!$C:$C,'Costs per L'!$D158,'Imported Starch'!T:T)/($O$2*10^6)*$H158/T$5</f>
        <v>4.4185500000000003E-2</v>
      </c>
      <c r="U158" s="578">
        <f>-SUMIF('Imported Starch'!$C:$C,'Costs per L'!$D158,'Imported Starch'!U:U)/($O$2*10^6)*$H158/U$5</f>
        <v>4.4185500000000003E-2</v>
      </c>
      <c r="V158" s="578">
        <f>-SUMIF('Imported Starch'!$C:$C,'Costs per L'!$D158,'Imported Starch'!V:V)/($O$2*10^6)*$H158/V$5</f>
        <v>4.4185500000000003E-2</v>
      </c>
      <c r="W158" s="578">
        <f>-SUMIF('Imported Starch'!$C:$C,'Costs per L'!$D158,'Imported Starch'!W:W)/($O$2*10^6)*$H158/W$5</f>
        <v>4.4185500000000003E-2</v>
      </c>
      <c r="X158" s="578">
        <f>-SUMIF('Imported Starch'!$C:$C,'Costs per L'!$D158,'Imported Starch'!X:X)/($O$2*10^6)*$H158/X$5</f>
        <v>4.4185500000000003E-2</v>
      </c>
      <c r="Y158" s="578">
        <f>-SUMIF('Imported Starch'!$C:$C,'Costs per L'!$D158,'Imported Starch'!Y:Y)/($O$2*10^6)*$H158/Y$5</f>
        <v>4.4185500000000003E-2</v>
      </c>
      <c r="Z158" s="579">
        <f>-SUMIF('Imported Starch'!$C:$C,'Costs per L'!$D158,'Imported Starch'!Z:Z)/($O$2*10^6)*$H158/Z$5</f>
        <v>4.4185500000000003E-2</v>
      </c>
      <c r="AA158" s="579">
        <f t="shared" si="35"/>
        <v>4.4506516666666655E-2</v>
      </c>
    </row>
    <row r="159" spans="2:27" x14ac:dyDescent="0.2">
      <c r="B159" s="564">
        <f t="shared" si="34"/>
        <v>0</v>
      </c>
      <c r="C159" s="564" t="str">
        <f t="shared" si="32"/>
        <v>Imported Starch</v>
      </c>
      <c r="D159" s="157">
        <v>5</v>
      </c>
      <c r="E159" s="157"/>
      <c r="F159" s="587"/>
      <c r="G159" s="251">
        <f>IFERROR(INDEX(Allocators!$C:$C,MATCH($F159,Allocators!$E:$E,0)),0)</f>
        <v>0</v>
      </c>
      <c r="H159" s="589">
        <f>IFERROR(INDEX(Allocators!$D:$D,MATCH($F159,Allocators!$E:$E,0)),1)</f>
        <v>1</v>
      </c>
      <c r="I159" s="207" t="s">
        <v>525</v>
      </c>
      <c r="J159" s="206"/>
      <c r="K159" s="206"/>
      <c r="L159" s="578">
        <f>-SUMIF('Imported Starch'!$C:$C,'Costs per L'!$D159,'Imported Starch'!L:L)/($O$2*10^6)*$H159/L$5</f>
        <v>3.0840000000000003E-2</v>
      </c>
      <c r="M159" s="578">
        <f>-SUMIF('Imported Starch'!$C:$C,'Costs per L'!$D159,'Imported Starch'!M:M)/($O$2*10^6)*$H159/M$5</f>
        <v>3.0839999999999999E-2</v>
      </c>
      <c r="N159" s="578">
        <f>-SUMIF('Imported Starch'!$C:$C,'Costs per L'!$D159,'Imported Starch'!N:N)/($O$2*10^6)*$H159/N$5</f>
        <v>3.0839999999999999E-2</v>
      </c>
      <c r="O159" s="578">
        <f>-SUMIF('Imported Starch'!$C:$C,'Costs per L'!$D159,'Imported Starch'!O:O)/($O$2*10^6)*$H159/O$5</f>
        <v>3.0839999999999999E-2</v>
      </c>
      <c r="P159" s="578">
        <f>-SUMIF('Imported Starch'!$C:$C,'Costs per L'!$D159,'Imported Starch'!P:P)/($O$2*10^6)*$H159/P$5</f>
        <v>3.0839999999999999E-2</v>
      </c>
      <c r="Q159" s="578">
        <f>-SUMIF('Imported Starch'!$C:$C,'Costs per L'!$D159,'Imported Starch'!Q:Q)/($O$2*10^6)*$H159/Q$5</f>
        <v>3.0839999999999999E-2</v>
      </c>
      <c r="R159" s="578">
        <f>-SUMIF('Imported Starch'!$C:$C,'Costs per L'!$D159,'Imported Starch'!R:R)/($O$2*10^6)*$H159/R$5</f>
        <v>3.0839999999999999E-2</v>
      </c>
      <c r="S159" s="578">
        <f>-SUMIF('Imported Starch'!$C:$C,'Costs per L'!$D159,'Imported Starch'!S:S)/($O$2*10^6)*$H159/S$5</f>
        <v>3.0839999999999999E-2</v>
      </c>
      <c r="T159" s="578">
        <f>-SUMIF('Imported Starch'!$C:$C,'Costs per L'!$D159,'Imported Starch'!T:T)/($O$2*10^6)*$H159/T$5</f>
        <v>3.0839999999999999E-2</v>
      </c>
      <c r="U159" s="578">
        <f>-SUMIF('Imported Starch'!$C:$C,'Costs per L'!$D159,'Imported Starch'!U:U)/($O$2*10^6)*$H159/U$5</f>
        <v>3.0839999999999999E-2</v>
      </c>
      <c r="V159" s="578">
        <f>-SUMIF('Imported Starch'!$C:$C,'Costs per L'!$D159,'Imported Starch'!V:V)/($O$2*10^6)*$H159/V$5</f>
        <v>3.0839999999999999E-2</v>
      </c>
      <c r="W159" s="578">
        <f>-SUMIF('Imported Starch'!$C:$C,'Costs per L'!$D159,'Imported Starch'!W:W)/($O$2*10^6)*$H159/W$5</f>
        <v>3.0839999999999999E-2</v>
      </c>
      <c r="X159" s="578">
        <f>-SUMIF('Imported Starch'!$C:$C,'Costs per L'!$D159,'Imported Starch'!X:X)/($O$2*10^6)*$H159/X$5</f>
        <v>3.0839999999999999E-2</v>
      </c>
      <c r="Y159" s="578">
        <f>-SUMIF('Imported Starch'!$C:$C,'Costs per L'!$D159,'Imported Starch'!Y:Y)/($O$2*10^6)*$H159/Y$5</f>
        <v>3.0839999999999999E-2</v>
      </c>
      <c r="Z159" s="579">
        <f>-SUMIF('Imported Starch'!$C:$C,'Costs per L'!$D159,'Imported Starch'!Z:Z)/($O$2*10^6)*$H159/Z$5</f>
        <v>3.0839999999999999E-2</v>
      </c>
      <c r="AA159" s="579">
        <f t="shared" si="35"/>
        <v>3.0839999999999992E-2</v>
      </c>
    </row>
    <row r="160" spans="2:27" x14ac:dyDescent="0.2">
      <c r="B160" s="564">
        <f t="shared" si="34"/>
        <v>0</v>
      </c>
      <c r="C160" s="564" t="str">
        <f t="shared" si="32"/>
        <v>Imported Starch</v>
      </c>
      <c r="D160" s="157">
        <v>6</v>
      </c>
      <c r="E160" s="157"/>
      <c r="F160" s="587"/>
      <c r="G160" s="251">
        <f>IFERROR(INDEX(Allocators!$C:$C,MATCH($F160,Allocators!$E:$E,0)),0)</f>
        <v>0</v>
      </c>
      <c r="H160" s="589">
        <f>IFERROR(INDEX(Allocators!$D:$D,MATCH($F160,Allocators!$E:$E,0)),1)</f>
        <v>1</v>
      </c>
      <c r="I160" s="207" t="s">
        <v>448</v>
      </c>
      <c r="J160" s="206"/>
      <c r="K160" s="206"/>
      <c r="L160" s="578">
        <f>-SUMIF('Imported Starch'!$C:$C,'Costs per L'!$D160,'Imported Starch'!L:L)/($O$2*10^6)*$H160/L$5</f>
        <v>1.7655324999999999E-2</v>
      </c>
      <c r="M160" s="578">
        <f>-SUMIF('Imported Starch'!$C:$C,'Costs per L'!$D160,'Imported Starch'!M:M)/($O$2*10^6)*$H160/M$5</f>
        <v>1.7655324999999999E-2</v>
      </c>
      <c r="N160" s="578">
        <f>-SUMIF('Imported Starch'!$C:$C,'Costs per L'!$D160,'Imported Starch'!N:N)/($O$2*10^6)*$H160/N$5</f>
        <v>1.7655324999999999E-2</v>
      </c>
      <c r="O160" s="578">
        <f>-SUMIF('Imported Starch'!$C:$C,'Costs per L'!$D160,'Imported Starch'!O:O)/($O$2*10^6)*$H160/O$5</f>
        <v>1.7655324999999999E-2</v>
      </c>
      <c r="P160" s="578">
        <f>-SUMIF('Imported Starch'!$C:$C,'Costs per L'!$D160,'Imported Starch'!P:P)/($O$2*10^6)*$H160/P$5</f>
        <v>1.7655324999999999E-2</v>
      </c>
      <c r="Q160" s="578">
        <f>-SUMIF('Imported Starch'!$C:$C,'Costs per L'!$D160,'Imported Starch'!Q:Q)/($O$2*10^6)*$H160/Q$5</f>
        <v>1.7655324999999999E-2</v>
      </c>
      <c r="R160" s="578">
        <f>-SUMIF('Imported Starch'!$C:$C,'Costs per L'!$D160,'Imported Starch'!R:R)/($O$2*10^6)*$H160/R$5</f>
        <v>1.7655324999999999E-2</v>
      </c>
      <c r="S160" s="578">
        <f>-SUMIF('Imported Starch'!$C:$C,'Costs per L'!$D160,'Imported Starch'!S:S)/($O$2*10^6)*$H160/S$5</f>
        <v>1.7655324999999999E-2</v>
      </c>
      <c r="T160" s="578">
        <f>-SUMIF('Imported Starch'!$C:$C,'Costs per L'!$D160,'Imported Starch'!T:T)/($O$2*10^6)*$H160/T$5</f>
        <v>1.7655324999999999E-2</v>
      </c>
      <c r="U160" s="578">
        <f>-SUMIF('Imported Starch'!$C:$C,'Costs per L'!$D160,'Imported Starch'!U:U)/($O$2*10^6)*$H160/U$5</f>
        <v>1.7655324999999999E-2</v>
      </c>
      <c r="V160" s="578">
        <f>-SUMIF('Imported Starch'!$C:$C,'Costs per L'!$D160,'Imported Starch'!V:V)/($O$2*10^6)*$H160/V$5</f>
        <v>1.7655324999999999E-2</v>
      </c>
      <c r="W160" s="578">
        <f>-SUMIF('Imported Starch'!$C:$C,'Costs per L'!$D160,'Imported Starch'!W:W)/($O$2*10^6)*$H160/W$5</f>
        <v>1.7655324999999999E-2</v>
      </c>
      <c r="X160" s="578">
        <f>-SUMIF('Imported Starch'!$C:$C,'Costs per L'!$D160,'Imported Starch'!X:X)/($O$2*10^6)*$H160/X$5</f>
        <v>1.7655324999999999E-2</v>
      </c>
      <c r="Y160" s="578">
        <f>-SUMIF('Imported Starch'!$C:$C,'Costs per L'!$D160,'Imported Starch'!Y:Y)/($O$2*10^6)*$H160/Y$5</f>
        <v>1.7655324999999999E-2</v>
      </c>
      <c r="Z160" s="579">
        <f>-SUMIF('Imported Starch'!$C:$C,'Costs per L'!$D160,'Imported Starch'!Z:Z)/($O$2*10^6)*$H160/Z$5</f>
        <v>1.7655324999999999E-2</v>
      </c>
      <c r="AA160" s="579">
        <f t="shared" si="35"/>
        <v>1.7655324999999999E-2</v>
      </c>
    </row>
    <row r="161" spans="2:27" x14ac:dyDescent="0.2">
      <c r="B161" s="564">
        <f t="shared" si="34"/>
        <v>0</v>
      </c>
      <c r="C161" s="564" t="str">
        <f t="shared" si="32"/>
        <v>Imported Starch</v>
      </c>
      <c r="D161" s="157">
        <v>7</v>
      </c>
      <c r="E161" s="157"/>
      <c r="F161" s="587"/>
      <c r="G161" s="251">
        <f>IFERROR(INDEX(Allocators!$C:$C,MATCH($F161,Allocators!$E:$E,0)),0)</f>
        <v>0</v>
      </c>
      <c r="H161" s="589">
        <f>IFERROR(INDEX(Allocators!$D:$D,MATCH($F161,Allocators!$E:$E,0)),1)</f>
        <v>1</v>
      </c>
      <c r="I161" s="181" t="s">
        <v>184</v>
      </c>
      <c r="J161" s="206"/>
      <c r="K161" s="206"/>
      <c r="L161" s="578">
        <f>-SUMIF('Imported Starch'!$C:$C,'Costs per L'!$D161,'Imported Starch'!L:L)/($O$2*10^6)*$H161/L$5</f>
        <v>1.3751726529746412E-2</v>
      </c>
      <c r="M161" s="578">
        <f>-SUMIF('Imported Starch'!$C:$C,'Costs per L'!$D161,'Imported Starch'!M:M)/($O$2*10^6)*$H161/M$5</f>
        <v>1.3751726529746414E-2</v>
      </c>
      <c r="N161" s="578">
        <f>-SUMIF('Imported Starch'!$C:$C,'Costs per L'!$D161,'Imported Starch'!N:N)/($O$2*10^6)*$H161/N$5</f>
        <v>1.0036965559492825E-2</v>
      </c>
      <c r="O161" s="578">
        <f>-SUMIF('Imported Starch'!$C:$C,'Costs per L'!$D161,'Imported Starch'!O:O)/($O$2*10^6)*$H161/O$5</f>
        <v>1.0036965559492825E-2</v>
      </c>
      <c r="P161" s="578">
        <f>-SUMIF('Imported Starch'!$C:$C,'Costs per L'!$D161,'Imported Starch'!P:P)/($O$2*10^6)*$H161/P$5</f>
        <v>1.0036965559492825E-2</v>
      </c>
      <c r="Q161" s="578">
        <f>-SUMIF('Imported Starch'!$C:$C,'Costs per L'!$D161,'Imported Starch'!Q:Q)/($O$2*10^6)*$H161/Q$5</f>
        <v>1.0036965559492825E-2</v>
      </c>
      <c r="R161" s="578">
        <f>-SUMIF('Imported Starch'!$C:$C,'Costs per L'!$D161,'Imported Starch'!R:R)/($O$2*10^6)*$H161/R$5</f>
        <v>1.0036965559492825E-2</v>
      </c>
      <c r="S161" s="578">
        <f>-SUMIF('Imported Starch'!$C:$C,'Costs per L'!$D161,'Imported Starch'!S:S)/($O$2*10^6)*$H161/S$5</f>
        <v>1.0036965559492825E-2</v>
      </c>
      <c r="T161" s="578">
        <f>-SUMIF('Imported Starch'!$C:$C,'Costs per L'!$D161,'Imported Starch'!T:T)/($O$2*10^6)*$H161/T$5</f>
        <v>1.0036965559492825E-2</v>
      </c>
      <c r="U161" s="578">
        <f>-SUMIF('Imported Starch'!$C:$C,'Costs per L'!$D161,'Imported Starch'!U:U)/($O$2*10^6)*$H161/U$5</f>
        <v>1.0036965559492825E-2</v>
      </c>
      <c r="V161" s="578">
        <f>-SUMIF('Imported Starch'!$C:$C,'Costs per L'!$D161,'Imported Starch'!V:V)/($O$2*10^6)*$H161/V$5</f>
        <v>1.0036965559492825E-2</v>
      </c>
      <c r="W161" s="578">
        <f>-SUMIF('Imported Starch'!$C:$C,'Costs per L'!$D161,'Imported Starch'!W:W)/($O$2*10^6)*$H161/W$5</f>
        <v>1.0036965559492825E-2</v>
      </c>
      <c r="X161" s="578">
        <f>-SUMIF('Imported Starch'!$C:$C,'Costs per L'!$D161,'Imported Starch'!X:X)/($O$2*10^6)*$H161/X$5</f>
        <v>1.0036965559492825E-2</v>
      </c>
      <c r="Y161" s="578">
        <f>-SUMIF('Imported Starch'!$C:$C,'Costs per L'!$D161,'Imported Starch'!Y:Y)/($O$2*10^6)*$H161/Y$5</f>
        <v>1.0036965559492825E-2</v>
      </c>
      <c r="Z161" s="579">
        <f>-SUMIF('Imported Starch'!$C:$C,'Costs per L'!$D161,'Imported Starch'!Z:Z)/($O$2*10^6)*$H161/Z$5</f>
        <v>1.0036965559492825E-2</v>
      </c>
      <c r="AA161" s="579">
        <f t="shared" si="35"/>
        <v>1.0532267022193302E-2</v>
      </c>
    </row>
    <row r="162" spans="2:27" ht="13.5" thickBot="1" x14ac:dyDescent="0.25">
      <c r="B162" s="564" t="str">
        <f t="shared" si="34"/>
        <v>Imported Starch.Total production costs ($/L) before depreciation and interest</v>
      </c>
      <c r="C162" s="564" t="str">
        <f t="shared" si="32"/>
        <v>Imported Starch</v>
      </c>
      <c r="F162" s="588"/>
      <c r="G162">
        <f>IFERROR(INDEX(Allocators!$C:$C,MATCH($F162,Allocators!$E:$E,0)),0)</f>
        <v>0</v>
      </c>
      <c r="H162" s="590">
        <f>IFERROR(INDEX(Allocators!$D:$D,MATCH($F162,Allocators!$E:$E,0)),1)</f>
        <v>1</v>
      </c>
      <c r="I162" s="183" t="s">
        <v>633</v>
      </c>
      <c r="J162" s="204"/>
      <c r="K162" s="204"/>
      <c r="L162" s="580">
        <f t="shared" ref="L162:Z162" si="36">SUM(L155:L161)</f>
        <v>0.83209238994346502</v>
      </c>
      <c r="M162" s="580">
        <f t="shared" si="36"/>
        <v>0.82727713994346497</v>
      </c>
      <c r="N162" s="580">
        <f t="shared" si="36"/>
        <v>0.82356237897321138</v>
      </c>
      <c r="O162" s="580">
        <f t="shared" si="36"/>
        <v>0.82356237897321138</v>
      </c>
      <c r="P162" s="580">
        <f t="shared" si="36"/>
        <v>0.82356237897321138</v>
      </c>
      <c r="Q162" s="580">
        <f t="shared" si="36"/>
        <v>0.82356237897321138</v>
      </c>
      <c r="R162" s="580">
        <f t="shared" si="36"/>
        <v>0.82356237897321138</v>
      </c>
      <c r="S162" s="580">
        <f t="shared" si="36"/>
        <v>0.82356237897321138</v>
      </c>
      <c r="T162" s="580">
        <f t="shared" si="36"/>
        <v>0.82356237897321138</v>
      </c>
      <c r="U162" s="580">
        <f t="shared" si="36"/>
        <v>0.82356237897321138</v>
      </c>
      <c r="V162" s="580">
        <f t="shared" si="36"/>
        <v>0.82356237897321138</v>
      </c>
      <c r="W162" s="580">
        <f t="shared" si="36"/>
        <v>0.82356237897321138</v>
      </c>
      <c r="X162" s="580">
        <f t="shared" si="36"/>
        <v>0.82356237897321138</v>
      </c>
      <c r="Y162" s="580">
        <f t="shared" si="36"/>
        <v>0.82356237897321138</v>
      </c>
      <c r="Z162" s="581">
        <f t="shared" si="36"/>
        <v>0.82356237897321138</v>
      </c>
      <c r="AA162" s="581">
        <f t="shared" si="35"/>
        <v>0.82437869710257827</v>
      </c>
    </row>
    <row r="163" spans="2:27" x14ac:dyDescent="0.2">
      <c r="B163" s="564" t="str">
        <f t="shared" si="34"/>
        <v>Imported Starch.Cost of Capital (Depreciation)</v>
      </c>
      <c r="C163" s="564" t="str">
        <f t="shared" si="32"/>
        <v>Imported Starch</v>
      </c>
      <c r="F163" s="587"/>
      <c r="G163" s="251">
        <f>IFERROR(INDEX(Allocators!$C:$C,MATCH($F163,Allocators!$E:$E,0)),0)</f>
        <v>0</v>
      </c>
      <c r="H163" s="589">
        <f>IFERROR(INDEX(Allocators!$D:$D,MATCH($F163,Allocators!$E:$E,0)),1)</f>
        <v>1</v>
      </c>
      <c r="I163" s="181" t="s">
        <v>471</v>
      </c>
      <c r="J163" s="203"/>
      <c r="K163" s="203"/>
      <c r="L163" s="582">
        <f>Depreciation!L184/$O$2/(10^6)/L$5*$H163</f>
        <v>6.4203333333333334E-2</v>
      </c>
      <c r="M163" s="582">
        <f>Depreciation!M184/$O$2/(10^6)/M$5*$H163</f>
        <v>4.8152500000000001E-2</v>
      </c>
      <c r="N163" s="582">
        <f>Depreciation!N184/$O$2/(10^6)/N$5*$H163</f>
        <v>4.8152500000000001E-2</v>
      </c>
      <c r="O163" s="582">
        <f>Depreciation!O184/$O$2/(10^6)/O$5*$H163</f>
        <v>4.8152500000000001E-2</v>
      </c>
      <c r="P163" s="582">
        <f>Depreciation!P184/$O$2/(10^6)/P$5*$H163</f>
        <v>4.8152500000000001E-2</v>
      </c>
      <c r="Q163" s="582">
        <f>Depreciation!Q184/$O$2/(10^6)/Q$5*$H163</f>
        <v>4.8152500000000001E-2</v>
      </c>
      <c r="R163" s="582">
        <f>Depreciation!R184/$O$2/(10^6)/R$5*$H163</f>
        <v>4.8152500000000001E-2</v>
      </c>
      <c r="S163" s="582">
        <f>Depreciation!S184/$O$2/(10^6)/S$5*$H163</f>
        <v>4.8152500000000001E-2</v>
      </c>
      <c r="T163" s="582">
        <f>Depreciation!T184/$O$2/(10^6)/T$5*$H163</f>
        <v>4.8152500000000001E-2</v>
      </c>
      <c r="U163" s="582">
        <f>Depreciation!U184/$O$2/(10^6)/U$5*$H163</f>
        <v>4.8152500000000001E-2</v>
      </c>
      <c r="V163" s="582">
        <f>Depreciation!V184/$O$2/(10^6)/V$5*$H163</f>
        <v>4.8152500000000001E-2</v>
      </c>
      <c r="W163" s="582">
        <f>Depreciation!W184/$O$2/(10^6)/W$5*$H163</f>
        <v>4.8152500000000001E-2</v>
      </c>
      <c r="X163" s="582">
        <f>Depreciation!X184/$O$2/(10^6)/X$5*$H163</f>
        <v>4.8152500000000001E-2</v>
      </c>
      <c r="Y163" s="582">
        <f>Depreciation!Y184/$O$2/(10^6)/Y$5*$H163</f>
        <v>4.8152500000000001E-2</v>
      </c>
      <c r="Z163" s="583">
        <f>Depreciation!Z184/$O$2/(10^6)/Z$5*$H163</f>
        <v>4.8152500000000001E-2</v>
      </c>
      <c r="AA163" s="583">
        <f t="shared" si="35"/>
        <v>4.9222555555555561E-2</v>
      </c>
    </row>
    <row r="164" spans="2:27" x14ac:dyDescent="0.2">
      <c r="B164" s="564" t="str">
        <f t="shared" si="34"/>
        <v>Imported Starch.Interest</v>
      </c>
      <c r="C164" s="564" t="str">
        <f t="shared" si="32"/>
        <v>Imported Starch</v>
      </c>
      <c r="F164" s="587"/>
      <c r="G164" s="251">
        <f>IFERROR(INDEX(Allocators!$C:$C,MATCH($F164,Allocators!$E:$E,0)),0)</f>
        <v>0</v>
      </c>
      <c r="H164" s="589">
        <f>IFERROR(INDEX(Allocators!$D:$D,MATCH($F164,Allocators!$E:$E,0)),1)</f>
        <v>1</v>
      </c>
      <c r="I164" s="181" t="s">
        <v>470</v>
      </c>
      <c r="J164" s="203"/>
      <c r="K164" s="203"/>
      <c r="L164" s="582">
        <f>INDEX('Loan Repayments'!$AV$14:$AV$63,MATCH(L$8,'Loan Repayments'!$AQ$14:$AQ$63,0))
/($O$2*10^6)/L$5*$H164</f>
        <v>3.9108623516477869E-2</v>
      </c>
      <c r="M164" s="582">
        <f>INDEX('Loan Repayments'!$AV$14:$AV$63,MATCH(M$8,'Loan Repayments'!$AQ$14:$AQ$63,0))
/($O$2*10^6)/M$5*$H164</f>
        <v>2.9331467637358402E-2</v>
      </c>
      <c r="N164" s="582">
        <f>INDEX('Loan Repayments'!$AV$14:$AV$63,MATCH(N$8,'Loan Repayments'!$AQ$14:$AQ$63,0))
/($O$2*10^6)/N$5*$H164</f>
        <v>2.9331467637358402E-2</v>
      </c>
      <c r="O164" s="582">
        <f>INDEX('Loan Repayments'!$AV$14:$AV$63,MATCH(O$8,'Loan Repayments'!$AQ$14:$AQ$63,0))
/($O$2*10^6)/O$5*$H164</f>
        <v>2.9331467637358402E-2</v>
      </c>
      <c r="P164" s="582">
        <f>INDEX('Loan Repayments'!$AV$14:$AV$63,MATCH(P$8,'Loan Repayments'!$AQ$14:$AQ$63,0))
/($O$2*10^6)/P$5*$H164</f>
        <v>2.9331467637358402E-2</v>
      </c>
      <c r="Q164" s="582">
        <f>INDEX('Loan Repayments'!$AV$14:$AV$63,MATCH(Q$8,'Loan Repayments'!$AQ$14:$AQ$63,0))
/($O$2*10^6)/Q$5*$H164</f>
        <v>2.9331467637358402E-2</v>
      </c>
      <c r="R164" s="582">
        <f>INDEX('Loan Repayments'!$AV$14:$AV$63,MATCH(R$8,'Loan Repayments'!$AQ$14:$AQ$63,0))
/($O$2*10^6)/R$5*$H164</f>
        <v>2.9331467637358402E-2</v>
      </c>
      <c r="S164" s="582">
        <f>INDEX('Loan Repayments'!$AV$14:$AV$63,MATCH(S$8,'Loan Repayments'!$AQ$14:$AQ$63,0))
/($O$2*10^6)/S$5*$H164</f>
        <v>2.9331467637358402E-2</v>
      </c>
      <c r="T164" s="582">
        <f>INDEX('Loan Repayments'!$AV$14:$AV$63,MATCH(T$8,'Loan Repayments'!$AQ$14:$AQ$63,0))
/($O$2*10^6)/T$5*$H164</f>
        <v>2.9331467637358402E-2</v>
      </c>
      <c r="U164" s="582">
        <f>INDEX('Loan Repayments'!$AV$14:$AV$63,MATCH(U$8,'Loan Repayments'!$AQ$14:$AQ$63,0))
/($O$2*10^6)/U$5*$H164</f>
        <v>2.9331467637358402E-2</v>
      </c>
      <c r="V164" s="582">
        <f>INDEX('Loan Repayments'!$AV$14:$AV$63,MATCH(V$8,'Loan Repayments'!$AQ$14:$AQ$63,0))
/($O$2*10^6)/V$5*$H164</f>
        <v>2.9331467637358402E-2</v>
      </c>
      <c r="W164" s="582">
        <f>INDEX('Loan Repayments'!$AV$14:$AV$63,MATCH(W$8,'Loan Repayments'!$AQ$14:$AQ$63,0))
/($O$2*10^6)/W$5*$H164</f>
        <v>2.9331467637358402E-2</v>
      </c>
      <c r="X164" s="582">
        <f>INDEX('Loan Repayments'!$AV$14:$AV$63,MATCH(X$8,'Loan Repayments'!$AQ$14:$AQ$63,0))
/($O$2*10^6)/X$5*$H164</f>
        <v>2.9331467637358402E-2</v>
      </c>
      <c r="Y164" s="582">
        <f>INDEX('Loan Repayments'!$AV$14:$AV$63,MATCH(Y$8,'Loan Repayments'!$AQ$14:$AQ$63,0))
/($O$2*10^6)/Y$5*$H164</f>
        <v>2.9331467637358402E-2</v>
      </c>
      <c r="Z164" s="583">
        <f>INDEX('Loan Repayments'!$AV$14:$AV$63,MATCH(Z$8,'Loan Repayments'!$AQ$14:$AQ$63,0))
/($O$2*10^6)/Z$5*$H164</f>
        <v>2.9331467637358402E-2</v>
      </c>
      <c r="AA164" s="583">
        <f t="shared" si="35"/>
        <v>2.998327802929969E-2</v>
      </c>
    </row>
    <row r="165" spans="2:27" ht="13.5" thickBot="1" x14ac:dyDescent="0.25">
      <c r="B165" s="564" t="str">
        <f t="shared" si="34"/>
        <v>Imported Starch.Total production cost ($/L)</v>
      </c>
      <c r="C165" s="564" t="str">
        <f t="shared" si="32"/>
        <v>Imported Starch</v>
      </c>
      <c r="F165" s="588"/>
      <c r="G165">
        <f>IFERROR(INDEX(Allocators!$C:$C,MATCH($F165,Allocators!$E:$E,0)),0)</f>
        <v>0</v>
      </c>
      <c r="H165" s="588">
        <f>IFERROR(INDEX(Allocators!$D:$D,MATCH($F165,Allocators!$E:$E,0)),1)</f>
        <v>1</v>
      </c>
      <c r="I165" s="183" t="s">
        <v>632</v>
      </c>
      <c r="J165" s="204"/>
      <c r="K165" s="204"/>
      <c r="L165" s="580">
        <f t="shared" ref="L165:Z165" si="37">SUM(L162,L163)</f>
        <v>0.8962957232767983</v>
      </c>
      <c r="M165" s="580">
        <f t="shared" si="37"/>
        <v>0.87542963994346501</v>
      </c>
      <c r="N165" s="580">
        <f t="shared" si="37"/>
        <v>0.87171487897321143</v>
      </c>
      <c r="O165" s="580">
        <f t="shared" si="37"/>
        <v>0.87171487897321143</v>
      </c>
      <c r="P165" s="580">
        <f t="shared" si="37"/>
        <v>0.87171487897321143</v>
      </c>
      <c r="Q165" s="580">
        <f t="shared" si="37"/>
        <v>0.87171487897321143</v>
      </c>
      <c r="R165" s="580">
        <f t="shared" si="37"/>
        <v>0.87171487897321143</v>
      </c>
      <c r="S165" s="580">
        <f t="shared" si="37"/>
        <v>0.87171487897321143</v>
      </c>
      <c r="T165" s="580">
        <f t="shared" si="37"/>
        <v>0.87171487897321143</v>
      </c>
      <c r="U165" s="580">
        <f t="shared" si="37"/>
        <v>0.87171487897321143</v>
      </c>
      <c r="V165" s="580">
        <f t="shared" si="37"/>
        <v>0.87171487897321143</v>
      </c>
      <c r="W165" s="580">
        <f t="shared" si="37"/>
        <v>0.87171487897321143</v>
      </c>
      <c r="X165" s="580">
        <f t="shared" si="37"/>
        <v>0.87171487897321143</v>
      </c>
      <c r="Y165" s="580">
        <f t="shared" si="37"/>
        <v>0.87171487897321143</v>
      </c>
      <c r="Z165" s="581">
        <f t="shared" si="37"/>
        <v>0.87171487897321143</v>
      </c>
      <c r="AA165" s="581">
        <f>SUM(AA162:AA164)</f>
        <v>0.9035845306874335</v>
      </c>
    </row>
    <row r="166" spans="2:27" x14ac:dyDescent="0.2">
      <c r="B166" s="564">
        <f t="shared" si="34"/>
        <v>0</v>
      </c>
      <c r="C166" s="564" t="str">
        <f t="shared" si="32"/>
        <v>Imported Starch</v>
      </c>
      <c r="D166" s="157">
        <v>8</v>
      </c>
      <c r="F166" s="587"/>
      <c r="G166" s="251">
        <f>IFERROR(INDEX(Allocators!$C:$C,MATCH($F166,Allocators!$E:$E,0)),0)</f>
        <v>0</v>
      </c>
      <c r="H166" s="589">
        <f>IFERROR(INDEX(Allocators!$D:$D,MATCH($F166,Allocators!$E:$E,0)),1)</f>
        <v>1</v>
      </c>
      <c r="I166" s="525" t="s">
        <v>690</v>
      </c>
      <c r="J166" s="514"/>
      <c r="K166" s="514"/>
      <c r="L166" s="584">
        <f>-SUMIF('Imported Starch'!$C:$C,'Costs per L'!$D166,'Imported Starch'!L:L)/($O$2*10^6)*$H166/L$5</f>
        <v>-7.0913026834113352E-2</v>
      </c>
      <c r="M166" s="584">
        <f>-SUMIF('Imported Starch'!$C:$C,'Costs per L'!$D166,'Imported Starch'!M:M)/($O$2*10^6)*$H166/M$5</f>
        <v>-7.0913026834113352E-2</v>
      </c>
      <c r="N166" s="584">
        <f>-SUMIF('Imported Starch'!$C:$C,'Costs per L'!$D166,'Imported Starch'!N:N)/($O$2*10^6)*$H166/N$5</f>
        <v>-7.0913026834113352E-2</v>
      </c>
      <c r="O166" s="584">
        <f>-SUMIF('Imported Starch'!$C:$C,'Costs per L'!$D166,'Imported Starch'!O:O)/($O$2*10^6)*$H166/O$5</f>
        <v>-7.0913026834113352E-2</v>
      </c>
      <c r="P166" s="584">
        <f>-SUMIF('Imported Starch'!$C:$C,'Costs per L'!$D166,'Imported Starch'!P:P)/($O$2*10^6)*$H166/P$5</f>
        <v>-7.0913026834113352E-2</v>
      </c>
      <c r="Q166" s="584">
        <f>-SUMIF('Imported Starch'!$C:$C,'Costs per L'!$D166,'Imported Starch'!Q:Q)/($O$2*10^6)*$H166/Q$5</f>
        <v>-7.0913026834113352E-2</v>
      </c>
      <c r="R166" s="584">
        <f>-SUMIF('Imported Starch'!$C:$C,'Costs per L'!$D166,'Imported Starch'!R:R)/($O$2*10^6)*$H166/R$5</f>
        <v>-7.0913026834113352E-2</v>
      </c>
      <c r="S166" s="584">
        <f>-SUMIF('Imported Starch'!$C:$C,'Costs per L'!$D166,'Imported Starch'!S:S)/($O$2*10^6)*$H166/S$5</f>
        <v>-7.0913026834113352E-2</v>
      </c>
      <c r="T166" s="584">
        <f>-SUMIF('Imported Starch'!$C:$C,'Costs per L'!$D166,'Imported Starch'!T:T)/($O$2*10^6)*$H166/T$5</f>
        <v>-7.0913026834113352E-2</v>
      </c>
      <c r="U166" s="584">
        <f>-SUMIF('Imported Starch'!$C:$C,'Costs per L'!$D166,'Imported Starch'!U:U)/($O$2*10^6)*$H166/U$5</f>
        <v>-7.0913026834113352E-2</v>
      </c>
      <c r="V166" s="584">
        <f>-SUMIF('Imported Starch'!$C:$C,'Costs per L'!$D166,'Imported Starch'!V:V)/($O$2*10^6)*$H166/V$5</f>
        <v>-7.0913026834113352E-2</v>
      </c>
      <c r="W166" s="584">
        <f>-SUMIF('Imported Starch'!$C:$C,'Costs per L'!$D166,'Imported Starch'!W:W)/($O$2*10^6)*$H166/W$5</f>
        <v>-7.0913026834113352E-2</v>
      </c>
      <c r="X166" s="584">
        <f>-SUMIF('Imported Starch'!$C:$C,'Costs per L'!$D166,'Imported Starch'!X:X)/($O$2*10^6)*$H166/X$5</f>
        <v>-7.0913026834113352E-2</v>
      </c>
      <c r="Y166" s="584">
        <f>-SUMIF('Imported Starch'!$C:$C,'Costs per L'!$D166,'Imported Starch'!Y:Y)/($O$2*10^6)*$H166/Y$5</f>
        <v>-7.0913026834113352E-2</v>
      </c>
      <c r="Z166" s="584">
        <f>-SUMIF('Imported Starch'!$C:$C,'Costs per L'!$D166,'Imported Starch'!Z:Z)/($O$2*10^6)*$H166/Z$5</f>
        <v>-7.0913026834113352E-2</v>
      </c>
      <c r="AA166" s="585">
        <f>AVERAGE(L166:Z166)</f>
        <v>-7.0913026834113366E-2</v>
      </c>
    </row>
    <row r="167" spans="2:27" ht="13.5" thickBot="1" x14ac:dyDescent="0.25">
      <c r="B167" s="564" t="str">
        <f t="shared" si="34"/>
        <v>Imported Starch.Net production cost ($/L)</v>
      </c>
      <c r="C167" s="564" t="str">
        <f t="shared" si="32"/>
        <v>Imported Starch</v>
      </c>
      <c r="G167" s="171">
        <f>IFERROR(INDEX(Allocators!$C:$C,MATCH($F167,Allocators!$E:$E,0)),0)</f>
        <v>0</v>
      </c>
      <c r="H167" s="171">
        <f>IFERROR(INDEX(Allocators!$D:$D,MATCH($F167,Allocators!$E:$E,0)),1)</f>
        <v>1</v>
      </c>
      <c r="I167" s="183" t="s">
        <v>637</v>
      </c>
      <c r="J167" s="514"/>
      <c r="K167" s="514"/>
      <c r="L167" s="580">
        <f t="shared" ref="L167:AA167" si="38">SUM(L165:L166)</f>
        <v>0.82538269644268492</v>
      </c>
      <c r="M167" s="580">
        <f t="shared" si="38"/>
        <v>0.80451661310935163</v>
      </c>
      <c r="N167" s="580">
        <f t="shared" si="38"/>
        <v>0.80080185213909805</v>
      </c>
      <c r="O167" s="580">
        <f t="shared" si="38"/>
        <v>0.80080185213909805</v>
      </c>
      <c r="P167" s="580">
        <f t="shared" si="38"/>
        <v>0.80080185213909805</v>
      </c>
      <c r="Q167" s="580">
        <f t="shared" si="38"/>
        <v>0.80080185213909805</v>
      </c>
      <c r="R167" s="580">
        <f t="shared" si="38"/>
        <v>0.80080185213909805</v>
      </c>
      <c r="S167" s="580">
        <f t="shared" si="38"/>
        <v>0.80080185213909805</v>
      </c>
      <c r="T167" s="580">
        <f t="shared" si="38"/>
        <v>0.80080185213909805</v>
      </c>
      <c r="U167" s="580">
        <f t="shared" si="38"/>
        <v>0.80080185213909805</v>
      </c>
      <c r="V167" s="580">
        <f t="shared" si="38"/>
        <v>0.80080185213909805</v>
      </c>
      <c r="W167" s="580">
        <f t="shared" si="38"/>
        <v>0.80080185213909805</v>
      </c>
      <c r="X167" s="580">
        <f t="shared" si="38"/>
        <v>0.80080185213909805</v>
      </c>
      <c r="Y167" s="580">
        <f t="shared" si="38"/>
        <v>0.80080185213909805</v>
      </c>
      <c r="Z167" s="580">
        <f t="shared" si="38"/>
        <v>0.80080185213909805</v>
      </c>
      <c r="AA167" s="586">
        <f t="shared" si="38"/>
        <v>0.83267150385332012</v>
      </c>
    </row>
    <row r="168" spans="2:27" x14ac:dyDescent="0.2">
      <c r="B168" s="564" t="str">
        <f t="shared" si="34"/>
        <v>Imported Starch.Remove inflation factors</v>
      </c>
      <c r="C168" s="564" t="str">
        <f t="shared" si="32"/>
        <v>Imported Starch</v>
      </c>
      <c r="G168">
        <f>IFERROR(INDEX(Allocators!$C:$C,MATCH($F168,Allocators!$E:$E,0)),0)</f>
        <v>0</v>
      </c>
      <c r="H168">
        <f>IFERROR(INDEX(Allocators!$D:$D,MATCH($F168,Allocators!$E:$E,0)),1)</f>
        <v>1</v>
      </c>
      <c r="I168" s="215" t="s">
        <v>544</v>
      </c>
      <c r="J168" s="179"/>
      <c r="K168" s="179"/>
      <c r="L168" s="179"/>
      <c r="M168" s="179"/>
      <c r="N168" s="179"/>
      <c r="O168" s="179"/>
      <c r="P168" s="179"/>
      <c r="Q168" s="179"/>
      <c r="R168" s="179"/>
      <c r="S168" s="179"/>
      <c r="T168" s="179"/>
      <c r="U168" s="179"/>
      <c r="V168" s="179"/>
      <c r="W168" s="179"/>
      <c r="X168" s="179"/>
      <c r="Y168" s="179"/>
      <c r="Z168" s="179"/>
    </row>
    <row r="169" spans="2:27" x14ac:dyDescent="0.2">
      <c r="B169" s="564" t="str">
        <f t="shared" si="34"/>
        <v>Imported Starch.</v>
      </c>
      <c r="C169" s="564" t="str">
        <f t="shared" si="32"/>
        <v>Imported Starch</v>
      </c>
      <c r="G169">
        <f>IFERROR(INDEX(Allocators!$C:$C,MATCH($F169,Allocators!$E:$E,0)),0)</f>
        <v>0</v>
      </c>
      <c r="H169">
        <f>IFERROR(INDEX(Allocators!$D:$D,MATCH($F169,Allocators!$E:$E,0)),1)</f>
        <v>1</v>
      </c>
      <c r="I169" s="208"/>
      <c r="J169" s="179"/>
      <c r="K169" s="179"/>
      <c r="L169" s="179"/>
      <c r="M169" s="179"/>
      <c r="N169" s="179"/>
      <c r="O169" s="179"/>
      <c r="P169" s="179"/>
      <c r="Q169" s="179"/>
      <c r="R169" s="179"/>
      <c r="S169" s="179"/>
      <c r="T169" s="179"/>
      <c r="U169" s="179"/>
      <c r="V169" s="179"/>
      <c r="W169" s="179"/>
      <c r="X169" s="179"/>
      <c r="Y169" s="179"/>
      <c r="Z169" s="179"/>
    </row>
    <row r="170" spans="2:27" x14ac:dyDescent="0.2">
      <c r="B170" s="564" t="str">
        <f t="shared" si="34"/>
        <v>Imported Starch.Feedstock</v>
      </c>
      <c r="C170" s="564" t="str">
        <f t="shared" si="32"/>
        <v>Imported Starch</v>
      </c>
      <c r="G170">
        <f>IFERROR(INDEX(Allocators!$C:$C,MATCH($F170,Allocators!$E:$E,0)),0)</f>
        <v>0</v>
      </c>
      <c r="H170">
        <f>IFERROR(INDEX(Allocators!$D:$D,MATCH($F170,Allocators!$E:$E,0)),1)</f>
        <v>1</v>
      </c>
      <c r="I170" s="341" t="s">
        <v>285</v>
      </c>
      <c r="K170" s="179"/>
      <c r="L170" s="591">
        <f>AA155</f>
        <v>0.63670048635840526</v>
      </c>
      <c r="M170" s="179"/>
      <c r="N170" s="179"/>
      <c r="O170" s="179"/>
      <c r="P170" s="179"/>
      <c r="Q170" s="179"/>
      <c r="R170" s="179"/>
      <c r="S170" s="179"/>
      <c r="T170" s="179"/>
      <c r="U170" s="179"/>
      <c r="V170" s="179"/>
      <c r="W170" s="179"/>
      <c r="X170" s="179"/>
      <c r="Y170" s="179"/>
      <c r="Z170" s="179"/>
    </row>
    <row r="171" spans="2:27" x14ac:dyDescent="0.2">
      <c r="B171" s="564" t="str">
        <f t="shared" si="34"/>
        <v>Imported Starch.Direct Costs</v>
      </c>
      <c r="C171" s="564" t="str">
        <f t="shared" si="32"/>
        <v>Imported Starch</v>
      </c>
      <c r="G171">
        <f>IFERROR(INDEX(Allocators!$C:$C,MATCH($F171,Allocators!$E:$E,0)),0)</f>
        <v>0</v>
      </c>
      <c r="H171">
        <f>IFERROR(INDEX(Allocators!$D:$D,MATCH($F171,Allocators!$E:$E,0)),1)</f>
        <v>1</v>
      </c>
      <c r="I171" s="341" t="s">
        <v>526</v>
      </c>
      <c r="L171" s="591">
        <f>SUM(AA156:AA157,AA161)</f>
        <v>9.467636907750672E-2</v>
      </c>
    </row>
    <row r="172" spans="2:27" x14ac:dyDescent="0.2">
      <c r="B172" s="564" t="str">
        <f t="shared" si="34"/>
        <v>Imported Starch.Maintenance</v>
      </c>
      <c r="C172" s="564" t="str">
        <f t="shared" si="32"/>
        <v>Imported Starch</v>
      </c>
      <c r="G172">
        <f>IFERROR(INDEX(Allocators!$C:$C,MATCH($F172,Allocators!$E:$E,0)),0)</f>
        <v>0</v>
      </c>
      <c r="H172">
        <f>IFERROR(INDEX(Allocators!$D:$D,MATCH($F172,Allocators!$E:$E,0)),1)</f>
        <v>1</v>
      </c>
      <c r="I172" s="341" t="s">
        <v>218</v>
      </c>
      <c r="L172" s="591">
        <f>AA158</f>
        <v>4.4506516666666655E-2</v>
      </c>
    </row>
    <row r="173" spans="2:27" x14ac:dyDescent="0.2">
      <c r="B173" s="564" t="str">
        <f t="shared" si="34"/>
        <v>Imported Starch.Indirect Costs</v>
      </c>
      <c r="C173" s="564" t="str">
        <f t="shared" si="32"/>
        <v>Imported Starch</v>
      </c>
      <c r="G173">
        <f>IFERROR(INDEX(Allocators!$C:$C,MATCH($F173,Allocators!$E:$E,0)),0)</f>
        <v>0</v>
      </c>
      <c r="H173">
        <f>IFERROR(INDEX(Allocators!$D:$D,MATCH($F173,Allocators!$E:$E,0)),1)</f>
        <v>1</v>
      </c>
      <c r="I173" s="341" t="s">
        <v>527</v>
      </c>
      <c r="L173" s="591">
        <f>SUM(AA159:AA160)</f>
        <v>4.8495324999999992E-2</v>
      </c>
    </row>
    <row r="174" spans="2:27" x14ac:dyDescent="0.2">
      <c r="B174" s="564" t="str">
        <f t="shared" si="34"/>
        <v>Imported Starch.Finance</v>
      </c>
      <c r="C174" s="564" t="str">
        <f t="shared" si="32"/>
        <v>Imported Starch</v>
      </c>
      <c r="G174">
        <f>IFERROR(INDEX(Allocators!$C:$C,MATCH($F174,Allocators!$E:$E,0)),0)</f>
        <v>0</v>
      </c>
      <c r="H174">
        <f>IFERROR(INDEX(Allocators!$D:$D,MATCH($F174,Allocators!$E:$E,0)),1)</f>
        <v>1</v>
      </c>
      <c r="I174" s="341" t="s">
        <v>528</v>
      </c>
      <c r="L174" s="591">
        <f>SUM(AA163:AA164)</f>
        <v>7.9205833584855251E-2</v>
      </c>
    </row>
    <row r="175" spans="2:27" ht="13.5" thickBot="1" x14ac:dyDescent="0.25">
      <c r="B175" s="564" t="str">
        <f t="shared" si="34"/>
        <v>Imported Starch.Total production</v>
      </c>
      <c r="C175" s="564" t="str">
        <f t="shared" si="32"/>
        <v>Imported Starch</v>
      </c>
      <c r="G175">
        <f>IFERROR(INDEX(Allocators!$C:$C,MATCH($F175,Allocators!$E:$E,0)),0)</f>
        <v>0</v>
      </c>
      <c r="H175">
        <f>IFERROR(INDEX(Allocators!$D:$D,MATCH($F175,Allocators!$E:$E,0)),1)</f>
        <v>1</v>
      </c>
      <c r="I175" s="183" t="s">
        <v>467</v>
      </c>
      <c r="L175" s="580">
        <f>SUM(L170:L174)</f>
        <v>0.90358453068743383</v>
      </c>
      <c r="M175" s="561" t="str">
        <f>IF(L175=AA165,"", "Error - Totals are not equal")</f>
        <v>Error - Totals are not equal</v>
      </c>
    </row>
    <row r="176" spans="2:27" x14ac:dyDescent="0.2">
      <c r="B176" s="564" t="str">
        <f t="shared" si="34"/>
        <v>Imported Starch.Co-product credit</v>
      </c>
      <c r="C176" s="564" t="str">
        <f t="shared" si="32"/>
        <v>Imported Starch</v>
      </c>
      <c r="G176">
        <f>IFERROR(INDEX(Allocators!$C:$C,MATCH($F176,Allocators!$E:$E,0)),0)</f>
        <v>0</v>
      </c>
      <c r="H176">
        <f>IFERROR(INDEX(Allocators!$D:$D,MATCH($F176,Allocators!$E:$E,0)),1)</f>
        <v>1</v>
      </c>
      <c r="I176" s="515" t="s">
        <v>635</v>
      </c>
      <c r="L176" s="592">
        <f>AA166</f>
        <v>-7.0913026834113366E-2</v>
      </c>
    </row>
    <row r="177" spans="2:27" ht="13.5" thickBot="1" x14ac:dyDescent="0.25">
      <c r="B177" s="564" t="str">
        <f t="shared" si="34"/>
        <v>Imported Starch.Net production cost</v>
      </c>
      <c r="C177" s="564" t="str">
        <f t="shared" si="32"/>
        <v>Imported Starch</v>
      </c>
      <c r="G177">
        <f>IFERROR(INDEX(Allocators!$C:$C,MATCH($F177,Allocators!$E:$E,0)),0)</f>
        <v>0</v>
      </c>
      <c r="H177">
        <f>IFERROR(INDEX(Allocators!$D:$D,MATCH($F177,Allocators!$E:$E,0)),1)</f>
        <v>1</v>
      </c>
      <c r="I177" s="183" t="s">
        <v>634</v>
      </c>
      <c r="L177" s="580">
        <f>SUM(L175:L176)</f>
        <v>0.83267150385332045</v>
      </c>
      <c r="M177" s="561" t="str">
        <f>IF(L177=AA167,"", "Error - Totals are not equal")</f>
        <v/>
      </c>
    </row>
    <row r="178" spans="2:27" x14ac:dyDescent="0.2">
      <c r="B178" s="564" t="str">
        <f t="shared" si="34"/>
        <v>Imported Starch.</v>
      </c>
      <c r="C178" s="564" t="str">
        <f t="shared" si="32"/>
        <v>Imported Starch</v>
      </c>
      <c r="G178">
        <f>IFERROR(INDEX(Allocators!$C:$C,MATCH($F178,Allocators!$E:$E,0)),0)</f>
        <v>0</v>
      </c>
      <c r="H178">
        <f>IFERROR(INDEX(Allocators!$D:$D,MATCH($F178,Allocators!$E:$E,0)),1)</f>
        <v>1</v>
      </c>
    </row>
    <row r="179" spans="2:27" x14ac:dyDescent="0.2">
      <c r="B179" s="564" t="str">
        <f t="shared" si="34"/>
        <v>Imported Starch.Capital Cost ($'000)</v>
      </c>
      <c r="C179" s="564" t="str">
        <f t="shared" si="32"/>
        <v>Imported Starch</v>
      </c>
      <c r="F179" s="252"/>
      <c r="G179" s="549">
        <f>IFERROR(INDEX(Allocators!$C:$C,MATCH($F179,Allocators!$E:$E,0)),0)</f>
        <v>0</v>
      </c>
      <c r="H179" s="258">
        <f>IFERROR(INDEX(Allocators!$D:$D,MATCH($F179,Allocators!$E:$E,0)),1)</f>
        <v>1</v>
      </c>
      <c r="I179" s="341" t="s">
        <v>530</v>
      </c>
      <c r="L179" s="593">
        <f>SUM('Imported Starch'!J270:K270)*'Costs per L'!H179*10^6</f>
        <v>144457499.99999997</v>
      </c>
    </row>
    <row r="180" spans="2:27" ht="13.5" thickBot="1" x14ac:dyDescent="0.25">
      <c r="B180" s="564" t="str">
        <f t="shared" si="34"/>
        <v>Imported Starch.Capital Cost per L</v>
      </c>
      <c r="C180" s="564" t="str">
        <f t="shared" si="32"/>
        <v>Imported Starch</v>
      </c>
      <c r="I180" s="183" t="s">
        <v>529</v>
      </c>
      <c r="L180" s="580">
        <f>L179/($O$2*10^6)</f>
        <v>1.4445749999999997</v>
      </c>
    </row>
    <row r="181" spans="2:27" x14ac:dyDescent="0.2">
      <c r="B181" s="564" t="str">
        <f t="shared" ref="B181:B239" si="39">IF(D181&gt;0,0,C181&amp;"."&amp;I181)</f>
        <v>Imported Starch.</v>
      </c>
      <c r="C181" s="564" t="str">
        <f t="shared" ref="C181:C239" si="40">IF(ISBLANK(E181),C180,E181)</f>
        <v>Imported Starch</v>
      </c>
    </row>
    <row r="182" spans="2:27" x14ac:dyDescent="0.2">
      <c r="B182" s="564" t="str">
        <f t="shared" si="39"/>
        <v>Imported Starch.</v>
      </c>
      <c r="C182" s="564" t="str">
        <f t="shared" si="40"/>
        <v>Imported Starch</v>
      </c>
    </row>
    <row r="183" spans="2:27" x14ac:dyDescent="0.2">
      <c r="B183" s="564" t="str">
        <f t="shared" si="39"/>
        <v>Wheat Standalone (Starch).</v>
      </c>
      <c r="C183" s="564" t="str">
        <f t="shared" si="40"/>
        <v>Wheat Standalone (Starch)</v>
      </c>
      <c r="E183" s="594" t="s">
        <v>867</v>
      </c>
      <c r="F183" s="595"/>
      <c r="G183" s="595">
        <f>IFERROR(INDEX(Allocators!$C:$C,MATCH($F183,Allocators!$E:$E,0)),0)</f>
        <v>0</v>
      </c>
      <c r="H183" s="595">
        <f>IFERROR(INDEX(Allocators!$D:$D,MATCH($F183,Allocators!$E:$E,0)),1)</f>
        <v>1</v>
      </c>
      <c r="I183" s="596"/>
      <c r="J183" s="596"/>
      <c r="K183" s="596"/>
      <c r="L183" s="596"/>
      <c r="M183" s="596"/>
      <c r="N183" s="596"/>
      <c r="O183" s="596"/>
      <c r="P183" s="596"/>
      <c r="Q183" s="596"/>
      <c r="R183" s="596"/>
      <c r="S183" s="596"/>
      <c r="T183" s="596"/>
      <c r="U183" s="596"/>
      <c r="V183" s="596"/>
      <c r="W183" s="596"/>
      <c r="X183" s="596"/>
      <c r="Y183" s="596"/>
      <c r="Z183" s="596"/>
      <c r="AA183" s="596"/>
    </row>
    <row r="184" spans="2:27" x14ac:dyDescent="0.2">
      <c r="B184" s="564">
        <f t="shared" si="39"/>
        <v>0</v>
      </c>
      <c r="C184" s="564" t="str">
        <f t="shared" si="40"/>
        <v>Wheat Standalone (Starch)</v>
      </c>
      <c r="D184" s="157">
        <v>1</v>
      </c>
      <c r="E184" s="157"/>
      <c r="F184" s="597"/>
      <c r="G184" s="251">
        <f>IFERROR(INDEX(Allocators!$C:$C,MATCH($F184,Allocators!$E:$E,0)),0)</f>
        <v>0</v>
      </c>
      <c r="H184" s="598">
        <f>IFERROR(INDEX(Allocators!$D:$D,MATCH($F184,Allocators!$E:$E,0)),1)</f>
        <v>1</v>
      </c>
      <c r="I184" s="207" t="s">
        <v>285</v>
      </c>
      <c r="J184" s="205"/>
      <c r="K184" s="205"/>
      <c r="L184" s="599">
        <f>-SUMIF('Wheat Standalone (Starch)'!$C:$C,'Costs per L'!$D184,'Wheat Standalone (Starch)'!L:L)/($O$2*10^6)*$H184/L$5</f>
        <v>0.40460232575607796</v>
      </c>
      <c r="M184" s="599">
        <f>-SUMIF('Wheat Standalone (Starch)'!$C:$C,'Costs per L'!$D184,'Wheat Standalone (Starch)'!M:M)/($O$2*10^6)*$H184/M$5</f>
        <v>0.40460232575607796</v>
      </c>
      <c r="N184" s="599">
        <f>-SUMIF('Wheat Standalone (Starch)'!$C:$C,'Costs per L'!$D184,'Wheat Standalone (Starch)'!N:N)/($O$2*10^6)*$H184/N$5</f>
        <v>0.40460232575607796</v>
      </c>
      <c r="O184" s="599">
        <f>-SUMIF('Wheat Standalone (Starch)'!$C:$C,'Costs per L'!$D184,'Wheat Standalone (Starch)'!O:O)/($O$2*10^6)*$H184/O$5</f>
        <v>0.40460232575607796</v>
      </c>
      <c r="P184" s="599">
        <f>-SUMIF('Wheat Standalone (Starch)'!$C:$C,'Costs per L'!$D184,'Wheat Standalone (Starch)'!P:P)/($O$2*10^6)*$H184/P$5</f>
        <v>0.40460232575607796</v>
      </c>
      <c r="Q184" s="599">
        <f>-SUMIF('Wheat Standalone (Starch)'!$C:$C,'Costs per L'!$D184,'Wheat Standalone (Starch)'!Q:Q)/($O$2*10^6)*$H184/Q$5</f>
        <v>0.40460232575607796</v>
      </c>
      <c r="R184" s="599">
        <f>-SUMIF('Wheat Standalone (Starch)'!$C:$C,'Costs per L'!$D184,'Wheat Standalone (Starch)'!R:R)/($O$2*10^6)*$H184/R$5</f>
        <v>0.40460232575607796</v>
      </c>
      <c r="S184" s="599">
        <f>-SUMIF('Wheat Standalone (Starch)'!$C:$C,'Costs per L'!$D184,'Wheat Standalone (Starch)'!S:S)/($O$2*10^6)*$H184/S$5</f>
        <v>0.40460232575607796</v>
      </c>
      <c r="T184" s="599">
        <f>-SUMIF('Wheat Standalone (Starch)'!$C:$C,'Costs per L'!$D184,'Wheat Standalone (Starch)'!T:T)/($O$2*10^6)*$H184/T$5</f>
        <v>0.40460232575607796</v>
      </c>
      <c r="U184" s="599">
        <f>-SUMIF('Wheat Standalone (Starch)'!$C:$C,'Costs per L'!$D184,'Wheat Standalone (Starch)'!U:U)/($O$2*10^6)*$H184/U$5</f>
        <v>0.40460232575607796</v>
      </c>
      <c r="V184" s="599">
        <f>-SUMIF('Wheat Standalone (Starch)'!$C:$C,'Costs per L'!$D184,'Wheat Standalone (Starch)'!V:V)/($O$2*10^6)*$H184/V$5</f>
        <v>0.40460232575607796</v>
      </c>
      <c r="W184" s="599">
        <f>-SUMIF('Wheat Standalone (Starch)'!$C:$C,'Costs per L'!$D184,'Wheat Standalone (Starch)'!W:W)/($O$2*10^6)*$H184/W$5</f>
        <v>0.40460232575607796</v>
      </c>
      <c r="X184" s="599">
        <f>-SUMIF('Wheat Standalone (Starch)'!$C:$C,'Costs per L'!$D184,'Wheat Standalone (Starch)'!X:X)/($O$2*10^6)*$H184/X$5</f>
        <v>0.40460232575607796</v>
      </c>
      <c r="Y184" s="599">
        <f>-SUMIF('Wheat Standalone (Starch)'!$C:$C,'Costs per L'!$D184,'Wheat Standalone (Starch)'!Y:Y)/($O$2*10^6)*$H184/Y$5</f>
        <v>0.40460232575607796</v>
      </c>
      <c r="Z184" s="600">
        <f>-SUMIF('Wheat Standalone (Starch)'!$C:$C,'Costs per L'!$D184,'Wheat Standalone (Starch)'!Z:Z)/($O$2*10^6)*$H184/Z$5</f>
        <v>0.40460232575607796</v>
      </c>
      <c r="AA184" s="600">
        <f t="shared" ref="AA184:AA193" si="41">AVERAGE(L184:Z184)</f>
        <v>0.40460232575607785</v>
      </c>
    </row>
    <row r="185" spans="2:27" x14ac:dyDescent="0.2">
      <c r="B185" s="564">
        <f t="shared" si="39"/>
        <v>0</v>
      </c>
      <c r="C185" s="564" t="str">
        <f t="shared" si="40"/>
        <v>Wheat Standalone (Starch)</v>
      </c>
      <c r="D185" s="157">
        <v>2</v>
      </c>
      <c r="E185" s="157"/>
      <c r="F185" s="597"/>
      <c r="G185" s="251">
        <f>IFERROR(INDEX(Allocators!$C:$C,MATCH($F185,Allocators!$E:$E,0)),0)</f>
        <v>0</v>
      </c>
      <c r="H185" s="598">
        <f>IFERROR(INDEX(Allocators!$D:$D,MATCH($F185,Allocators!$E:$E,0)),1)</f>
        <v>1</v>
      </c>
      <c r="I185" s="207" t="s">
        <v>86</v>
      </c>
      <c r="J185" s="206"/>
      <c r="K185" s="206"/>
      <c r="L185" s="601">
        <f>-SUMIF('Wheat Standalone (Starch)'!$C:$C,'Costs per L'!$D185,'Wheat Standalone (Starch)'!L:L)/($O$2*10^6)*$H185/L$5</f>
        <v>2.7139771410726626E-2</v>
      </c>
      <c r="M185" s="601">
        <f>-SUMIF('Wheat Standalone (Starch)'!$C:$C,'Costs per L'!$D185,'Wheat Standalone (Starch)'!M:M)/($O$2*10^6)*$H185/M$5</f>
        <v>2.7139771410726626E-2</v>
      </c>
      <c r="N185" s="601">
        <f>-SUMIF('Wheat Standalone (Starch)'!$C:$C,'Costs per L'!$D185,'Wheat Standalone (Starch)'!N:N)/($O$2*10^6)*$H185/N$5</f>
        <v>2.7139771410726626E-2</v>
      </c>
      <c r="O185" s="601">
        <f>-SUMIF('Wheat Standalone (Starch)'!$C:$C,'Costs per L'!$D185,'Wheat Standalone (Starch)'!O:O)/($O$2*10^6)*$H185/O$5</f>
        <v>2.7139771410726626E-2</v>
      </c>
      <c r="P185" s="601">
        <f>-SUMIF('Wheat Standalone (Starch)'!$C:$C,'Costs per L'!$D185,'Wheat Standalone (Starch)'!P:P)/($O$2*10^6)*$H185/P$5</f>
        <v>2.7139771410726626E-2</v>
      </c>
      <c r="Q185" s="601">
        <f>-SUMIF('Wheat Standalone (Starch)'!$C:$C,'Costs per L'!$D185,'Wheat Standalone (Starch)'!Q:Q)/($O$2*10^6)*$H185/Q$5</f>
        <v>2.7139771410726626E-2</v>
      </c>
      <c r="R185" s="601">
        <f>-SUMIF('Wheat Standalone (Starch)'!$C:$C,'Costs per L'!$D185,'Wheat Standalone (Starch)'!R:R)/($O$2*10^6)*$H185/R$5</f>
        <v>2.7139771410726626E-2</v>
      </c>
      <c r="S185" s="601">
        <f>-SUMIF('Wheat Standalone (Starch)'!$C:$C,'Costs per L'!$D185,'Wheat Standalone (Starch)'!S:S)/($O$2*10^6)*$H185/S$5</f>
        <v>2.7139771410726626E-2</v>
      </c>
      <c r="T185" s="601">
        <f>-SUMIF('Wheat Standalone (Starch)'!$C:$C,'Costs per L'!$D185,'Wheat Standalone (Starch)'!T:T)/($O$2*10^6)*$H185/T$5</f>
        <v>2.7139771410726626E-2</v>
      </c>
      <c r="U185" s="601">
        <f>-SUMIF('Wheat Standalone (Starch)'!$C:$C,'Costs per L'!$D185,'Wheat Standalone (Starch)'!U:U)/($O$2*10^6)*$H185/U$5</f>
        <v>2.7139771410726626E-2</v>
      </c>
      <c r="V185" s="601">
        <f>-SUMIF('Wheat Standalone (Starch)'!$C:$C,'Costs per L'!$D185,'Wheat Standalone (Starch)'!V:V)/($O$2*10^6)*$H185/V$5</f>
        <v>2.7139771410726626E-2</v>
      </c>
      <c r="W185" s="601">
        <f>-SUMIF('Wheat Standalone (Starch)'!$C:$C,'Costs per L'!$D185,'Wheat Standalone (Starch)'!W:W)/($O$2*10^6)*$H185/W$5</f>
        <v>2.7139771410726626E-2</v>
      </c>
      <c r="X185" s="601">
        <f>-SUMIF('Wheat Standalone (Starch)'!$C:$C,'Costs per L'!$D185,'Wheat Standalone (Starch)'!X:X)/($O$2*10^6)*$H185/X$5</f>
        <v>2.7139771410726626E-2</v>
      </c>
      <c r="Y185" s="601">
        <f>-SUMIF('Wheat Standalone (Starch)'!$C:$C,'Costs per L'!$D185,'Wheat Standalone (Starch)'!Y:Y)/($O$2*10^6)*$H185/Y$5</f>
        <v>2.7139771410726626E-2</v>
      </c>
      <c r="Z185" s="602">
        <f>-SUMIF('Wheat Standalone (Starch)'!$C:$C,'Costs per L'!$D185,'Wheat Standalone (Starch)'!Z:Z)/($O$2*10^6)*$H185/Z$5</f>
        <v>2.7139771410726626E-2</v>
      </c>
      <c r="AA185" s="602">
        <f t="shared" si="41"/>
        <v>2.7139771410726633E-2</v>
      </c>
    </row>
    <row r="186" spans="2:27" x14ac:dyDescent="0.2">
      <c r="B186" s="564">
        <f t="shared" si="39"/>
        <v>0</v>
      </c>
      <c r="C186" s="564" t="str">
        <f t="shared" si="40"/>
        <v>Wheat Standalone (Starch)</v>
      </c>
      <c r="D186" s="157">
        <v>3</v>
      </c>
      <c r="E186" s="157"/>
      <c r="F186" s="597"/>
      <c r="G186" s="251">
        <f>IFERROR(INDEX(Allocators!$C:$C,MATCH($F186,Allocators!$E:$E,0)),0)</f>
        <v>0</v>
      </c>
      <c r="H186" s="598">
        <f>IFERROR(INDEX(Allocators!$D:$D,MATCH($F186,Allocators!$E:$E,0)),1)</f>
        <v>1</v>
      </c>
      <c r="I186" s="207" t="s">
        <v>129</v>
      </c>
      <c r="J186" s="206"/>
      <c r="K186" s="206"/>
      <c r="L186" s="601">
        <f>-SUMIF('Wheat Standalone (Starch)'!$C:$C,'Costs per L'!$D186,'Wheat Standalone (Starch)'!L:L)/($O$2*10^6)*$H186/L$5</f>
        <v>5.7479872515548758E-2</v>
      </c>
      <c r="M186" s="601">
        <f>-SUMIF('Wheat Standalone (Starch)'!$C:$C,'Costs per L'!$D186,'Wheat Standalone (Starch)'!M:M)/($O$2*10^6)*$H186/M$5</f>
        <v>5.7479872515548744E-2</v>
      </c>
      <c r="N186" s="601">
        <f>-SUMIF('Wheat Standalone (Starch)'!$C:$C,'Costs per L'!$D186,'Wheat Standalone (Starch)'!N:N)/($O$2*10^6)*$H186/N$5</f>
        <v>5.7479872515548744E-2</v>
      </c>
      <c r="O186" s="601">
        <f>-SUMIF('Wheat Standalone (Starch)'!$C:$C,'Costs per L'!$D186,'Wheat Standalone (Starch)'!O:O)/($O$2*10^6)*$H186/O$5</f>
        <v>5.7479872515548744E-2</v>
      </c>
      <c r="P186" s="601">
        <f>-SUMIF('Wheat Standalone (Starch)'!$C:$C,'Costs per L'!$D186,'Wheat Standalone (Starch)'!P:P)/($O$2*10^6)*$H186/P$5</f>
        <v>5.7479872515548744E-2</v>
      </c>
      <c r="Q186" s="601">
        <f>-SUMIF('Wheat Standalone (Starch)'!$C:$C,'Costs per L'!$D186,'Wheat Standalone (Starch)'!Q:Q)/($O$2*10^6)*$H186/Q$5</f>
        <v>5.7479872515548744E-2</v>
      </c>
      <c r="R186" s="601">
        <f>-SUMIF('Wheat Standalone (Starch)'!$C:$C,'Costs per L'!$D186,'Wheat Standalone (Starch)'!R:R)/($O$2*10^6)*$H186/R$5</f>
        <v>5.7479872515548744E-2</v>
      </c>
      <c r="S186" s="601">
        <f>-SUMIF('Wheat Standalone (Starch)'!$C:$C,'Costs per L'!$D186,'Wheat Standalone (Starch)'!S:S)/($O$2*10^6)*$H186/S$5</f>
        <v>5.7479872515548744E-2</v>
      </c>
      <c r="T186" s="601">
        <f>-SUMIF('Wheat Standalone (Starch)'!$C:$C,'Costs per L'!$D186,'Wheat Standalone (Starch)'!T:T)/($O$2*10^6)*$H186/T$5</f>
        <v>5.7479872515548744E-2</v>
      </c>
      <c r="U186" s="601">
        <f>-SUMIF('Wheat Standalone (Starch)'!$C:$C,'Costs per L'!$D186,'Wheat Standalone (Starch)'!U:U)/($O$2*10^6)*$H186/U$5</f>
        <v>5.7479872515548744E-2</v>
      </c>
      <c r="V186" s="601">
        <f>-SUMIF('Wheat Standalone (Starch)'!$C:$C,'Costs per L'!$D186,'Wheat Standalone (Starch)'!V:V)/($O$2*10^6)*$H186/V$5</f>
        <v>5.7479872515548744E-2</v>
      </c>
      <c r="W186" s="601">
        <f>-SUMIF('Wheat Standalone (Starch)'!$C:$C,'Costs per L'!$D186,'Wheat Standalone (Starch)'!W:W)/($O$2*10^6)*$H186/W$5</f>
        <v>5.7479872515548744E-2</v>
      </c>
      <c r="X186" s="601">
        <f>-SUMIF('Wheat Standalone (Starch)'!$C:$C,'Costs per L'!$D186,'Wheat Standalone (Starch)'!X:X)/($O$2*10^6)*$H186/X$5</f>
        <v>5.7479872515548744E-2</v>
      </c>
      <c r="Y186" s="601">
        <f>-SUMIF('Wheat Standalone (Starch)'!$C:$C,'Costs per L'!$D186,'Wheat Standalone (Starch)'!Y:Y)/($O$2*10^6)*$H186/Y$5</f>
        <v>5.7479872515548744E-2</v>
      </c>
      <c r="Z186" s="602">
        <f>-SUMIF('Wheat Standalone (Starch)'!$C:$C,'Costs per L'!$D186,'Wheat Standalone (Starch)'!Z:Z)/($O$2*10^6)*$H186/Z$5</f>
        <v>5.7479872515548744E-2</v>
      </c>
      <c r="AA186" s="602">
        <f t="shared" si="41"/>
        <v>5.7479872515548751E-2</v>
      </c>
    </row>
    <row r="187" spans="2:27" x14ac:dyDescent="0.2">
      <c r="B187" s="564">
        <f t="shared" si="39"/>
        <v>0</v>
      </c>
      <c r="C187" s="564" t="str">
        <f t="shared" si="40"/>
        <v>Wheat Standalone (Starch)</v>
      </c>
      <c r="D187" s="157">
        <v>4</v>
      </c>
      <c r="E187" s="157"/>
      <c r="F187" s="597"/>
      <c r="G187" s="251">
        <f>IFERROR(INDEX(Allocators!$C:$C,MATCH($F187,Allocators!$E:$E,0)),0)</f>
        <v>0</v>
      </c>
      <c r="H187" s="598">
        <f>IFERROR(INDEX(Allocators!$D:$D,MATCH($F187,Allocators!$E:$E,0)),1)</f>
        <v>1</v>
      </c>
      <c r="I187" s="207" t="s">
        <v>218</v>
      </c>
      <c r="J187" s="206"/>
      <c r="K187" s="206"/>
      <c r="L187" s="601">
        <f>-SUMIF('Wheat Standalone (Starch)'!$C:$C,'Costs per L'!$D187,'Wheat Standalone (Starch)'!L:L)/($O$2*10^6)*$H187/L$5</f>
        <v>5.1537980375999999E-2</v>
      </c>
      <c r="M187" s="601">
        <f>-SUMIF('Wheat Standalone (Starch)'!$C:$C,'Costs per L'!$D187,'Wheat Standalone (Starch)'!M:M)/($O$2*10^6)*$H187/M$5</f>
        <v>4.6631985281999994E-2</v>
      </c>
      <c r="N187" s="601">
        <f>-SUMIF('Wheat Standalone (Starch)'!$C:$C,'Costs per L'!$D187,'Wheat Standalone (Starch)'!N:N)/($O$2*10^6)*$H187/N$5</f>
        <v>4.6631985281999994E-2</v>
      </c>
      <c r="O187" s="601">
        <f>-SUMIF('Wheat Standalone (Starch)'!$C:$C,'Costs per L'!$D187,'Wheat Standalone (Starch)'!O:O)/($O$2*10^6)*$H187/O$5</f>
        <v>4.6631985281999994E-2</v>
      </c>
      <c r="P187" s="601">
        <f>-SUMIF('Wheat Standalone (Starch)'!$C:$C,'Costs per L'!$D187,'Wheat Standalone (Starch)'!P:P)/($O$2*10^6)*$H187/P$5</f>
        <v>4.6631985281999994E-2</v>
      </c>
      <c r="Q187" s="601">
        <f>-SUMIF('Wheat Standalone (Starch)'!$C:$C,'Costs per L'!$D187,'Wheat Standalone (Starch)'!Q:Q)/($O$2*10^6)*$H187/Q$5</f>
        <v>4.6631985281999994E-2</v>
      </c>
      <c r="R187" s="601">
        <f>-SUMIF('Wheat Standalone (Starch)'!$C:$C,'Costs per L'!$D187,'Wheat Standalone (Starch)'!R:R)/($O$2*10^6)*$H187/R$5</f>
        <v>4.6631985281999994E-2</v>
      </c>
      <c r="S187" s="601">
        <f>-SUMIF('Wheat Standalone (Starch)'!$C:$C,'Costs per L'!$D187,'Wheat Standalone (Starch)'!S:S)/($O$2*10^6)*$H187/S$5</f>
        <v>4.6631985281999994E-2</v>
      </c>
      <c r="T187" s="601">
        <f>-SUMIF('Wheat Standalone (Starch)'!$C:$C,'Costs per L'!$D187,'Wheat Standalone (Starch)'!T:T)/($O$2*10^6)*$H187/T$5</f>
        <v>4.6631985281999994E-2</v>
      </c>
      <c r="U187" s="601">
        <f>-SUMIF('Wheat Standalone (Starch)'!$C:$C,'Costs per L'!$D187,'Wheat Standalone (Starch)'!U:U)/($O$2*10^6)*$H187/U$5</f>
        <v>4.6631985281999994E-2</v>
      </c>
      <c r="V187" s="601">
        <f>-SUMIF('Wheat Standalone (Starch)'!$C:$C,'Costs per L'!$D187,'Wheat Standalone (Starch)'!V:V)/($O$2*10^6)*$H187/V$5</f>
        <v>4.6631985281999994E-2</v>
      </c>
      <c r="W187" s="601">
        <f>-SUMIF('Wheat Standalone (Starch)'!$C:$C,'Costs per L'!$D187,'Wheat Standalone (Starch)'!W:W)/($O$2*10^6)*$H187/W$5</f>
        <v>4.6631985281999994E-2</v>
      </c>
      <c r="X187" s="601">
        <f>-SUMIF('Wheat Standalone (Starch)'!$C:$C,'Costs per L'!$D187,'Wheat Standalone (Starch)'!X:X)/($O$2*10^6)*$H187/X$5</f>
        <v>4.6631985281999994E-2</v>
      </c>
      <c r="Y187" s="601">
        <f>-SUMIF('Wheat Standalone (Starch)'!$C:$C,'Costs per L'!$D187,'Wheat Standalone (Starch)'!Y:Y)/($O$2*10^6)*$H187/Y$5</f>
        <v>4.6631985281999994E-2</v>
      </c>
      <c r="Z187" s="602">
        <f>-SUMIF('Wheat Standalone (Starch)'!$C:$C,'Costs per L'!$D187,'Wheat Standalone (Starch)'!Z:Z)/($O$2*10^6)*$H187/Z$5</f>
        <v>4.6631985281999994E-2</v>
      </c>
      <c r="AA187" s="602">
        <f t="shared" si="41"/>
        <v>4.6959051621599975E-2</v>
      </c>
    </row>
    <row r="188" spans="2:27" x14ac:dyDescent="0.2">
      <c r="B188" s="564">
        <f t="shared" si="39"/>
        <v>0</v>
      </c>
      <c r="C188" s="564" t="str">
        <f t="shared" si="40"/>
        <v>Wheat Standalone (Starch)</v>
      </c>
      <c r="D188" s="157">
        <v>5</v>
      </c>
      <c r="E188" s="157"/>
      <c r="F188" s="597"/>
      <c r="G188" s="251">
        <f>IFERROR(INDEX(Allocators!$C:$C,MATCH($F188,Allocators!$E:$E,0)),0)</f>
        <v>0</v>
      </c>
      <c r="H188" s="598">
        <f>IFERROR(INDEX(Allocators!$D:$D,MATCH($F188,Allocators!$E:$E,0)),1)</f>
        <v>1</v>
      </c>
      <c r="I188" s="207" t="s">
        <v>525</v>
      </c>
      <c r="J188" s="206"/>
      <c r="K188" s="206"/>
      <c r="L188" s="601">
        <f>-SUMIF('Wheat Standalone (Starch)'!$C:$C,'Costs per L'!$D188,'Wheat Standalone (Starch)'!L:L)/($O$2*10^6)*$H188/L$5</f>
        <v>2.9100000000000001E-2</v>
      </c>
      <c r="M188" s="601">
        <f>-SUMIF('Wheat Standalone (Starch)'!$C:$C,'Costs per L'!$D188,'Wheat Standalone (Starch)'!M:M)/($O$2*10^6)*$H188/M$5</f>
        <v>2.9100000000000001E-2</v>
      </c>
      <c r="N188" s="601">
        <f>-SUMIF('Wheat Standalone (Starch)'!$C:$C,'Costs per L'!$D188,'Wheat Standalone (Starch)'!N:N)/($O$2*10^6)*$H188/N$5</f>
        <v>2.9100000000000001E-2</v>
      </c>
      <c r="O188" s="601">
        <f>-SUMIF('Wheat Standalone (Starch)'!$C:$C,'Costs per L'!$D188,'Wheat Standalone (Starch)'!O:O)/($O$2*10^6)*$H188/O$5</f>
        <v>2.9100000000000001E-2</v>
      </c>
      <c r="P188" s="601">
        <f>-SUMIF('Wheat Standalone (Starch)'!$C:$C,'Costs per L'!$D188,'Wheat Standalone (Starch)'!P:P)/($O$2*10^6)*$H188/P$5</f>
        <v>2.9100000000000001E-2</v>
      </c>
      <c r="Q188" s="601">
        <f>-SUMIF('Wheat Standalone (Starch)'!$C:$C,'Costs per L'!$D188,'Wheat Standalone (Starch)'!Q:Q)/($O$2*10^6)*$H188/Q$5</f>
        <v>2.9100000000000001E-2</v>
      </c>
      <c r="R188" s="601">
        <f>-SUMIF('Wheat Standalone (Starch)'!$C:$C,'Costs per L'!$D188,'Wheat Standalone (Starch)'!R:R)/($O$2*10^6)*$H188/R$5</f>
        <v>2.9100000000000001E-2</v>
      </c>
      <c r="S188" s="601">
        <f>-SUMIF('Wheat Standalone (Starch)'!$C:$C,'Costs per L'!$D188,'Wheat Standalone (Starch)'!S:S)/($O$2*10^6)*$H188/S$5</f>
        <v>2.9100000000000001E-2</v>
      </c>
      <c r="T188" s="601">
        <f>-SUMIF('Wheat Standalone (Starch)'!$C:$C,'Costs per L'!$D188,'Wheat Standalone (Starch)'!T:T)/($O$2*10^6)*$H188/T$5</f>
        <v>2.9100000000000001E-2</v>
      </c>
      <c r="U188" s="601">
        <f>-SUMIF('Wheat Standalone (Starch)'!$C:$C,'Costs per L'!$D188,'Wheat Standalone (Starch)'!U:U)/($O$2*10^6)*$H188/U$5</f>
        <v>2.9100000000000001E-2</v>
      </c>
      <c r="V188" s="601">
        <f>-SUMIF('Wheat Standalone (Starch)'!$C:$C,'Costs per L'!$D188,'Wheat Standalone (Starch)'!V:V)/($O$2*10^6)*$H188/V$5</f>
        <v>2.9100000000000001E-2</v>
      </c>
      <c r="W188" s="601">
        <f>-SUMIF('Wheat Standalone (Starch)'!$C:$C,'Costs per L'!$D188,'Wheat Standalone (Starch)'!W:W)/($O$2*10^6)*$H188/W$5</f>
        <v>2.9100000000000001E-2</v>
      </c>
      <c r="X188" s="601">
        <f>-SUMIF('Wheat Standalone (Starch)'!$C:$C,'Costs per L'!$D188,'Wheat Standalone (Starch)'!X:X)/($O$2*10^6)*$H188/X$5</f>
        <v>2.9100000000000001E-2</v>
      </c>
      <c r="Y188" s="601">
        <f>-SUMIF('Wheat Standalone (Starch)'!$C:$C,'Costs per L'!$D188,'Wheat Standalone (Starch)'!Y:Y)/($O$2*10^6)*$H188/Y$5</f>
        <v>2.9100000000000001E-2</v>
      </c>
      <c r="Z188" s="602">
        <f>-SUMIF('Wheat Standalone (Starch)'!$C:$C,'Costs per L'!$D188,'Wheat Standalone (Starch)'!Z:Z)/($O$2*10^6)*$H188/Z$5</f>
        <v>2.9100000000000001E-2</v>
      </c>
      <c r="AA188" s="602">
        <f t="shared" si="41"/>
        <v>2.9100000000000011E-2</v>
      </c>
    </row>
    <row r="189" spans="2:27" x14ac:dyDescent="0.2">
      <c r="B189" s="564">
        <f t="shared" si="39"/>
        <v>0</v>
      </c>
      <c r="C189" s="564" t="str">
        <f t="shared" si="40"/>
        <v>Wheat Standalone (Starch)</v>
      </c>
      <c r="D189" s="157">
        <v>6</v>
      </c>
      <c r="E189" s="157"/>
      <c r="F189" s="597"/>
      <c r="G189" s="251">
        <f>IFERROR(INDEX(Allocators!$C:$C,MATCH($F189,Allocators!$E:$E,0)),0)</f>
        <v>0</v>
      </c>
      <c r="H189" s="598">
        <f>IFERROR(INDEX(Allocators!$D:$D,MATCH($F189,Allocators!$E:$E,0)),1)</f>
        <v>1</v>
      </c>
      <c r="I189" s="207" t="s">
        <v>448</v>
      </c>
      <c r="J189" s="206"/>
      <c r="K189" s="206"/>
      <c r="L189" s="601">
        <f>-SUMIF('Wheat Standalone (Starch)'!$C:$C,'Costs per L'!$D189,'Wheat Standalone (Starch)'!L:L)/($O$2*10^6)*$H189/L$5</f>
        <v>1.7736999999999999E-2</v>
      </c>
      <c r="M189" s="601">
        <f>-SUMIF('Wheat Standalone (Starch)'!$C:$C,'Costs per L'!$D189,'Wheat Standalone (Starch)'!M:M)/($O$2*10^6)*$H189/M$5</f>
        <v>1.7736999999999999E-2</v>
      </c>
      <c r="N189" s="601">
        <f>-SUMIF('Wheat Standalone (Starch)'!$C:$C,'Costs per L'!$D189,'Wheat Standalone (Starch)'!N:N)/($O$2*10^6)*$H189/N$5</f>
        <v>1.7736999999999999E-2</v>
      </c>
      <c r="O189" s="601">
        <f>-SUMIF('Wheat Standalone (Starch)'!$C:$C,'Costs per L'!$D189,'Wheat Standalone (Starch)'!O:O)/($O$2*10^6)*$H189/O$5</f>
        <v>1.7736999999999999E-2</v>
      </c>
      <c r="P189" s="601">
        <f>-SUMIF('Wheat Standalone (Starch)'!$C:$C,'Costs per L'!$D189,'Wheat Standalone (Starch)'!P:P)/($O$2*10^6)*$H189/P$5</f>
        <v>1.7736999999999999E-2</v>
      </c>
      <c r="Q189" s="601">
        <f>-SUMIF('Wheat Standalone (Starch)'!$C:$C,'Costs per L'!$D189,'Wheat Standalone (Starch)'!Q:Q)/($O$2*10^6)*$H189/Q$5</f>
        <v>1.7736999999999999E-2</v>
      </c>
      <c r="R189" s="601">
        <f>-SUMIF('Wheat Standalone (Starch)'!$C:$C,'Costs per L'!$D189,'Wheat Standalone (Starch)'!R:R)/($O$2*10^6)*$H189/R$5</f>
        <v>1.7736999999999999E-2</v>
      </c>
      <c r="S189" s="601">
        <f>-SUMIF('Wheat Standalone (Starch)'!$C:$C,'Costs per L'!$D189,'Wheat Standalone (Starch)'!S:S)/($O$2*10^6)*$H189/S$5</f>
        <v>1.7736999999999999E-2</v>
      </c>
      <c r="T189" s="601">
        <f>-SUMIF('Wheat Standalone (Starch)'!$C:$C,'Costs per L'!$D189,'Wheat Standalone (Starch)'!T:T)/($O$2*10^6)*$H189/T$5</f>
        <v>1.7736999999999999E-2</v>
      </c>
      <c r="U189" s="601">
        <f>-SUMIF('Wheat Standalone (Starch)'!$C:$C,'Costs per L'!$D189,'Wheat Standalone (Starch)'!U:U)/($O$2*10^6)*$H189/U$5</f>
        <v>1.7736999999999999E-2</v>
      </c>
      <c r="V189" s="601">
        <f>-SUMIF('Wheat Standalone (Starch)'!$C:$C,'Costs per L'!$D189,'Wheat Standalone (Starch)'!V:V)/($O$2*10^6)*$H189/V$5</f>
        <v>1.7736999999999999E-2</v>
      </c>
      <c r="W189" s="601">
        <f>-SUMIF('Wheat Standalone (Starch)'!$C:$C,'Costs per L'!$D189,'Wheat Standalone (Starch)'!W:W)/($O$2*10^6)*$H189/W$5</f>
        <v>1.7736999999999999E-2</v>
      </c>
      <c r="X189" s="601">
        <f>-SUMIF('Wheat Standalone (Starch)'!$C:$C,'Costs per L'!$D189,'Wheat Standalone (Starch)'!X:X)/($O$2*10^6)*$H189/X$5</f>
        <v>1.7736999999999999E-2</v>
      </c>
      <c r="Y189" s="601">
        <f>-SUMIF('Wheat Standalone (Starch)'!$C:$C,'Costs per L'!$D189,'Wheat Standalone (Starch)'!Y:Y)/($O$2*10^6)*$H189/Y$5</f>
        <v>1.7736999999999999E-2</v>
      </c>
      <c r="Z189" s="602">
        <f>-SUMIF('Wheat Standalone (Starch)'!$C:$C,'Costs per L'!$D189,'Wheat Standalone (Starch)'!Z:Z)/($O$2*10^6)*$H189/Z$5</f>
        <v>1.7736999999999999E-2</v>
      </c>
      <c r="AA189" s="602">
        <f t="shared" si="41"/>
        <v>1.7736999999999999E-2</v>
      </c>
    </row>
    <row r="190" spans="2:27" x14ac:dyDescent="0.2">
      <c r="B190" s="564">
        <f t="shared" si="39"/>
        <v>0</v>
      </c>
      <c r="C190" s="564" t="str">
        <f t="shared" si="40"/>
        <v>Wheat Standalone (Starch)</v>
      </c>
      <c r="D190" s="157">
        <v>7</v>
      </c>
      <c r="E190" s="157"/>
      <c r="F190" s="597"/>
      <c r="G190" s="251">
        <f>IFERROR(INDEX(Allocators!$C:$C,MATCH($F190,Allocators!$E:$E,0)),0)</f>
        <v>0</v>
      </c>
      <c r="H190" s="598">
        <f>IFERROR(INDEX(Allocators!$D:$D,MATCH($F190,Allocators!$E:$E,0)),1)</f>
        <v>1</v>
      </c>
      <c r="I190" s="181" t="s">
        <v>184</v>
      </c>
      <c r="J190" s="206"/>
      <c r="K190" s="206"/>
      <c r="L190" s="601">
        <f>-SUMIF('Wheat Standalone (Starch)'!$C:$C,'Costs per L'!$D190,'Wheat Standalone (Starch)'!L:L)/($O$2*10^6)*$H190/L$5</f>
        <v>8.0272795994448295E-2</v>
      </c>
      <c r="M190" s="601">
        <f>-SUMIF('Wheat Standalone (Starch)'!$C:$C,'Costs per L'!$D190,'Wheat Standalone (Starch)'!M:M)/($O$2*10^6)*$H190/M$5</f>
        <v>8.0272795994448282E-2</v>
      </c>
      <c r="N190" s="601">
        <f>-SUMIF('Wheat Standalone (Starch)'!$C:$C,'Costs per L'!$D190,'Wheat Standalone (Starch)'!N:N)/($O$2*10^6)*$H190/N$5</f>
        <v>8.0272795994448282E-2</v>
      </c>
      <c r="O190" s="601">
        <f>-SUMIF('Wheat Standalone (Starch)'!$C:$C,'Costs per L'!$D190,'Wheat Standalone (Starch)'!O:O)/($O$2*10^6)*$H190/O$5</f>
        <v>8.0272795994448282E-2</v>
      </c>
      <c r="P190" s="601">
        <f>-SUMIF('Wheat Standalone (Starch)'!$C:$C,'Costs per L'!$D190,'Wheat Standalone (Starch)'!P:P)/($O$2*10^6)*$H190/P$5</f>
        <v>8.0272795994448282E-2</v>
      </c>
      <c r="Q190" s="601">
        <f>-SUMIF('Wheat Standalone (Starch)'!$C:$C,'Costs per L'!$D190,'Wheat Standalone (Starch)'!Q:Q)/($O$2*10^6)*$H190/Q$5</f>
        <v>8.0272795994448282E-2</v>
      </c>
      <c r="R190" s="601">
        <f>-SUMIF('Wheat Standalone (Starch)'!$C:$C,'Costs per L'!$D190,'Wheat Standalone (Starch)'!R:R)/($O$2*10^6)*$H190/R$5</f>
        <v>8.0272795994448282E-2</v>
      </c>
      <c r="S190" s="601">
        <f>-SUMIF('Wheat Standalone (Starch)'!$C:$C,'Costs per L'!$D190,'Wheat Standalone (Starch)'!S:S)/($O$2*10^6)*$H190/S$5</f>
        <v>8.0272795994448282E-2</v>
      </c>
      <c r="T190" s="601">
        <f>-SUMIF('Wheat Standalone (Starch)'!$C:$C,'Costs per L'!$D190,'Wheat Standalone (Starch)'!T:T)/($O$2*10^6)*$H190/T$5</f>
        <v>8.0272795994448282E-2</v>
      </c>
      <c r="U190" s="601">
        <f>-SUMIF('Wheat Standalone (Starch)'!$C:$C,'Costs per L'!$D190,'Wheat Standalone (Starch)'!U:U)/($O$2*10^6)*$H190/U$5</f>
        <v>8.0272795994448282E-2</v>
      </c>
      <c r="V190" s="601">
        <f>-SUMIF('Wheat Standalone (Starch)'!$C:$C,'Costs per L'!$D190,'Wheat Standalone (Starch)'!V:V)/($O$2*10^6)*$H190/V$5</f>
        <v>8.0272795994448282E-2</v>
      </c>
      <c r="W190" s="601">
        <f>-SUMIF('Wheat Standalone (Starch)'!$C:$C,'Costs per L'!$D190,'Wheat Standalone (Starch)'!W:W)/($O$2*10^6)*$H190/W$5</f>
        <v>8.0272795994448282E-2</v>
      </c>
      <c r="X190" s="601">
        <f>-SUMIF('Wheat Standalone (Starch)'!$C:$C,'Costs per L'!$D190,'Wheat Standalone (Starch)'!X:X)/($O$2*10^6)*$H190/X$5</f>
        <v>8.0272795994448282E-2</v>
      </c>
      <c r="Y190" s="601">
        <f>-SUMIF('Wheat Standalone (Starch)'!$C:$C,'Costs per L'!$D190,'Wheat Standalone (Starch)'!Y:Y)/($O$2*10^6)*$H190/Y$5</f>
        <v>8.0272795994448282E-2</v>
      </c>
      <c r="Z190" s="602">
        <f>-SUMIF('Wheat Standalone (Starch)'!$C:$C,'Costs per L'!$D190,'Wheat Standalone (Starch)'!Z:Z)/($O$2*10^6)*$H190/Z$5</f>
        <v>8.0272795994448282E-2</v>
      </c>
      <c r="AA190" s="602">
        <f t="shared" si="41"/>
        <v>8.0272795994448268E-2</v>
      </c>
    </row>
    <row r="191" spans="2:27" ht="13.5" thickBot="1" x14ac:dyDescent="0.25">
      <c r="B191" s="564" t="str">
        <f t="shared" si="39"/>
        <v>Wheat Standalone (Starch).Total production costs ($/L) before depreciation and interest</v>
      </c>
      <c r="C191" s="564" t="str">
        <f t="shared" si="40"/>
        <v>Wheat Standalone (Starch)</v>
      </c>
      <c r="G191">
        <f>IFERROR(INDEX(Allocators!$C:$C,MATCH($F191,Allocators!$E:$E,0)),0)</f>
        <v>0</v>
      </c>
      <c r="H191" s="172">
        <f>IFERROR(INDEX(Allocators!$D:$D,MATCH($F191,Allocators!$E:$E,0)),1)</f>
        <v>1</v>
      </c>
      <c r="I191" s="183" t="s">
        <v>633</v>
      </c>
      <c r="J191" s="204"/>
      <c r="K191" s="204"/>
      <c r="L191" s="603">
        <f t="shared" ref="L191:Z191" si="42">SUM(L184:L190)</f>
        <v>0.66786974605280158</v>
      </c>
      <c r="M191" s="603">
        <f t="shared" si="42"/>
        <v>0.66296375095880156</v>
      </c>
      <c r="N191" s="603">
        <f t="shared" si="42"/>
        <v>0.66296375095880156</v>
      </c>
      <c r="O191" s="603">
        <f t="shared" si="42"/>
        <v>0.66296375095880156</v>
      </c>
      <c r="P191" s="603">
        <f t="shared" si="42"/>
        <v>0.66296375095880156</v>
      </c>
      <c r="Q191" s="603">
        <f t="shared" si="42"/>
        <v>0.66296375095880156</v>
      </c>
      <c r="R191" s="603">
        <f t="shared" si="42"/>
        <v>0.66296375095880156</v>
      </c>
      <c r="S191" s="603">
        <f t="shared" si="42"/>
        <v>0.66296375095880156</v>
      </c>
      <c r="T191" s="603">
        <f t="shared" si="42"/>
        <v>0.66296375095880156</v>
      </c>
      <c r="U191" s="603">
        <f t="shared" si="42"/>
        <v>0.66296375095880156</v>
      </c>
      <c r="V191" s="603">
        <f t="shared" si="42"/>
        <v>0.66296375095880156</v>
      </c>
      <c r="W191" s="603">
        <f t="shared" si="42"/>
        <v>0.66296375095880156</v>
      </c>
      <c r="X191" s="603">
        <f t="shared" si="42"/>
        <v>0.66296375095880156</v>
      </c>
      <c r="Y191" s="603">
        <f t="shared" si="42"/>
        <v>0.66296375095880156</v>
      </c>
      <c r="Z191" s="604">
        <f t="shared" si="42"/>
        <v>0.66296375095880156</v>
      </c>
      <c r="AA191" s="604">
        <f t="shared" si="41"/>
        <v>0.66329081729840156</v>
      </c>
    </row>
    <row r="192" spans="2:27" x14ac:dyDescent="0.2">
      <c r="B192" s="564" t="str">
        <f t="shared" si="39"/>
        <v>Wheat Standalone (Starch).Cost of Capital (Depreciation)</v>
      </c>
      <c r="C192" s="564" t="str">
        <f t="shared" si="40"/>
        <v>Wheat Standalone (Starch)</v>
      </c>
      <c r="F192" s="597"/>
      <c r="G192" s="251">
        <f>IFERROR(INDEX(Allocators!$C:$C,MATCH($F192,Allocators!$E:$E,0)),0)</f>
        <v>0</v>
      </c>
      <c r="H192" s="598">
        <f>IFERROR(INDEX(Allocators!$D:$D,MATCH($F192,Allocators!$E:$E,0)),1)</f>
        <v>1</v>
      </c>
      <c r="I192" s="181" t="s">
        <v>471</v>
      </c>
      <c r="J192" s="203"/>
      <c r="K192" s="203"/>
      <c r="L192" s="605">
        <f>Depreciation!L217/$O$2/(10^6)/L$5*$H192</f>
        <v>6.5413333333333337E-2</v>
      </c>
      <c r="M192" s="605">
        <f>Depreciation!M217/$O$2/(10^6)/M$5*$H192</f>
        <v>4.9059999999999999E-2</v>
      </c>
      <c r="N192" s="605">
        <f>Depreciation!N217/$O$2/(10^6)/N$5*$H192</f>
        <v>4.9059999999999999E-2</v>
      </c>
      <c r="O192" s="605">
        <f>Depreciation!O217/$O$2/(10^6)/O$5*$H192</f>
        <v>4.9059999999999999E-2</v>
      </c>
      <c r="P192" s="605">
        <f>Depreciation!P217/$O$2/(10^6)/P$5*$H192</f>
        <v>4.9059999999999999E-2</v>
      </c>
      <c r="Q192" s="605">
        <f>Depreciation!Q217/$O$2/(10^6)/Q$5*$H192</f>
        <v>4.9059999999999999E-2</v>
      </c>
      <c r="R192" s="605">
        <f>Depreciation!R217/$O$2/(10^6)/R$5*$H192</f>
        <v>4.9059999999999999E-2</v>
      </c>
      <c r="S192" s="605">
        <f>Depreciation!S217/$O$2/(10^6)/S$5*$H192</f>
        <v>4.9059999999999999E-2</v>
      </c>
      <c r="T192" s="605">
        <f>Depreciation!T217/$O$2/(10^6)/T$5*$H192</f>
        <v>4.9059999999999999E-2</v>
      </c>
      <c r="U192" s="605">
        <f>Depreciation!U217/$O$2/(10^6)/U$5*$H192</f>
        <v>4.9059999999999999E-2</v>
      </c>
      <c r="V192" s="605">
        <f>Depreciation!V217/$O$2/(10^6)/V$5*$H192</f>
        <v>4.9059999999999999E-2</v>
      </c>
      <c r="W192" s="605">
        <f>Depreciation!W217/$O$2/(10^6)/W$5*$H192</f>
        <v>4.9059999999999999E-2</v>
      </c>
      <c r="X192" s="605">
        <f>Depreciation!X217/$O$2/(10^6)/X$5*$H192</f>
        <v>4.9059999999999999E-2</v>
      </c>
      <c r="Y192" s="605">
        <f>Depreciation!Y217/$O$2/(10^6)/Y$5*$H192</f>
        <v>4.9059999999999999E-2</v>
      </c>
      <c r="Z192" s="606">
        <f>Depreciation!Z217/$O$2/(10^6)/Z$5*$H192</f>
        <v>4.9059999999999999E-2</v>
      </c>
      <c r="AA192" s="606">
        <f t="shared" si="41"/>
        <v>5.0150222222222221E-2</v>
      </c>
    </row>
    <row r="193" spans="2:27" x14ac:dyDescent="0.2">
      <c r="B193" s="564" t="str">
        <f t="shared" si="39"/>
        <v>Wheat Standalone (Starch).Interest</v>
      </c>
      <c r="C193" s="564" t="str">
        <f t="shared" si="40"/>
        <v>Wheat Standalone (Starch)</v>
      </c>
      <c r="F193" s="597"/>
      <c r="G193" s="251">
        <f>IFERROR(INDEX(Allocators!$C:$C,MATCH($F193,Allocators!$E:$E,0)),0)</f>
        <v>0</v>
      </c>
      <c r="H193" s="598">
        <f>IFERROR(INDEX(Allocators!$D:$D,MATCH($F193,Allocators!$E:$E,0)),1)</f>
        <v>1</v>
      </c>
      <c r="I193" s="181" t="s">
        <v>470</v>
      </c>
      <c r="J193" s="203"/>
      <c r="K193" s="203"/>
      <c r="L193" s="605">
        <f>INDEX('Loan Repayments'!$BD$14:$BD$63,MATCH(L$8,'Loan Repayments'!$AY$14:$AY$63,0))
/($O$2*10^6)/L$5*$H193</f>
        <v>3.9845679242373797E-2</v>
      </c>
      <c r="M193" s="605">
        <f>INDEX('Loan Repayments'!$BD$14:$BD$63,MATCH(M$8,'Loan Repayments'!$AY$14:$AY$63,0))
/($O$2*10^6)/M$5*$H193</f>
        <v>2.9884259431780347E-2</v>
      </c>
      <c r="N193" s="605">
        <f>INDEX('Loan Repayments'!$BD$14:$BD$63,MATCH(N$8,'Loan Repayments'!$AY$14:$AY$63,0))
/($O$2*10^6)/N$5*$H193</f>
        <v>2.9884259431780347E-2</v>
      </c>
      <c r="O193" s="605">
        <f>INDEX('Loan Repayments'!$BD$14:$BD$63,MATCH(O$8,'Loan Repayments'!$AY$14:$AY$63,0))
/($O$2*10^6)/O$5*$H193</f>
        <v>2.9884259431780347E-2</v>
      </c>
      <c r="P193" s="605">
        <f>INDEX('Loan Repayments'!$BD$14:$BD$63,MATCH(P$8,'Loan Repayments'!$AY$14:$AY$63,0))
/($O$2*10^6)/P$5*$H193</f>
        <v>2.9884259431780347E-2</v>
      </c>
      <c r="Q193" s="605">
        <f>INDEX('Loan Repayments'!$BD$14:$BD$63,MATCH(Q$8,'Loan Repayments'!$AY$14:$AY$63,0))
/($O$2*10^6)/Q$5*$H193</f>
        <v>2.9884259431780347E-2</v>
      </c>
      <c r="R193" s="605">
        <f>INDEX('Loan Repayments'!$BD$14:$BD$63,MATCH(R$8,'Loan Repayments'!$AY$14:$AY$63,0))
/($O$2*10^6)/R$5*$H193</f>
        <v>2.9884259431780347E-2</v>
      </c>
      <c r="S193" s="605">
        <f>INDEX('Loan Repayments'!$BD$14:$BD$63,MATCH(S$8,'Loan Repayments'!$AY$14:$AY$63,0))
/($O$2*10^6)/S$5*$H193</f>
        <v>2.9884259431780347E-2</v>
      </c>
      <c r="T193" s="605">
        <f>INDEX('Loan Repayments'!$BD$14:$BD$63,MATCH(T$8,'Loan Repayments'!$AY$14:$AY$63,0))
/($O$2*10^6)/T$5*$H193</f>
        <v>2.9884259431780347E-2</v>
      </c>
      <c r="U193" s="605">
        <f>INDEX('Loan Repayments'!$BD$14:$BD$63,MATCH(U$8,'Loan Repayments'!$AY$14:$AY$63,0))
/($O$2*10^6)/U$5*$H193</f>
        <v>2.9884259431780347E-2</v>
      </c>
      <c r="V193" s="605">
        <f>INDEX('Loan Repayments'!$BD$14:$BD$63,MATCH(V$8,'Loan Repayments'!$AY$14:$AY$63,0))
/($O$2*10^6)/V$5*$H193</f>
        <v>2.9884259431780347E-2</v>
      </c>
      <c r="W193" s="605">
        <f>INDEX('Loan Repayments'!$BD$14:$BD$63,MATCH(W$8,'Loan Repayments'!$AY$14:$AY$63,0))
/($O$2*10^6)/W$5*$H193</f>
        <v>2.9884259431780347E-2</v>
      </c>
      <c r="X193" s="605">
        <f>INDEX('Loan Repayments'!$BD$14:$BD$63,MATCH(X$8,'Loan Repayments'!$AY$14:$AY$63,0))
/($O$2*10^6)/X$5*$H193</f>
        <v>2.9884259431780347E-2</v>
      </c>
      <c r="Y193" s="605">
        <f>INDEX('Loan Repayments'!$BD$14:$BD$63,MATCH(Y$8,'Loan Repayments'!$AY$14:$AY$63,0))
/($O$2*10^6)/Y$5*$H193</f>
        <v>2.9884259431780347E-2</v>
      </c>
      <c r="Z193" s="606">
        <f>INDEX('Loan Repayments'!$BD$14:$BD$63,MATCH(Z$8,'Loan Repayments'!$AY$14:$AY$63,0))
/($O$2*10^6)/Z$5*$H193</f>
        <v>2.9884259431780347E-2</v>
      </c>
      <c r="AA193" s="606">
        <f t="shared" si="41"/>
        <v>3.0548354085819917E-2</v>
      </c>
    </row>
    <row r="194" spans="2:27" ht="13.5" thickBot="1" x14ac:dyDescent="0.25">
      <c r="B194" s="564" t="str">
        <f t="shared" si="39"/>
        <v>Wheat Standalone (Starch).Total production cost ($/L)</v>
      </c>
      <c r="C194" s="564" t="str">
        <f t="shared" si="40"/>
        <v>Wheat Standalone (Starch)</v>
      </c>
      <c r="G194">
        <f>IFERROR(INDEX(Allocators!$C:$C,MATCH($F194,Allocators!$E:$E,0)),0)</f>
        <v>0</v>
      </c>
      <c r="H194">
        <f>IFERROR(INDEX(Allocators!$D:$D,MATCH($F194,Allocators!$E:$E,0)),1)</f>
        <v>1</v>
      </c>
      <c r="I194" s="183" t="s">
        <v>632</v>
      </c>
      <c r="J194" s="204"/>
      <c r="K194" s="204"/>
      <c r="L194" s="603">
        <f t="shared" ref="L194:Z194" si="43">SUM(L191,L192)</f>
        <v>0.73328307938613491</v>
      </c>
      <c r="M194" s="603">
        <f t="shared" si="43"/>
        <v>0.71202375095880155</v>
      </c>
      <c r="N194" s="603">
        <f t="shared" si="43"/>
        <v>0.71202375095880155</v>
      </c>
      <c r="O194" s="603">
        <f t="shared" si="43"/>
        <v>0.71202375095880155</v>
      </c>
      <c r="P194" s="603">
        <f t="shared" si="43"/>
        <v>0.71202375095880155</v>
      </c>
      <c r="Q194" s="603">
        <f t="shared" si="43"/>
        <v>0.71202375095880155</v>
      </c>
      <c r="R194" s="603">
        <f t="shared" si="43"/>
        <v>0.71202375095880155</v>
      </c>
      <c r="S194" s="603">
        <f t="shared" si="43"/>
        <v>0.71202375095880155</v>
      </c>
      <c r="T194" s="603">
        <f t="shared" si="43"/>
        <v>0.71202375095880155</v>
      </c>
      <c r="U194" s="603">
        <f t="shared" si="43"/>
        <v>0.71202375095880155</v>
      </c>
      <c r="V194" s="603">
        <f t="shared" si="43"/>
        <v>0.71202375095880155</v>
      </c>
      <c r="W194" s="603">
        <f t="shared" si="43"/>
        <v>0.71202375095880155</v>
      </c>
      <c r="X194" s="603">
        <f t="shared" si="43"/>
        <v>0.71202375095880155</v>
      </c>
      <c r="Y194" s="603">
        <f t="shared" si="43"/>
        <v>0.71202375095880155</v>
      </c>
      <c r="Z194" s="604">
        <f t="shared" si="43"/>
        <v>0.71202375095880155</v>
      </c>
      <c r="AA194" s="604">
        <f>SUM(AA191:AA193)</f>
        <v>0.74398939360644367</v>
      </c>
    </row>
    <row r="195" spans="2:27" ht="25.5" x14ac:dyDescent="0.2">
      <c r="B195" s="564">
        <f t="shared" si="39"/>
        <v>0</v>
      </c>
      <c r="C195" s="564" t="str">
        <f t="shared" si="40"/>
        <v>Wheat Standalone (Starch)</v>
      </c>
      <c r="D195" s="157">
        <v>8</v>
      </c>
      <c r="F195" s="597"/>
      <c r="G195" s="251">
        <f>IFERROR(INDEX(Allocators!$C:$C,MATCH($F195,Allocators!$E:$E,0)),0)</f>
        <v>0</v>
      </c>
      <c r="H195" s="598">
        <f>IFERROR(INDEX(Allocators!$D:$D,MATCH($F195,Allocators!$E:$E,0)),1)</f>
        <v>1</v>
      </c>
      <c r="I195" s="525" t="s">
        <v>639</v>
      </c>
      <c r="J195" s="514"/>
      <c r="K195" s="514"/>
      <c r="L195" s="607">
        <f>-SUMIF('Wheat Standalone (Starch)'!$C:$C,'Costs per L'!$D195,'Wheat Standalone (Starch)'!L:L)/($O$2*10^6)*$H195/L$5</f>
        <v>-0.12901684889785633</v>
      </c>
      <c r="M195" s="607">
        <f>-SUMIF('Wheat Standalone (Starch)'!$C:$C,'Costs per L'!$D195,'Wheat Standalone (Starch)'!M:M)/($O$2*10^6)*$H195/M$5</f>
        <v>-0.12901684889785633</v>
      </c>
      <c r="N195" s="607">
        <f>-SUMIF('Wheat Standalone (Starch)'!$C:$C,'Costs per L'!$D195,'Wheat Standalone (Starch)'!N:N)/($O$2*10^6)*$H195/N$5</f>
        <v>-0.12901684889785633</v>
      </c>
      <c r="O195" s="607">
        <f>-SUMIF('Wheat Standalone (Starch)'!$C:$C,'Costs per L'!$D195,'Wheat Standalone (Starch)'!O:O)/($O$2*10^6)*$H195/O$5</f>
        <v>-0.12901684889785633</v>
      </c>
      <c r="P195" s="607">
        <f>-SUMIF('Wheat Standalone (Starch)'!$C:$C,'Costs per L'!$D195,'Wheat Standalone (Starch)'!P:P)/($O$2*10^6)*$H195/P$5</f>
        <v>-0.12901684889785633</v>
      </c>
      <c r="Q195" s="607">
        <f>-SUMIF('Wheat Standalone (Starch)'!$C:$C,'Costs per L'!$D195,'Wheat Standalone (Starch)'!Q:Q)/($O$2*10^6)*$H195/Q$5</f>
        <v>-0.12901684889785633</v>
      </c>
      <c r="R195" s="607">
        <f>-SUMIF('Wheat Standalone (Starch)'!$C:$C,'Costs per L'!$D195,'Wheat Standalone (Starch)'!R:R)/($O$2*10^6)*$H195/R$5</f>
        <v>-0.12901684889785633</v>
      </c>
      <c r="S195" s="607">
        <f>-SUMIF('Wheat Standalone (Starch)'!$C:$C,'Costs per L'!$D195,'Wheat Standalone (Starch)'!S:S)/($O$2*10^6)*$H195/S$5</f>
        <v>-0.12901684889785633</v>
      </c>
      <c r="T195" s="607">
        <f>-SUMIF('Wheat Standalone (Starch)'!$C:$C,'Costs per L'!$D195,'Wheat Standalone (Starch)'!T:T)/($O$2*10^6)*$H195/T$5</f>
        <v>-0.12901684889785633</v>
      </c>
      <c r="U195" s="607">
        <f>-SUMIF('Wheat Standalone (Starch)'!$C:$C,'Costs per L'!$D195,'Wheat Standalone (Starch)'!U:U)/($O$2*10^6)*$H195/U$5</f>
        <v>-0.12901684889785633</v>
      </c>
      <c r="V195" s="607">
        <f>-SUMIF('Wheat Standalone (Starch)'!$C:$C,'Costs per L'!$D195,'Wheat Standalone (Starch)'!V:V)/($O$2*10^6)*$H195/V$5</f>
        <v>-0.12901684889785633</v>
      </c>
      <c r="W195" s="607">
        <f>-SUMIF('Wheat Standalone (Starch)'!$C:$C,'Costs per L'!$D195,'Wheat Standalone (Starch)'!W:W)/($O$2*10^6)*$H195/W$5</f>
        <v>-0.12901684889785633</v>
      </c>
      <c r="X195" s="607">
        <f>-SUMIF('Wheat Standalone (Starch)'!$C:$C,'Costs per L'!$D195,'Wheat Standalone (Starch)'!X:X)/($O$2*10^6)*$H195/X$5</f>
        <v>-0.12901684889785633</v>
      </c>
      <c r="Y195" s="607">
        <f>-SUMIF('Wheat Standalone (Starch)'!$C:$C,'Costs per L'!$D195,'Wheat Standalone (Starch)'!Y:Y)/($O$2*10^6)*$H195/Y$5</f>
        <v>-0.12901684889785633</v>
      </c>
      <c r="Z195" s="607">
        <f>-SUMIF('Wheat Standalone (Starch)'!$C:$C,'Costs per L'!$D195,'Wheat Standalone (Starch)'!Z:Z)/($O$2*10^6)*$H195/Z$5</f>
        <v>-0.12901684889785633</v>
      </c>
      <c r="AA195" s="608">
        <f>AVERAGE(L195:Z195)</f>
        <v>-0.12901684889785631</v>
      </c>
    </row>
    <row r="196" spans="2:27" ht="13.5" thickBot="1" x14ac:dyDescent="0.25">
      <c r="B196" s="564" t="str">
        <f t="shared" si="39"/>
        <v>Wheat Standalone (Starch).Net production cost ($/L)</v>
      </c>
      <c r="C196" s="564" t="str">
        <f t="shared" si="40"/>
        <v>Wheat Standalone (Starch)</v>
      </c>
      <c r="G196" s="171">
        <f>IFERROR(INDEX(Allocators!$C:$C,MATCH($F196,Allocators!$E:$E,0)),0)</f>
        <v>0</v>
      </c>
      <c r="H196" s="171">
        <f>IFERROR(INDEX(Allocators!$D:$D,MATCH($F196,Allocators!$E:$E,0)),1)</f>
        <v>1</v>
      </c>
      <c r="I196" s="183" t="s">
        <v>637</v>
      </c>
      <c r="J196" s="514"/>
      <c r="K196" s="514"/>
      <c r="L196" s="603">
        <f t="shared" ref="L196:AA196" si="44">SUM(L194:L195)</f>
        <v>0.60426623048827854</v>
      </c>
      <c r="M196" s="603">
        <f t="shared" si="44"/>
        <v>0.58300690206094519</v>
      </c>
      <c r="N196" s="603">
        <f t="shared" si="44"/>
        <v>0.58300690206094519</v>
      </c>
      <c r="O196" s="603">
        <f t="shared" si="44"/>
        <v>0.58300690206094519</v>
      </c>
      <c r="P196" s="603">
        <f t="shared" si="44"/>
        <v>0.58300690206094519</v>
      </c>
      <c r="Q196" s="603">
        <f t="shared" si="44"/>
        <v>0.58300690206094519</v>
      </c>
      <c r="R196" s="603">
        <f t="shared" si="44"/>
        <v>0.58300690206094519</v>
      </c>
      <c r="S196" s="603">
        <f t="shared" si="44"/>
        <v>0.58300690206094519</v>
      </c>
      <c r="T196" s="603">
        <f t="shared" si="44"/>
        <v>0.58300690206094519</v>
      </c>
      <c r="U196" s="603">
        <f t="shared" si="44"/>
        <v>0.58300690206094519</v>
      </c>
      <c r="V196" s="603">
        <f t="shared" si="44"/>
        <v>0.58300690206094519</v>
      </c>
      <c r="W196" s="603">
        <f t="shared" si="44"/>
        <v>0.58300690206094519</v>
      </c>
      <c r="X196" s="603">
        <f t="shared" si="44"/>
        <v>0.58300690206094519</v>
      </c>
      <c r="Y196" s="603">
        <f t="shared" si="44"/>
        <v>0.58300690206094519</v>
      </c>
      <c r="Z196" s="603">
        <f t="shared" si="44"/>
        <v>0.58300690206094519</v>
      </c>
      <c r="AA196" s="609">
        <f t="shared" si="44"/>
        <v>0.61497254470858742</v>
      </c>
    </row>
    <row r="197" spans="2:27" x14ac:dyDescent="0.2">
      <c r="B197" s="564" t="str">
        <f t="shared" si="39"/>
        <v>Wheat Standalone (Starch).Remove inflation factors</v>
      </c>
      <c r="C197" s="564" t="str">
        <f t="shared" si="40"/>
        <v>Wheat Standalone (Starch)</v>
      </c>
      <c r="G197">
        <f>IFERROR(INDEX(Allocators!$C:$C,MATCH($F197,Allocators!$E:$E,0)),0)</f>
        <v>0</v>
      </c>
      <c r="H197">
        <f>IFERROR(INDEX(Allocators!$D:$D,MATCH($F197,Allocators!$E:$E,0)),1)</f>
        <v>1</v>
      </c>
      <c r="I197" s="215" t="s">
        <v>544</v>
      </c>
      <c r="J197" s="179"/>
      <c r="K197" s="179"/>
      <c r="L197" s="179"/>
      <c r="M197" s="179"/>
      <c r="N197" s="179"/>
      <c r="O197" s="179"/>
      <c r="P197" s="179"/>
      <c r="Q197" s="179"/>
      <c r="R197" s="179"/>
      <c r="S197" s="179"/>
      <c r="T197" s="179"/>
      <c r="U197" s="179"/>
      <c r="V197" s="179"/>
      <c r="W197" s="179"/>
      <c r="X197" s="179"/>
      <c r="Y197" s="179"/>
      <c r="Z197" s="179"/>
    </row>
    <row r="198" spans="2:27" x14ac:dyDescent="0.2">
      <c r="B198" s="564" t="str">
        <f t="shared" si="39"/>
        <v>Wheat Standalone (Starch).</v>
      </c>
      <c r="C198" s="564" t="str">
        <f t="shared" si="40"/>
        <v>Wheat Standalone (Starch)</v>
      </c>
      <c r="G198">
        <f>IFERROR(INDEX(Allocators!$C:$C,MATCH($F198,Allocators!$E:$E,0)),0)</f>
        <v>0</v>
      </c>
      <c r="H198">
        <f>IFERROR(INDEX(Allocators!$D:$D,MATCH($F198,Allocators!$E:$E,0)),1)</f>
        <v>1</v>
      </c>
      <c r="I198" s="208"/>
      <c r="J198" s="179"/>
      <c r="K198" s="179"/>
      <c r="L198" s="179"/>
      <c r="M198" s="179"/>
      <c r="N198" s="179"/>
      <c r="O198" s="179"/>
      <c r="P198" s="179"/>
      <c r="Q198" s="179"/>
      <c r="R198" s="179"/>
      <c r="S198" s="179"/>
      <c r="T198" s="179"/>
      <c r="U198" s="179"/>
      <c r="V198" s="179"/>
      <c r="W198" s="179"/>
      <c r="X198" s="179"/>
      <c r="Y198" s="179"/>
      <c r="Z198" s="179"/>
    </row>
    <row r="199" spans="2:27" x14ac:dyDescent="0.2">
      <c r="B199" s="564" t="str">
        <f t="shared" si="39"/>
        <v>Wheat Standalone (Starch).Feedstock</v>
      </c>
      <c r="C199" s="564" t="str">
        <f t="shared" si="40"/>
        <v>Wheat Standalone (Starch)</v>
      </c>
      <c r="G199">
        <f>IFERROR(INDEX(Allocators!$C:$C,MATCH($F199,Allocators!$E:$E,0)),0)</f>
        <v>0</v>
      </c>
      <c r="H199">
        <f>IFERROR(INDEX(Allocators!$D:$D,MATCH($F199,Allocators!$E:$E,0)),1)</f>
        <v>1</v>
      </c>
      <c r="I199" s="341" t="s">
        <v>285</v>
      </c>
      <c r="K199" s="179"/>
      <c r="L199" s="610">
        <f>AA184</f>
        <v>0.40460232575607785</v>
      </c>
      <c r="M199" s="179"/>
      <c r="N199" s="179"/>
      <c r="O199" s="179"/>
      <c r="P199" s="179"/>
      <c r="Q199" s="179"/>
      <c r="R199" s="179"/>
      <c r="S199" s="179"/>
      <c r="T199" s="179"/>
      <c r="U199" s="179"/>
      <c r="V199" s="179"/>
      <c r="W199" s="179"/>
      <c r="X199" s="179"/>
      <c r="Y199" s="179"/>
      <c r="Z199" s="179"/>
    </row>
    <row r="200" spans="2:27" x14ac:dyDescent="0.2">
      <c r="B200" s="564" t="str">
        <f t="shared" si="39"/>
        <v>Wheat Standalone (Starch).Direct Costs</v>
      </c>
      <c r="C200" s="564" t="str">
        <f t="shared" si="40"/>
        <v>Wheat Standalone (Starch)</v>
      </c>
      <c r="G200">
        <f>IFERROR(INDEX(Allocators!$C:$C,MATCH($F200,Allocators!$E:$E,0)),0)</f>
        <v>0</v>
      </c>
      <c r="H200">
        <f>IFERROR(INDEX(Allocators!$D:$D,MATCH($F200,Allocators!$E:$E,0)),1)</f>
        <v>1</v>
      </c>
      <c r="I200" s="341" t="s">
        <v>526</v>
      </c>
      <c r="L200" s="610">
        <f>SUM(AA185:AA186,AA190)</f>
        <v>0.16489243992072367</v>
      </c>
    </row>
    <row r="201" spans="2:27" x14ac:dyDescent="0.2">
      <c r="B201" s="564" t="str">
        <f t="shared" si="39"/>
        <v>Wheat Standalone (Starch).Maintenance</v>
      </c>
      <c r="C201" s="564" t="str">
        <f t="shared" si="40"/>
        <v>Wheat Standalone (Starch)</v>
      </c>
      <c r="G201">
        <f>IFERROR(INDEX(Allocators!$C:$C,MATCH($F201,Allocators!$E:$E,0)),0)</f>
        <v>0</v>
      </c>
      <c r="H201">
        <f>IFERROR(INDEX(Allocators!$D:$D,MATCH($F201,Allocators!$E:$E,0)),1)</f>
        <v>1</v>
      </c>
      <c r="I201" s="341" t="s">
        <v>218</v>
      </c>
      <c r="L201" s="610">
        <f>AA187</f>
        <v>4.6959051621599975E-2</v>
      </c>
    </row>
    <row r="202" spans="2:27" x14ac:dyDescent="0.2">
      <c r="B202" s="564" t="str">
        <f t="shared" si="39"/>
        <v>Wheat Standalone (Starch).Indirect Costs</v>
      </c>
      <c r="C202" s="564" t="str">
        <f t="shared" si="40"/>
        <v>Wheat Standalone (Starch)</v>
      </c>
      <c r="G202">
        <f>IFERROR(INDEX(Allocators!$C:$C,MATCH($F202,Allocators!$E:$E,0)),0)</f>
        <v>0</v>
      </c>
      <c r="H202">
        <f>IFERROR(INDEX(Allocators!$D:$D,MATCH($F202,Allocators!$E:$E,0)),1)</f>
        <v>1</v>
      </c>
      <c r="I202" s="341" t="s">
        <v>527</v>
      </c>
      <c r="L202" s="610">
        <f>SUM(AA188:AA189)</f>
        <v>4.6837000000000011E-2</v>
      </c>
    </row>
    <row r="203" spans="2:27" x14ac:dyDescent="0.2">
      <c r="B203" s="564" t="str">
        <f t="shared" si="39"/>
        <v>Wheat Standalone (Starch).Finance</v>
      </c>
      <c r="C203" s="564" t="str">
        <f t="shared" si="40"/>
        <v>Wheat Standalone (Starch)</v>
      </c>
      <c r="G203">
        <f>IFERROR(INDEX(Allocators!$C:$C,MATCH($F203,Allocators!$E:$E,0)),0)</f>
        <v>0</v>
      </c>
      <c r="H203">
        <f>IFERROR(INDEX(Allocators!$D:$D,MATCH($F203,Allocators!$E:$E,0)),1)</f>
        <v>1</v>
      </c>
      <c r="I203" s="341" t="s">
        <v>528</v>
      </c>
      <c r="L203" s="610">
        <f>SUM(AA192:AA193)</f>
        <v>8.0698576308042141E-2</v>
      </c>
    </row>
    <row r="204" spans="2:27" ht="13.5" thickBot="1" x14ac:dyDescent="0.25">
      <c r="B204" s="564" t="str">
        <f t="shared" si="39"/>
        <v>Wheat Standalone (Starch).Total production</v>
      </c>
      <c r="C204" s="564" t="str">
        <f t="shared" si="40"/>
        <v>Wheat Standalone (Starch)</v>
      </c>
      <c r="G204">
        <f>IFERROR(INDEX(Allocators!$C:$C,MATCH($F204,Allocators!$E:$E,0)),0)</f>
        <v>0</v>
      </c>
      <c r="H204">
        <f>IFERROR(INDEX(Allocators!$D:$D,MATCH($F204,Allocators!$E:$E,0)),1)</f>
        <v>1</v>
      </c>
      <c r="I204" s="183" t="s">
        <v>467</v>
      </c>
      <c r="L204" s="603">
        <f>SUM(L199:L203)</f>
        <v>0.74398939360644356</v>
      </c>
      <c r="M204" s="561" t="str">
        <f>IF(ROUND(L204,4)=ROUND(AA194,4),"", "Error - Totals are not equal")</f>
        <v/>
      </c>
    </row>
    <row r="205" spans="2:27" x14ac:dyDescent="0.2">
      <c r="B205" s="564" t="str">
        <f t="shared" si="39"/>
        <v>Wheat Standalone (Starch).Co-product credit</v>
      </c>
      <c r="C205" s="564" t="str">
        <f t="shared" si="40"/>
        <v>Wheat Standalone (Starch)</v>
      </c>
      <c r="G205">
        <f>IFERROR(INDEX(Allocators!$C:$C,MATCH($F205,Allocators!$E:$E,0)),0)</f>
        <v>0</v>
      </c>
      <c r="H205">
        <f>IFERROR(INDEX(Allocators!$D:$D,MATCH($F205,Allocators!$E:$E,0)),1)</f>
        <v>1</v>
      </c>
      <c r="I205" s="515" t="s">
        <v>635</v>
      </c>
      <c r="L205" s="611">
        <f>AA195</f>
        <v>-0.12901684889785631</v>
      </c>
    </row>
    <row r="206" spans="2:27" ht="13.5" thickBot="1" x14ac:dyDescent="0.25">
      <c r="B206" s="564" t="str">
        <f t="shared" si="39"/>
        <v>Wheat Standalone (Starch).Net production cost</v>
      </c>
      <c r="C206" s="564" t="str">
        <f t="shared" si="40"/>
        <v>Wheat Standalone (Starch)</v>
      </c>
      <c r="G206">
        <f>IFERROR(INDEX(Allocators!$C:$C,MATCH($F206,Allocators!$E:$E,0)),0)</f>
        <v>0</v>
      </c>
      <c r="H206">
        <f>IFERROR(INDEX(Allocators!$D:$D,MATCH($F206,Allocators!$E:$E,0)),1)</f>
        <v>1</v>
      </c>
      <c r="I206" s="183" t="s">
        <v>634</v>
      </c>
      <c r="L206" s="603">
        <f>SUM(L204:L205)</f>
        <v>0.6149725447085872</v>
      </c>
      <c r="M206" s="561" t="str">
        <f>IF(L206=AA196,"", "Error - Totals are not equal")</f>
        <v/>
      </c>
    </row>
    <row r="207" spans="2:27" x14ac:dyDescent="0.2">
      <c r="B207" s="564" t="str">
        <f t="shared" si="39"/>
        <v>Wheat Standalone (Starch).</v>
      </c>
      <c r="C207" s="564" t="str">
        <f t="shared" si="40"/>
        <v>Wheat Standalone (Starch)</v>
      </c>
      <c r="G207">
        <f>IFERROR(INDEX(Allocators!$C:$C,MATCH($F207,Allocators!$E:$E,0)),0)</f>
        <v>0</v>
      </c>
      <c r="H207">
        <f>IFERROR(INDEX(Allocators!$D:$D,MATCH($F207,Allocators!$E:$E,0)),1)</f>
        <v>1</v>
      </c>
    </row>
    <row r="208" spans="2:27" x14ac:dyDescent="0.2">
      <c r="B208" s="564" t="str">
        <f t="shared" si="39"/>
        <v>Wheat Standalone (Starch).Capital Cost ($'000)</v>
      </c>
      <c r="C208" s="564" t="str">
        <f t="shared" si="40"/>
        <v>Wheat Standalone (Starch)</v>
      </c>
      <c r="F208" s="511"/>
      <c r="G208" s="251">
        <f>IFERROR(INDEX(Allocators!$C:$C,MATCH($F208,Allocators!$E:$E,0)),0)</f>
        <v>0</v>
      </c>
      <c r="H208" s="510">
        <f>IFERROR(INDEX(Allocators!$D:$D,MATCH($F208,Allocators!$E:$E,0)),1)</f>
        <v>1</v>
      </c>
      <c r="I208" s="341" t="s">
        <v>530</v>
      </c>
      <c r="L208" s="612">
        <f>SUM('Wheat Standalone (Starch)'!J268:K268)*'Costs per L'!H208*10^6</f>
        <v>147180000</v>
      </c>
    </row>
    <row r="209" spans="2:28" ht="13.5" thickBot="1" x14ac:dyDescent="0.25">
      <c r="B209" s="564" t="str">
        <f t="shared" si="39"/>
        <v>Wheat Standalone (Starch).Capital Cost per L</v>
      </c>
      <c r="C209" s="564" t="str">
        <f t="shared" si="40"/>
        <v>Wheat Standalone (Starch)</v>
      </c>
      <c r="G209">
        <f>IFERROR(INDEX(Allocators!$C:$C,MATCH($F209,Allocators!$E:$E,0)),0)</f>
        <v>0</v>
      </c>
      <c r="H209">
        <f>IFERROR(INDEX(Allocators!$D:$D,MATCH($F209,Allocators!$E:$E,0)),1)</f>
        <v>1</v>
      </c>
      <c r="I209" s="183" t="s">
        <v>529</v>
      </c>
      <c r="L209" s="603">
        <f>L208/($O$2*10^6)</f>
        <v>1.4718</v>
      </c>
    </row>
    <row r="210" spans="2:28" x14ac:dyDescent="0.2">
      <c r="B210" s="564" t="str">
        <f t="shared" si="39"/>
        <v>Wheat Standalone (Starch).</v>
      </c>
      <c r="C210" s="564" t="str">
        <f t="shared" si="40"/>
        <v>Wheat Standalone (Starch)</v>
      </c>
    </row>
    <row r="211" spans="2:28" x14ac:dyDescent="0.2">
      <c r="B211" s="564" t="str">
        <f t="shared" si="39"/>
        <v>Wheat Standalone (Starch).</v>
      </c>
      <c r="C211" s="564" t="str">
        <f t="shared" si="40"/>
        <v>Wheat Standalone (Starch)</v>
      </c>
    </row>
    <row r="212" spans="2:28" x14ac:dyDescent="0.2">
      <c r="B212" s="564" t="str">
        <f t="shared" si="39"/>
        <v>Wheat Standalone (Starch).</v>
      </c>
      <c r="C212" s="564" t="str">
        <f t="shared" si="40"/>
        <v>Wheat Standalone (Starch)</v>
      </c>
    </row>
    <row r="213" spans="2:28" x14ac:dyDescent="0.2">
      <c r="B213" s="564" t="str">
        <f t="shared" si="39"/>
        <v>Cane trash (Cellulosic).</v>
      </c>
      <c r="C213" s="564" t="str">
        <f t="shared" si="40"/>
        <v>Cane trash (Cellulosic)</v>
      </c>
      <c r="D213" s="615"/>
      <c r="E213" s="558" t="s">
        <v>821</v>
      </c>
      <c r="F213" s="559"/>
      <c r="G213" s="559">
        <f>IFERROR(INDEX(Allocators!$C:$C,MATCH($F213,Allocators!$E:$E,0)),0)</f>
        <v>0</v>
      </c>
      <c r="H213" s="559">
        <f>IFERROR(INDEX(Allocators!$D:$D,MATCH($F213,Allocators!$E:$E,0)),1)</f>
        <v>1</v>
      </c>
      <c r="I213" s="560"/>
      <c r="J213" s="560"/>
      <c r="K213" s="560"/>
      <c r="L213" s="560"/>
      <c r="M213" s="560"/>
      <c r="N213" s="560"/>
      <c r="O213" s="560"/>
      <c r="P213" s="560"/>
      <c r="Q213" s="560"/>
      <c r="R213" s="560"/>
      <c r="S213" s="560"/>
      <c r="T213" s="560"/>
      <c r="U213" s="560"/>
      <c r="V213" s="560"/>
      <c r="W213" s="560"/>
      <c r="X213" s="560"/>
      <c r="Y213" s="560"/>
      <c r="Z213" s="560"/>
      <c r="AA213" s="560"/>
      <c r="AB213" s="615"/>
    </row>
    <row r="214" spans="2:28" x14ac:dyDescent="0.2">
      <c r="B214" s="564">
        <f t="shared" si="39"/>
        <v>0</v>
      </c>
      <c r="C214" s="564" t="str">
        <f t="shared" si="40"/>
        <v>Cane trash (Cellulosic)</v>
      </c>
      <c r="D214" s="157">
        <v>1</v>
      </c>
      <c r="E214" s="157"/>
      <c r="F214" s="252"/>
      <c r="G214" s="251">
        <f>IFERROR(INDEX(Allocators!$C:$C,MATCH($F214,Allocators!$E:$E,0)),0)</f>
        <v>0</v>
      </c>
      <c r="H214" s="258">
        <f>IFERROR(INDEX(Allocators!$D:$D,MATCH($F214,Allocators!$E:$E,0)),1)</f>
        <v>1</v>
      </c>
      <c r="I214" s="207" t="s">
        <v>285</v>
      </c>
      <c r="J214" s="205"/>
      <c r="K214" s="205"/>
      <c r="L214" s="205">
        <f>-SUMIF('Cane trash (Cellulosic)'!$C:$C,'Costs per L'!$D214,'Cane trash (Cellulosic)'!L:L)/($O$2*10^6)*$H214/L$5</f>
        <v>0.12976769853356743</v>
      </c>
      <c r="M214" s="205">
        <f>-SUMIF('Cane trash (Cellulosic)'!$C:$C,'Costs per L'!$D214,'Cane trash (Cellulosic)'!M:M)/($O$2*10^6)*$H214/M$5</f>
        <v>0.12976769853356743</v>
      </c>
      <c r="N214" s="205">
        <f>-SUMIF('Cane trash (Cellulosic)'!$C:$C,'Costs per L'!$D214,'Cane trash (Cellulosic)'!N:N)/($O$2*10^6)*$H214/N$5</f>
        <v>0.12976769853356743</v>
      </c>
      <c r="O214" s="205">
        <f>-SUMIF('Cane trash (Cellulosic)'!$C:$C,'Costs per L'!$D214,'Cane trash (Cellulosic)'!O:O)/($O$2*10^6)*$H214/O$5</f>
        <v>0.12976769853356743</v>
      </c>
      <c r="P214" s="205">
        <f>-SUMIF('Cane trash (Cellulosic)'!$C:$C,'Costs per L'!$D214,'Cane trash (Cellulosic)'!P:P)/($O$2*10^6)*$H214/P$5</f>
        <v>0.12976769853356743</v>
      </c>
      <c r="Q214" s="205">
        <f>-SUMIF('Cane trash (Cellulosic)'!$C:$C,'Costs per L'!$D214,'Cane trash (Cellulosic)'!Q:Q)/($O$2*10^6)*$H214/Q$5</f>
        <v>0.12976769853356743</v>
      </c>
      <c r="R214" s="205">
        <f>-SUMIF('Cane trash (Cellulosic)'!$C:$C,'Costs per L'!$D214,'Cane trash (Cellulosic)'!R:R)/($O$2*10^6)*$H214/R$5</f>
        <v>0.12976769853356743</v>
      </c>
      <c r="S214" s="205">
        <f>-SUMIF('Cane trash (Cellulosic)'!$C:$C,'Costs per L'!$D214,'Cane trash (Cellulosic)'!S:S)/($O$2*10^6)*$H214/S$5</f>
        <v>0.12976769853356743</v>
      </c>
      <c r="T214" s="205">
        <f>-SUMIF('Cane trash (Cellulosic)'!$C:$C,'Costs per L'!$D214,'Cane trash (Cellulosic)'!T:T)/($O$2*10^6)*$H214/T$5</f>
        <v>0.12976769853356743</v>
      </c>
      <c r="U214" s="205">
        <f>-SUMIF('Cane trash (Cellulosic)'!$C:$C,'Costs per L'!$D214,'Cane trash (Cellulosic)'!U:U)/($O$2*10^6)*$H214/U$5</f>
        <v>0.12976769853356743</v>
      </c>
      <c r="V214" s="205">
        <f>-SUMIF('Cane trash (Cellulosic)'!$C:$C,'Costs per L'!$D214,'Cane trash (Cellulosic)'!V:V)/($O$2*10^6)*$H214/V$5</f>
        <v>0.12976769853356743</v>
      </c>
      <c r="W214" s="205">
        <f>-SUMIF('Cane trash (Cellulosic)'!$C:$C,'Costs per L'!$D214,'Cane trash (Cellulosic)'!W:W)/($O$2*10^6)*$H214/W$5</f>
        <v>0.12976769853356743</v>
      </c>
      <c r="X214" s="205">
        <f>-SUMIF('Cane trash (Cellulosic)'!$C:$C,'Costs per L'!$D214,'Cane trash (Cellulosic)'!X:X)/($O$2*10^6)*$H214/X$5</f>
        <v>0.12976769853356743</v>
      </c>
      <c r="Y214" s="205">
        <f>-SUMIF('Cane trash (Cellulosic)'!$C:$C,'Costs per L'!$D214,'Cane trash (Cellulosic)'!Y:Y)/($O$2*10^6)*$H214/Y$5</f>
        <v>0.12976769853356743</v>
      </c>
      <c r="Z214" s="205">
        <f>-SUMIF('Cane trash (Cellulosic)'!$C:$C,'Costs per L'!$D214,'Cane trash (Cellulosic)'!Z:Z)/($O$2*10^6)*$H214/Z$5</f>
        <v>0.12976769853356743</v>
      </c>
      <c r="AA214" s="728">
        <f t="shared" ref="AA214:AA223" si="45">AVERAGE(L214:Z214)</f>
        <v>0.12976769853356743</v>
      </c>
      <c r="AB214" s="615"/>
    </row>
    <row r="215" spans="2:28" x14ac:dyDescent="0.2">
      <c r="B215" s="564">
        <f t="shared" si="39"/>
        <v>0</v>
      </c>
      <c r="C215" s="564" t="str">
        <f t="shared" si="40"/>
        <v>Cane trash (Cellulosic)</v>
      </c>
      <c r="D215" s="157">
        <v>2</v>
      </c>
      <c r="E215" s="157"/>
      <c r="F215" s="252"/>
      <c r="G215" s="251">
        <f>IFERROR(INDEX(Allocators!$C:$C,MATCH($F215,Allocators!$E:$E,0)),0)</f>
        <v>0</v>
      </c>
      <c r="H215" s="258">
        <f>IFERROR(INDEX(Allocators!$D:$D,MATCH($F215,Allocators!$E:$E,0)),1)</f>
        <v>1</v>
      </c>
      <c r="I215" s="207" t="s">
        <v>86</v>
      </c>
      <c r="J215" s="206"/>
      <c r="K215" s="206"/>
      <c r="L215" s="206">
        <f>-SUMIF('Cane trash (Cellulosic)'!$C:$C,'Costs per L'!$D215,'Cane trash (Cellulosic)'!L:L)/($O$2*10^6)*$H215/L$5</f>
        <v>0.29625153525787606</v>
      </c>
      <c r="M215" s="206">
        <f>-SUMIF('Cane trash (Cellulosic)'!$C:$C,'Costs per L'!$D215,'Cane trash (Cellulosic)'!M:M)/($O$2*10^6)*$H215/M$5</f>
        <v>0.29625153525787606</v>
      </c>
      <c r="N215" s="206">
        <f>-SUMIF('Cane trash (Cellulosic)'!$C:$C,'Costs per L'!$D215,'Cane trash (Cellulosic)'!N:N)/($O$2*10^6)*$H215/N$5</f>
        <v>0.29625153525787606</v>
      </c>
      <c r="O215" s="206">
        <f>-SUMIF('Cane trash (Cellulosic)'!$C:$C,'Costs per L'!$D215,'Cane trash (Cellulosic)'!O:O)/($O$2*10^6)*$H215/O$5</f>
        <v>0.29625153525787606</v>
      </c>
      <c r="P215" s="206">
        <f>-SUMIF('Cane trash (Cellulosic)'!$C:$C,'Costs per L'!$D215,'Cane trash (Cellulosic)'!P:P)/($O$2*10^6)*$H215/P$5</f>
        <v>0.29625153525787606</v>
      </c>
      <c r="Q215" s="206">
        <f>-SUMIF('Cane trash (Cellulosic)'!$C:$C,'Costs per L'!$D215,'Cane trash (Cellulosic)'!Q:Q)/($O$2*10^6)*$H215/Q$5</f>
        <v>0.29625153525787606</v>
      </c>
      <c r="R215" s="206">
        <f>-SUMIF('Cane trash (Cellulosic)'!$C:$C,'Costs per L'!$D215,'Cane trash (Cellulosic)'!R:R)/($O$2*10^6)*$H215/R$5</f>
        <v>0.29625153525787606</v>
      </c>
      <c r="S215" s="206">
        <f>-SUMIF('Cane trash (Cellulosic)'!$C:$C,'Costs per L'!$D215,'Cane trash (Cellulosic)'!S:S)/($O$2*10^6)*$H215/S$5</f>
        <v>0.29625153525787606</v>
      </c>
      <c r="T215" s="206">
        <f>-SUMIF('Cane trash (Cellulosic)'!$C:$C,'Costs per L'!$D215,'Cane trash (Cellulosic)'!T:T)/($O$2*10^6)*$H215/T$5</f>
        <v>0.29625153525787606</v>
      </c>
      <c r="U215" s="206">
        <f>-SUMIF('Cane trash (Cellulosic)'!$C:$C,'Costs per L'!$D215,'Cane trash (Cellulosic)'!U:U)/($O$2*10^6)*$H215/U$5</f>
        <v>0.29625153525787606</v>
      </c>
      <c r="V215" s="206">
        <f>-SUMIF('Cane trash (Cellulosic)'!$C:$C,'Costs per L'!$D215,'Cane trash (Cellulosic)'!V:V)/($O$2*10^6)*$H215/V$5</f>
        <v>0.29625153525787606</v>
      </c>
      <c r="W215" s="206">
        <f>-SUMIF('Cane trash (Cellulosic)'!$C:$C,'Costs per L'!$D215,'Cane trash (Cellulosic)'!W:W)/($O$2*10^6)*$H215/W$5</f>
        <v>0.29625153525787606</v>
      </c>
      <c r="X215" s="206">
        <f>-SUMIF('Cane trash (Cellulosic)'!$C:$C,'Costs per L'!$D215,'Cane trash (Cellulosic)'!X:X)/($O$2*10^6)*$H215/X$5</f>
        <v>0.29625153525787606</v>
      </c>
      <c r="Y215" s="206">
        <f>-SUMIF('Cane trash (Cellulosic)'!$C:$C,'Costs per L'!$D215,'Cane trash (Cellulosic)'!Y:Y)/($O$2*10^6)*$H215/Y$5</f>
        <v>0.29625153525787606</v>
      </c>
      <c r="Z215" s="206">
        <f>-SUMIF('Cane trash (Cellulosic)'!$C:$C,'Costs per L'!$D215,'Cane trash (Cellulosic)'!Z:Z)/($O$2*10^6)*$H215/Z$5</f>
        <v>0.29625153525787606</v>
      </c>
      <c r="AA215" s="729">
        <f t="shared" si="45"/>
        <v>0.29625153525787606</v>
      </c>
      <c r="AB215" s="615"/>
    </row>
    <row r="216" spans="2:28" x14ac:dyDescent="0.2">
      <c r="B216" s="564">
        <f t="shared" si="39"/>
        <v>0</v>
      </c>
      <c r="C216" s="564" t="str">
        <f t="shared" si="40"/>
        <v>Cane trash (Cellulosic)</v>
      </c>
      <c r="D216" s="157">
        <v>3</v>
      </c>
      <c r="E216" s="157"/>
      <c r="F216" s="252"/>
      <c r="G216" s="251">
        <f>IFERROR(INDEX(Allocators!$C:$C,MATCH($F216,Allocators!$E:$E,0)),0)</f>
        <v>0</v>
      </c>
      <c r="H216" s="258">
        <f>IFERROR(INDEX(Allocators!$D:$D,MATCH($F216,Allocators!$E:$E,0)),1)</f>
        <v>1</v>
      </c>
      <c r="I216" s="207" t="s">
        <v>129</v>
      </c>
      <c r="J216" s="206"/>
      <c r="K216" s="206"/>
      <c r="L216" s="206">
        <f>-SUMIF('Cane trash (Cellulosic)'!$C:$C,'Costs per L'!$D216,'Cane trash (Cellulosic)'!L:L)/($O$2*10^6)*$H216/L$5</f>
        <v>7.801843600000001E-2</v>
      </c>
      <c r="M216" s="206">
        <f>-SUMIF('Cane trash (Cellulosic)'!$C:$C,'Costs per L'!$D216,'Cane trash (Cellulosic)'!M:M)/($O$2*10^6)*$H216/M$5</f>
        <v>7.8018435999999997E-2</v>
      </c>
      <c r="N216" s="206">
        <f>-SUMIF('Cane trash (Cellulosic)'!$C:$C,'Costs per L'!$D216,'Cane trash (Cellulosic)'!N:N)/($O$2*10^6)*$H216/N$5</f>
        <v>7.8018435999999997E-2</v>
      </c>
      <c r="O216" s="206">
        <f>-SUMIF('Cane trash (Cellulosic)'!$C:$C,'Costs per L'!$D216,'Cane trash (Cellulosic)'!O:O)/($O$2*10^6)*$H216/O$5</f>
        <v>7.8018435999999997E-2</v>
      </c>
      <c r="P216" s="206">
        <f>-SUMIF('Cane trash (Cellulosic)'!$C:$C,'Costs per L'!$D216,'Cane trash (Cellulosic)'!P:P)/($O$2*10^6)*$H216/P$5</f>
        <v>7.8018435999999997E-2</v>
      </c>
      <c r="Q216" s="206">
        <f>-SUMIF('Cane trash (Cellulosic)'!$C:$C,'Costs per L'!$D216,'Cane trash (Cellulosic)'!Q:Q)/($O$2*10^6)*$H216/Q$5</f>
        <v>7.8018435999999997E-2</v>
      </c>
      <c r="R216" s="206">
        <f>-SUMIF('Cane trash (Cellulosic)'!$C:$C,'Costs per L'!$D216,'Cane trash (Cellulosic)'!R:R)/($O$2*10^6)*$H216/R$5</f>
        <v>7.8018435999999997E-2</v>
      </c>
      <c r="S216" s="206">
        <f>-SUMIF('Cane trash (Cellulosic)'!$C:$C,'Costs per L'!$D216,'Cane trash (Cellulosic)'!S:S)/($O$2*10^6)*$H216/S$5</f>
        <v>7.8018435999999997E-2</v>
      </c>
      <c r="T216" s="206">
        <f>-SUMIF('Cane trash (Cellulosic)'!$C:$C,'Costs per L'!$D216,'Cane trash (Cellulosic)'!T:T)/($O$2*10^6)*$H216/T$5</f>
        <v>7.8018435999999997E-2</v>
      </c>
      <c r="U216" s="206">
        <f>-SUMIF('Cane trash (Cellulosic)'!$C:$C,'Costs per L'!$D216,'Cane trash (Cellulosic)'!U:U)/($O$2*10^6)*$H216/U$5</f>
        <v>7.8018435999999997E-2</v>
      </c>
      <c r="V216" s="206">
        <f>-SUMIF('Cane trash (Cellulosic)'!$C:$C,'Costs per L'!$D216,'Cane trash (Cellulosic)'!V:V)/($O$2*10^6)*$H216/V$5</f>
        <v>7.8018435999999997E-2</v>
      </c>
      <c r="W216" s="206">
        <f>-SUMIF('Cane trash (Cellulosic)'!$C:$C,'Costs per L'!$D216,'Cane trash (Cellulosic)'!W:W)/($O$2*10^6)*$H216/W$5</f>
        <v>7.8018435999999997E-2</v>
      </c>
      <c r="X216" s="206">
        <f>-SUMIF('Cane trash (Cellulosic)'!$C:$C,'Costs per L'!$D216,'Cane trash (Cellulosic)'!X:X)/($O$2*10^6)*$H216/X$5</f>
        <v>7.8018435999999997E-2</v>
      </c>
      <c r="Y216" s="206">
        <f>-SUMIF('Cane trash (Cellulosic)'!$C:$C,'Costs per L'!$D216,'Cane trash (Cellulosic)'!Y:Y)/($O$2*10^6)*$H216/Y$5</f>
        <v>7.8018435999999997E-2</v>
      </c>
      <c r="Z216" s="206">
        <f>-SUMIF('Cane trash (Cellulosic)'!$C:$C,'Costs per L'!$D216,'Cane trash (Cellulosic)'!Z:Z)/($O$2*10^6)*$H216/Z$5</f>
        <v>7.8018435999999997E-2</v>
      </c>
      <c r="AA216" s="729">
        <f t="shared" si="45"/>
        <v>7.801843600000001E-2</v>
      </c>
      <c r="AB216" s="615"/>
    </row>
    <row r="217" spans="2:28" x14ac:dyDescent="0.2">
      <c r="B217" s="564">
        <f t="shared" si="39"/>
        <v>0</v>
      </c>
      <c r="C217" s="564" t="str">
        <f t="shared" si="40"/>
        <v>Cane trash (Cellulosic)</v>
      </c>
      <c r="D217" s="157">
        <v>4</v>
      </c>
      <c r="E217" s="157"/>
      <c r="F217" s="252"/>
      <c r="G217" s="251">
        <f>IFERROR(INDEX(Allocators!$C:$C,MATCH($F217,Allocators!$E:$E,0)),0)</f>
        <v>0</v>
      </c>
      <c r="H217" s="258">
        <f>IFERROR(INDEX(Allocators!$D:$D,MATCH($F217,Allocators!$E:$E,0)),1)</f>
        <v>1</v>
      </c>
      <c r="I217" s="207" t="s">
        <v>218</v>
      </c>
      <c r="J217" s="206"/>
      <c r="K217" s="206"/>
      <c r="L217" s="206">
        <f>-SUMIF('Cane trash (Cellulosic)'!$C:$C,'Costs per L'!$D217,'Cane trash (Cellulosic)'!L:L)/($O$2*10^6)*$H217/L$5</f>
        <v>0.13250085693825001</v>
      </c>
      <c r="M217" s="206">
        <f>-SUMIF('Cane trash (Cellulosic)'!$C:$C,'Costs per L'!$D217,'Cane trash (Cellulosic)'!M:M)/($O$2*10^6)*$H217/M$5</f>
        <v>0.1227770958286875</v>
      </c>
      <c r="N217" s="206">
        <f>-SUMIF('Cane trash (Cellulosic)'!$C:$C,'Costs per L'!$D217,'Cane trash (Cellulosic)'!N:N)/($O$2*10^6)*$H217/N$5</f>
        <v>0.1227770958286875</v>
      </c>
      <c r="O217" s="206">
        <f>-SUMIF('Cane trash (Cellulosic)'!$C:$C,'Costs per L'!$D217,'Cane trash (Cellulosic)'!O:O)/($O$2*10^6)*$H217/O$5</f>
        <v>0.1227770958286875</v>
      </c>
      <c r="P217" s="206">
        <f>-SUMIF('Cane trash (Cellulosic)'!$C:$C,'Costs per L'!$D217,'Cane trash (Cellulosic)'!P:P)/($O$2*10^6)*$H217/P$5</f>
        <v>0.1227770958286875</v>
      </c>
      <c r="Q217" s="206">
        <f>-SUMIF('Cane trash (Cellulosic)'!$C:$C,'Costs per L'!$D217,'Cane trash (Cellulosic)'!Q:Q)/($O$2*10^6)*$H217/Q$5</f>
        <v>0.1227770958286875</v>
      </c>
      <c r="R217" s="206">
        <f>-SUMIF('Cane trash (Cellulosic)'!$C:$C,'Costs per L'!$D217,'Cane trash (Cellulosic)'!R:R)/($O$2*10^6)*$H217/R$5</f>
        <v>0.1227770958286875</v>
      </c>
      <c r="S217" s="206">
        <f>-SUMIF('Cane trash (Cellulosic)'!$C:$C,'Costs per L'!$D217,'Cane trash (Cellulosic)'!S:S)/($O$2*10^6)*$H217/S$5</f>
        <v>0.1227770958286875</v>
      </c>
      <c r="T217" s="206">
        <f>-SUMIF('Cane trash (Cellulosic)'!$C:$C,'Costs per L'!$D217,'Cane trash (Cellulosic)'!T:T)/($O$2*10^6)*$H217/T$5</f>
        <v>0.1227770958286875</v>
      </c>
      <c r="U217" s="206">
        <f>-SUMIF('Cane trash (Cellulosic)'!$C:$C,'Costs per L'!$D217,'Cane trash (Cellulosic)'!U:U)/($O$2*10^6)*$H217/U$5</f>
        <v>0.1227770958286875</v>
      </c>
      <c r="V217" s="206">
        <f>-SUMIF('Cane trash (Cellulosic)'!$C:$C,'Costs per L'!$D217,'Cane trash (Cellulosic)'!V:V)/($O$2*10^6)*$H217/V$5</f>
        <v>0.1227770958286875</v>
      </c>
      <c r="W217" s="206">
        <f>-SUMIF('Cane trash (Cellulosic)'!$C:$C,'Costs per L'!$D217,'Cane trash (Cellulosic)'!W:W)/($O$2*10^6)*$H217/W$5</f>
        <v>0.1227770958286875</v>
      </c>
      <c r="X217" s="206">
        <f>-SUMIF('Cane trash (Cellulosic)'!$C:$C,'Costs per L'!$D217,'Cane trash (Cellulosic)'!X:X)/($O$2*10^6)*$H217/X$5</f>
        <v>0.1227770958286875</v>
      </c>
      <c r="Y217" s="206">
        <f>-SUMIF('Cane trash (Cellulosic)'!$C:$C,'Costs per L'!$D217,'Cane trash (Cellulosic)'!Y:Y)/($O$2*10^6)*$H217/Y$5</f>
        <v>0.1227770958286875</v>
      </c>
      <c r="Z217" s="206">
        <f>-SUMIF('Cane trash (Cellulosic)'!$C:$C,'Costs per L'!$D217,'Cane trash (Cellulosic)'!Z:Z)/($O$2*10^6)*$H217/Z$5</f>
        <v>0.1227770958286875</v>
      </c>
      <c r="AA217" s="729">
        <f t="shared" si="45"/>
        <v>0.12342534656932501</v>
      </c>
      <c r="AB217" s="615"/>
    </row>
    <row r="218" spans="2:28" x14ac:dyDescent="0.2">
      <c r="B218" s="564">
        <f t="shared" si="39"/>
        <v>0</v>
      </c>
      <c r="C218" s="564" t="str">
        <f t="shared" si="40"/>
        <v>Cane trash (Cellulosic)</v>
      </c>
      <c r="D218" s="157">
        <v>5</v>
      </c>
      <c r="E218" s="157"/>
      <c r="F218" s="252"/>
      <c r="G218" s="251">
        <f>IFERROR(INDEX(Allocators!$C:$C,MATCH($F218,Allocators!$E:$E,0)),0)</f>
        <v>0</v>
      </c>
      <c r="H218" s="258">
        <f>IFERROR(INDEX(Allocators!$D:$D,MATCH($F218,Allocators!$E:$E,0)),1)</f>
        <v>1</v>
      </c>
      <c r="I218" s="207" t="s">
        <v>525</v>
      </c>
      <c r="J218" s="206"/>
      <c r="K218" s="206"/>
      <c r="L218" s="206">
        <f>-SUMIF('Cane trash (Cellulosic)'!$C:$C,'Costs per L'!$D218,'Cane trash (Cellulosic)'!L:L)/($O$2*10^6)*$H218/L$5</f>
        <v>3.7740000000000003E-2</v>
      </c>
      <c r="M218" s="206">
        <f>-SUMIF('Cane trash (Cellulosic)'!$C:$C,'Costs per L'!$D218,'Cane trash (Cellulosic)'!M:M)/($O$2*10^6)*$H218/M$5</f>
        <v>3.7740000000000003E-2</v>
      </c>
      <c r="N218" s="206">
        <f>-SUMIF('Cane trash (Cellulosic)'!$C:$C,'Costs per L'!$D218,'Cane trash (Cellulosic)'!N:N)/($O$2*10^6)*$H218/N$5</f>
        <v>3.7740000000000003E-2</v>
      </c>
      <c r="O218" s="206">
        <f>-SUMIF('Cane trash (Cellulosic)'!$C:$C,'Costs per L'!$D218,'Cane trash (Cellulosic)'!O:O)/($O$2*10^6)*$H218/O$5</f>
        <v>3.7740000000000003E-2</v>
      </c>
      <c r="P218" s="206">
        <f>-SUMIF('Cane trash (Cellulosic)'!$C:$C,'Costs per L'!$D218,'Cane trash (Cellulosic)'!P:P)/($O$2*10^6)*$H218/P$5</f>
        <v>3.7740000000000003E-2</v>
      </c>
      <c r="Q218" s="206">
        <f>-SUMIF('Cane trash (Cellulosic)'!$C:$C,'Costs per L'!$D218,'Cane trash (Cellulosic)'!Q:Q)/($O$2*10^6)*$H218/Q$5</f>
        <v>3.7740000000000003E-2</v>
      </c>
      <c r="R218" s="206">
        <f>-SUMIF('Cane trash (Cellulosic)'!$C:$C,'Costs per L'!$D218,'Cane trash (Cellulosic)'!R:R)/($O$2*10^6)*$H218/R$5</f>
        <v>3.7740000000000003E-2</v>
      </c>
      <c r="S218" s="206">
        <f>-SUMIF('Cane trash (Cellulosic)'!$C:$C,'Costs per L'!$D218,'Cane trash (Cellulosic)'!S:S)/($O$2*10^6)*$H218/S$5</f>
        <v>3.7740000000000003E-2</v>
      </c>
      <c r="T218" s="206">
        <f>-SUMIF('Cane trash (Cellulosic)'!$C:$C,'Costs per L'!$D218,'Cane trash (Cellulosic)'!T:T)/($O$2*10^6)*$H218/T$5</f>
        <v>3.7740000000000003E-2</v>
      </c>
      <c r="U218" s="206">
        <f>-SUMIF('Cane trash (Cellulosic)'!$C:$C,'Costs per L'!$D218,'Cane trash (Cellulosic)'!U:U)/($O$2*10^6)*$H218/U$5</f>
        <v>3.7740000000000003E-2</v>
      </c>
      <c r="V218" s="206">
        <f>-SUMIF('Cane trash (Cellulosic)'!$C:$C,'Costs per L'!$D218,'Cane trash (Cellulosic)'!V:V)/($O$2*10^6)*$H218/V$5</f>
        <v>3.7740000000000003E-2</v>
      </c>
      <c r="W218" s="206">
        <f>-SUMIF('Cane trash (Cellulosic)'!$C:$C,'Costs per L'!$D218,'Cane trash (Cellulosic)'!W:W)/($O$2*10^6)*$H218/W$5</f>
        <v>3.7740000000000003E-2</v>
      </c>
      <c r="X218" s="206">
        <f>-SUMIF('Cane trash (Cellulosic)'!$C:$C,'Costs per L'!$D218,'Cane trash (Cellulosic)'!X:X)/($O$2*10^6)*$H218/X$5</f>
        <v>3.7740000000000003E-2</v>
      </c>
      <c r="Y218" s="206">
        <f>-SUMIF('Cane trash (Cellulosic)'!$C:$C,'Costs per L'!$D218,'Cane trash (Cellulosic)'!Y:Y)/($O$2*10^6)*$H218/Y$5</f>
        <v>3.7740000000000003E-2</v>
      </c>
      <c r="Z218" s="206">
        <f>-SUMIF('Cane trash (Cellulosic)'!$C:$C,'Costs per L'!$D218,'Cane trash (Cellulosic)'!Z:Z)/($O$2*10^6)*$H218/Z$5</f>
        <v>3.7740000000000003E-2</v>
      </c>
      <c r="AA218" s="729">
        <f t="shared" si="45"/>
        <v>3.7740000000000003E-2</v>
      </c>
      <c r="AB218" s="615"/>
    </row>
    <row r="219" spans="2:28" x14ac:dyDescent="0.2">
      <c r="B219" s="564">
        <f t="shared" si="39"/>
        <v>0</v>
      </c>
      <c r="C219" s="564" t="str">
        <f t="shared" si="40"/>
        <v>Cane trash (Cellulosic)</v>
      </c>
      <c r="D219" s="157">
        <v>6</v>
      </c>
      <c r="E219" s="157"/>
      <c r="F219" s="252"/>
      <c r="G219" s="251">
        <f>IFERROR(INDEX(Allocators!$C:$C,MATCH($F219,Allocators!$E:$E,0)),0)</f>
        <v>0</v>
      </c>
      <c r="H219" s="258">
        <f>IFERROR(INDEX(Allocators!$D:$D,MATCH($F219,Allocators!$E:$E,0)),1)</f>
        <v>1</v>
      </c>
      <c r="I219" s="207" t="s">
        <v>448</v>
      </c>
      <c r="J219" s="206"/>
      <c r="K219" s="206"/>
      <c r="L219" s="206">
        <f>-SUMIF('Cane trash (Cellulosic)'!$C:$C,'Costs per L'!$D219,'Cane trash (Cellulosic)'!L:L)/($O$2*10^6)*$H219/L$5</f>
        <v>2.2072993750000002E-2</v>
      </c>
      <c r="M219" s="206">
        <f>-SUMIF('Cane trash (Cellulosic)'!$C:$C,'Costs per L'!$D219,'Cane trash (Cellulosic)'!M:M)/($O$2*10^6)*$H219/M$5</f>
        <v>2.2072993749999999E-2</v>
      </c>
      <c r="N219" s="206">
        <f>-SUMIF('Cane trash (Cellulosic)'!$C:$C,'Costs per L'!$D219,'Cane trash (Cellulosic)'!N:N)/($O$2*10^6)*$H219/N$5</f>
        <v>2.2072993749999999E-2</v>
      </c>
      <c r="O219" s="206">
        <f>-SUMIF('Cane trash (Cellulosic)'!$C:$C,'Costs per L'!$D219,'Cane trash (Cellulosic)'!O:O)/($O$2*10^6)*$H219/O$5</f>
        <v>2.2072993749999999E-2</v>
      </c>
      <c r="P219" s="206">
        <f>-SUMIF('Cane trash (Cellulosic)'!$C:$C,'Costs per L'!$D219,'Cane trash (Cellulosic)'!P:P)/($O$2*10^6)*$H219/P$5</f>
        <v>2.2072993749999999E-2</v>
      </c>
      <c r="Q219" s="206">
        <f>-SUMIF('Cane trash (Cellulosic)'!$C:$C,'Costs per L'!$D219,'Cane trash (Cellulosic)'!Q:Q)/($O$2*10^6)*$H219/Q$5</f>
        <v>2.2072993749999999E-2</v>
      </c>
      <c r="R219" s="206">
        <f>-SUMIF('Cane trash (Cellulosic)'!$C:$C,'Costs per L'!$D219,'Cane trash (Cellulosic)'!R:R)/($O$2*10^6)*$H219/R$5</f>
        <v>2.2072993749999999E-2</v>
      </c>
      <c r="S219" s="206">
        <f>-SUMIF('Cane trash (Cellulosic)'!$C:$C,'Costs per L'!$D219,'Cane trash (Cellulosic)'!S:S)/($O$2*10^6)*$H219/S$5</f>
        <v>2.2072993749999999E-2</v>
      </c>
      <c r="T219" s="206">
        <f>-SUMIF('Cane trash (Cellulosic)'!$C:$C,'Costs per L'!$D219,'Cane trash (Cellulosic)'!T:T)/($O$2*10^6)*$H219/T$5</f>
        <v>2.2072993749999999E-2</v>
      </c>
      <c r="U219" s="206">
        <f>-SUMIF('Cane trash (Cellulosic)'!$C:$C,'Costs per L'!$D219,'Cane trash (Cellulosic)'!U:U)/($O$2*10^6)*$H219/U$5</f>
        <v>2.2072993749999999E-2</v>
      </c>
      <c r="V219" s="206">
        <f>-SUMIF('Cane trash (Cellulosic)'!$C:$C,'Costs per L'!$D219,'Cane trash (Cellulosic)'!V:V)/($O$2*10^6)*$H219/V$5</f>
        <v>2.2072993749999999E-2</v>
      </c>
      <c r="W219" s="206">
        <f>-SUMIF('Cane trash (Cellulosic)'!$C:$C,'Costs per L'!$D219,'Cane trash (Cellulosic)'!W:W)/($O$2*10^6)*$H219/W$5</f>
        <v>2.2072993749999999E-2</v>
      </c>
      <c r="X219" s="206">
        <f>-SUMIF('Cane trash (Cellulosic)'!$C:$C,'Costs per L'!$D219,'Cane trash (Cellulosic)'!X:X)/($O$2*10^6)*$H219/X$5</f>
        <v>2.2072993749999999E-2</v>
      </c>
      <c r="Y219" s="206">
        <f>-SUMIF('Cane trash (Cellulosic)'!$C:$C,'Costs per L'!$D219,'Cane trash (Cellulosic)'!Y:Y)/($O$2*10^6)*$H219/Y$5</f>
        <v>2.2072993749999999E-2</v>
      </c>
      <c r="Z219" s="206">
        <f>-SUMIF('Cane trash (Cellulosic)'!$C:$C,'Costs per L'!$D219,'Cane trash (Cellulosic)'!Z:Z)/($O$2*10^6)*$H219/Z$5</f>
        <v>2.2072993749999999E-2</v>
      </c>
      <c r="AA219" s="729">
        <f t="shared" si="45"/>
        <v>2.2072993749999995E-2</v>
      </c>
      <c r="AB219" s="615"/>
    </row>
    <row r="220" spans="2:28" x14ac:dyDescent="0.2">
      <c r="B220" s="564">
        <f t="shared" si="39"/>
        <v>0</v>
      </c>
      <c r="C220" s="564" t="str">
        <f t="shared" si="40"/>
        <v>Cane trash (Cellulosic)</v>
      </c>
      <c r="D220" s="157">
        <v>7</v>
      </c>
      <c r="E220" s="157"/>
      <c r="F220" s="252"/>
      <c r="G220" s="251">
        <f>IFERROR(INDEX(Allocators!$C:$C,MATCH($F220,Allocators!$E:$E,0)),0)</f>
        <v>0</v>
      </c>
      <c r="H220" s="258">
        <f>IFERROR(INDEX(Allocators!$D:$D,MATCH($F220,Allocators!$E:$E,0)),1)</f>
        <v>1</v>
      </c>
      <c r="I220" s="181" t="s">
        <v>184</v>
      </c>
      <c r="J220" s="206"/>
      <c r="K220" s="206"/>
      <c r="L220" s="206">
        <f>-SUMIF('Cane trash (Cellulosic)'!$C:$C,'Costs per L'!$D220,'Cane trash (Cellulosic)'!L:L)/($O$2*10^6)*$H220/L$5</f>
        <v>0.11152515</v>
      </c>
      <c r="M220" s="206">
        <f>-SUMIF('Cane trash (Cellulosic)'!$C:$C,'Costs per L'!$D220,'Cane trash (Cellulosic)'!M:M)/($O$2*10^6)*$H220/M$5</f>
        <v>0.11152515</v>
      </c>
      <c r="N220" s="206">
        <f>-SUMIF('Cane trash (Cellulosic)'!$C:$C,'Costs per L'!$D220,'Cane trash (Cellulosic)'!N:N)/($O$2*10^6)*$H220/N$5</f>
        <v>0.11152515</v>
      </c>
      <c r="O220" s="206">
        <f>-SUMIF('Cane trash (Cellulosic)'!$C:$C,'Costs per L'!$D220,'Cane trash (Cellulosic)'!O:O)/($O$2*10^6)*$H220/O$5</f>
        <v>0.11152515</v>
      </c>
      <c r="P220" s="206">
        <f>-SUMIF('Cane trash (Cellulosic)'!$C:$C,'Costs per L'!$D220,'Cane trash (Cellulosic)'!P:P)/($O$2*10^6)*$H220/P$5</f>
        <v>0.11152515</v>
      </c>
      <c r="Q220" s="206">
        <f>-SUMIF('Cane trash (Cellulosic)'!$C:$C,'Costs per L'!$D220,'Cane trash (Cellulosic)'!Q:Q)/($O$2*10^6)*$H220/Q$5</f>
        <v>0.11152515</v>
      </c>
      <c r="R220" s="206">
        <f>-SUMIF('Cane trash (Cellulosic)'!$C:$C,'Costs per L'!$D220,'Cane trash (Cellulosic)'!R:R)/($O$2*10^6)*$H220/R$5</f>
        <v>0.11152515</v>
      </c>
      <c r="S220" s="206">
        <f>-SUMIF('Cane trash (Cellulosic)'!$C:$C,'Costs per L'!$D220,'Cane trash (Cellulosic)'!S:S)/($O$2*10^6)*$H220/S$5</f>
        <v>0.11152515</v>
      </c>
      <c r="T220" s="206">
        <f>-SUMIF('Cane trash (Cellulosic)'!$C:$C,'Costs per L'!$D220,'Cane trash (Cellulosic)'!T:T)/($O$2*10^6)*$H220/T$5</f>
        <v>0.11152515</v>
      </c>
      <c r="U220" s="206">
        <f>-SUMIF('Cane trash (Cellulosic)'!$C:$C,'Costs per L'!$D220,'Cane trash (Cellulosic)'!U:U)/($O$2*10^6)*$H220/U$5</f>
        <v>0.11152515</v>
      </c>
      <c r="V220" s="206">
        <f>-SUMIF('Cane trash (Cellulosic)'!$C:$C,'Costs per L'!$D220,'Cane trash (Cellulosic)'!V:V)/($O$2*10^6)*$H220/V$5</f>
        <v>0.11152515</v>
      </c>
      <c r="W220" s="206">
        <f>-SUMIF('Cane trash (Cellulosic)'!$C:$C,'Costs per L'!$D220,'Cane trash (Cellulosic)'!W:W)/($O$2*10^6)*$H220/W$5</f>
        <v>0.11152515</v>
      </c>
      <c r="X220" s="206">
        <f>-SUMIF('Cane trash (Cellulosic)'!$C:$C,'Costs per L'!$D220,'Cane trash (Cellulosic)'!X:X)/($O$2*10^6)*$H220/X$5</f>
        <v>0.11152515</v>
      </c>
      <c r="Y220" s="206">
        <f>-SUMIF('Cane trash (Cellulosic)'!$C:$C,'Costs per L'!$D220,'Cane trash (Cellulosic)'!Y:Y)/($O$2*10^6)*$H220/Y$5</f>
        <v>0.11152515</v>
      </c>
      <c r="Z220" s="206">
        <f>-SUMIF('Cane trash (Cellulosic)'!$C:$C,'Costs per L'!$D220,'Cane trash (Cellulosic)'!Z:Z)/($O$2*10^6)*$H220/Z$5</f>
        <v>0.11152515</v>
      </c>
      <c r="AA220" s="729">
        <f t="shared" si="45"/>
        <v>0.11152515000000003</v>
      </c>
      <c r="AB220" s="615"/>
    </row>
    <row r="221" spans="2:28" ht="13.5" thickBot="1" x14ac:dyDescent="0.25">
      <c r="B221" s="564" t="str">
        <f t="shared" si="39"/>
        <v>Cane trash (Cellulosic).Total production costs ($/L) before depreciation and interest</v>
      </c>
      <c r="C221" s="564" t="str">
        <f t="shared" si="40"/>
        <v>Cane trash (Cellulosic)</v>
      </c>
      <c r="D221" s="615"/>
      <c r="E221" s="615"/>
      <c r="F221" s="544"/>
      <c r="G221" s="615">
        <f>IFERROR(INDEX(Allocators!$C:$C,MATCH($F221,Allocators!$E:$E,0)),0)</f>
        <v>0</v>
      </c>
      <c r="H221" s="545">
        <f>IFERROR(INDEX(Allocators!$D:$D,MATCH($F221,Allocators!$E:$E,0)),1)</f>
        <v>1</v>
      </c>
      <c r="I221" s="183" t="s">
        <v>633</v>
      </c>
      <c r="J221" s="204"/>
      <c r="K221" s="204"/>
      <c r="L221" s="204">
        <f t="shared" ref="L221:Z221" si="46">SUM(L214:L220)</f>
        <v>0.80787667047969347</v>
      </c>
      <c r="M221" s="204">
        <f t="shared" si="46"/>
        <v>0.79815290937013095</v>
      </c>
      <c r="N221" s="204">
        <f t="shared" si="46"/>
        <v>0.79815290937013095</v>
      </c>
      <c r="O221" s="204">
        <f t="shared" si="46"/>
        <v>0.79815290937013095</v>
      </c>
      <c r="P221" s="204">
        <f t="shared" si="46"/>
        <v>0.79815290937013095</v>
      </c>
      <c r="Q221" s="204">
        <f t="shared" si="46"/>
        <v>0.79815290937013095</v>
      </c>
      <c r="R221" s="204">
        <f t="shared" si="46"/>
        <v>0.79815290937013095</v>
      </c>
      <c r="S221" s="204">
        <f t="shared" si="46"/>
        <v>0.79815290937013095</v>
      </c>
      <c r="T221" s="204">
        <f t="shared" si="46"/>
        <v>0.79815290937013095</v>
      </c>
      <c r="U221" s="204">
        <f t="shared" si="46"/>
        <v>0.79815290937013095</v>
      </c>
      <c r="V221" s="204">
        <f t="shared" si="46"/>
        <v>0.79815290937013095</v>
      </c>
      <c r="W221" s="204">
        <f t="shared" si="46"/>
        <v>0.79815290937013095</v>
      </c>
      <c r="X221" s="204">
        <f t="shared" si="46"/>
        <v>0.79815290937013095</v>
      </c>
      <c r="Y221" s="204">
        <f t="shared" si="46"/>
        <v>0.79815290937013095</v>
      </c>
      <c r="Z221" s="204">
        <f t="shared" si="46"/>
        <v>0.79815290937013095</v>
      </c>
      <c r="AA221" s="548">
        <f t="shared" si="45"/>
        <v>0.79880116011076863</v>
      </c>
      <c r="AB221" s="615"/>
    </row>
    <row r="222" spans="2:28" x14ac:dyDescent="0.2">
      <c r="B222" s="564" t="str">
        <f t="shared" si="39"/>
        <v>Cane trash (Cellulosic).Cost of Capital (Depreciation)</v>
      </c>
      <c r="C222" s="564" t="str">
        <f t="shared" si="40"/>
        <v>Cane trash (Cellulosic)</v>
      </c>
      <c r="D222" s="615"/>
      <c r="E222" s="615"/>
      <c r="F222" s="252"/>
      <c r="G222" s="251">
        <f>IFERROR(INDEX(Allocators!$C:$C,MATCH($F222,Allocators!$E:$E,0)),0)</f>
        <v>0</v>
      </c>
      <c r="H222" s="258">
        <f>IFERROR(INDEX(Allocators!$D:$D,MATCH($F222,Allocators!$E:$E,0)),1)</f>
        <v>1</v>
      </c>
      <c r="I222" s="181" t="s">
        <v>471</v>
      </c>
      <c r="J222" s="203"/>
      <c r="K222" s="203"/>
      <c r="L222" s="203">
        <f>Depreciation!L243/$O$2/(10^6)/L$5*$H222</f>
        <v>0.12965027777777779</v>
      </c>
      <c r="M222" s="203">
        <f>Depreciation!M243/$O$2/(10^6)/M$5*$H222</f>
        <v>9.7237708333333339E-2</v>
      </c>
      <c r="N222" s="203">
        <f>Depreciation!N243/$O$2/(10^6)/N$5*$H222</f>
        <v>9.7237708333333339E-2</v>
      </c>
      <c r="O222" s="203">
        <f>Depreciation!O243/$O$2/(10^6)/O$5*$H222</f>
        <v>9.7237708333333339E-2</v>
      </c>
      <c r="P222" s="203">
        <f>Depreciation!P243/$O$2/(10^6)/P$5*$H222</f>
        <v>9.7237708333333339E-2</v>
      </c>
      <c r="Q222" s="203">
        <f>Depreciation!Q243/$O$2/(10^6)/Q$5*$H222</f>
        <v>9.7237708333333339E-2</v>
      </c>
      <c r="R222" s="203">
        <f>Depreciation!R243/$O$2/(10^6)/R$5*$H222</f>
        <v>9.7237708333333339E-2</v>
      </c>
      <c r="S222" s="203">
        <f>Depreciation!S243/$O$2/(10^6)/S$5*$H222</f>
        <v>9.7237708333333339E-2</v>
      </c>
      <c r="T222" s="203">
        <f>Depreciation!T243/$O$2/(10^6)/T$5*$H222</f>
        <v>9.7237708333333339E-2</v>
      </c>
      <c r="U222" s="203">
        <f>Depreciation!U243/$O$2/(10^6)/U$5*$H222</f>
        <v>9.7237708333333339E-2</v>
      </c>
      <c r="V222" s="203">
        <f>Depreciation!V243/$O$2/(10^6)/V$5*$H222</f>
        <v>9.7237708333333339E-2</v>
      </c>
      <c r="W222" s="203">
        <f>Depreciation!W243/$O$2/(10^6)/W$5*$H222</f>
        <v>9.7237708333333339E-2</v>
      </c>
      <c r="X222" s="203">
        <f>Depreciation!X243/$O$2/(10^6)/X$5*$H222</f>
        <v>9.7237708333333339E-2</v>
      </c>
      <c r="Y222" s="203">
        <f>Depreciation!Y243/$O$2/(10^6)/Y$5*$H222</f>
        <v>9.7237708333333339E-2</v>
      </c>
      <c r="Z222" s="727">
        <f>Depreciation!Z243/$O$2/(10^6)/Z$5*$H222</f>
        <v>9.7237708333333339E-2</v>
      </c>
      <c r="AA222" s="730">
        <f t="shared" si="45"/>
        <v>9.9398546296296297E-2</v>
      </c>
      <c r="AB222" s="615"/>
    </row>
    <row r="223" spans="2:28" x14ac:dyDescent="0.2">
      <c r="B223" s="564" t="str">
        <f t="shared" si="39"/>
        <v>Cane trash (Cellulosic).Interest</v>
      </c>
      <c r="C223" s="564" t="str">
        <f t="shared" si="40"/>
        <v>Cane trash (Cellulosic)</v>
      </c>
      <c r="D223" s="615"/>
      <c r="E223" s="615"/>
      <c r="F223" s="252"/>
      <c r="G223" s="251">
        <f>IFERROR(INDEX(Allocators!$C:$C,MATCH($F223,Allocators!$E:$E,0)),0)</f>
        <v>0</v>
      </c>
      <c r="H223" s="258">
        <f>IFERROR(INDEX(Allocators!$D:$D,MATCH($F223,Allocators!$E:$E,0)),1)</f>
        <v>1</v>
      </c>
      <c r="I223" s="181" t="s">
        <v>470</v>
      </c>
      <c r="J223" s="203"/>
      <c r="K223" s="203"/>
      <c r="L223" s="203">
        <f>INDEX('Loan Repayments'!$BL$14:$BL$63,MATCH(L$8,'Loan Repayments'!$BG$14:$BG$63,0))
/($O$2*10^6)/L$5*$H223</f>
        <v>7.8974776529015453E-2</v>
      </c>
      <c r="M223" s="203">
        <f>INDEX('Loan Repayments'!$BL$14:$BL$63,MATCH(M$8,'Loan Repayments'!$BG$14:$BG$63,0))
/($O$2*10^6)/M$5*$H223</f>
        <v>5.9231082396761586E-2</v>
      </c>
      <c r="N223" s="203">
        <f>INDEX('Loan Repayments'!$BL$14:$BL$63,MATCH(N$8,'Loan Repayments'!$BG$14:$BG$63,0))
/($O$2*10^6)/N$5*$H223</f>
        <v>5.9231082396761586E-2</v>
      </c>
      <c r="O223" s="203">
        <f>INDEX('Loan Repayments'!$BL$14:$BL$63,MATCH(O$8,'Loan Repayments'!$BG$14:$BG$63,0))
/($O$2*10^6)/O$5*$H223</f>
        <v>5.9231082396761586E-2</v>
      </c>
      <c r="P223" s="203">
        <f>INDEX('Loan Repayments'!$BL$14:$BL$63,MATCH(P$8,'Loan Repayments'!$BG$14:$BG$63,0))
/($O$2*10^6)/P$5*$H223</f>
        <v>5.9231082396761586E-2</v>
      </c>
      <c r="Q223" s="203">
        <f>INDEX('Loan Repayments'!$BL$14:$BL$63,MATCH(Q$8,'Loan Repayments'!$BG$14:$BG$63,0))
/($O$2*10^6)/Q$5*$H223</f>
        <v>5.9231082396761586E-2</v>
      </c>
      <c r="R223" s="203">
        <f>INDEX('Loan Repayments'!$BL$14:$BL$63,MATCH(R$8,'Loan Repayments'!$BG$14:$BG$63,0))
/($O$2*10^6)/R$5*$H223</f>
        <v>5.9231082396761586E-2</v>
      </c>
      <c r="S223" s="203">
        <f>INDEX('Loan Repayments'!$BL$14:$BL$63,MATCH(S$8,'Loan Repayments'!$BG$14:$BG$63,0))
/($O$2*10^6)/S$5*$H223</f>
        <v>5.9231082396761586E-2</v>
      </c>
      <c r="T223" s="203">
        <f>INDEX('Loan Repayments'!$BL$14:$BL$63,MATCH(T$8,'Loan Repayments'!$BG$14:$BG$63,0))
/($O$2*10^6)/T$5*$H223</f>
        <v>5.9231082396761586E-2</v>
      </c>
      <c r="U223" s="203">
        <f>INDEX('Loan Repayments'!$BL$14:$BL$63,MATCH(U$8,'Loan Repayments'!$BG$14:$BG$63,0))
/($O$2*10^6)/U$5*$H223</f>
        <v>5.9231082396761586E-2</v>
      </c>
      <c r="V223" s="203">
        <f>INDEX('Loan Repayments'!$BL$14:$BL$63,MATCH(V$8,'Loan Repayments'!$BG$14:$BG$63,0))
/($O$2*10^6)/V$5*$H223</f>
        <v>5.9231082396761586E-2</v>
      </c>
      <c r="W223" s="203">
        <f>INDEX('Loan Repayments'!$BL$14:$BL$63,MATCH(W$8,'Loan Repayments'!$BG$14:$BG$63,0))
/($O$2*10^6)/W$5*$H223</f>
        <v>5.9231082396761586E-2</v>
      </c>
      <c r="X223" s="203">
        <f>INDEX('Loan Repayments'!$BL$14:$BL$63,MATCH(X$8,'Loan Repayments'!$BG$14:$BG$63,0))
/($O$2*10^6)/X$5*$H223</f>
        <v>5.9231082396761586E-2</v>
      </c>
      <c r="Y223" s="203">
        <f>INDEX('Loan Repayments'!$BL$14:$BL$63,MATCH(Y$8,'Loan Repayments'!$BG$14:$BG$63,0))
/($O$2*10^6)/Y$5*$H223</f>
        <v>5.9231082396761586E-2</v>
      </c>
      <c r="Z223" s="727">
        <f>INDEX('Loan Repayments'!$BL$14:$BL$63,MATCH(Z$8,'Loan Repayments'!$BG$14:$BG$63,0))
/($O$2*10^6)/Z$5*$H223</f>
        <v>5.9231082396761586E-2</v>
      </c>
      <c r="AA223" s="730">
        <f t="shared" si="45"/>
        <v>6.0547328672245153E-2</v>
      </c>
      <c r="AB223" s="615"/>
    </row>
    <row r="224" spans="2:28" ht="13.5" thickBot="1" x14ac:dyDescent="0.25">
      <c r="B224" s="564" t="str">
        <f t="shared" si="39"/>
        <v>Cane trash (Cellulosic).Total production cost ($/L)</v>
      </c>
      <c r="C224" s="564" t="str">
        <f t="shared" si="40"/>
        <v>Cane trash (Cellulosic)</v>
      </c>
      <c r="D224" s="615"/>
      <c r="E224" s="615"/>
      <c r="F224" s="544"/>
      <c r="G224" s="615">
        <f>IFERROR(INDEX(Allocators!$C:$C,MATCH($F224,Allocators!$E:$E,0)),0)</f>
        <v>0</v>
      </c>
      <c r="H224" s="544">
        <f>IFERROR(INDEX(Allocators!$D:$D,MATCH($F224,Allocators!$E:$E,0)),1)</f>
        <v>1</v>
      </c>
      <c r="I224" s="183" t="s">
        <v>632</v>
      </c>
      <c r="J224" s="204"/>
      <c r="K224" s="204"/>
      <c r="L224" s="204">
        <f t="shared" ref="L224:Z224" si="47">SUM(L221,L222)</f>
        <v>0.93752694825747129</v>
      </c>
      <c r="M224" s="204">
        <f t="shared" si="47"/>
        <v>0.89539061770346429</v>
      </c>
      <c r="N224" s="204">
        <f t="shared" si="47"/>
        <v>0.89539061770346429</v>
      </c>
      <c r="O224" s="204">
        <f t="shared" si="47"/>
        <v>0.89539061770346429</v>
      </c>
      <c r="P224" s="204">
        <f t="shared" si="47"/>
        <v>0.89539061770346429</v>
      </c>
      <c r="Q224" s="204">
        <f t="shared" si="47"/>
        <v>0.89539061770346429</v>
      </c>
      <c r="R224" s="204">
        <f t="shared" si="47"/>
        <v>0.89539061770346429</v>
      </c>
      <c r="S224" s="204">
        <f t="shared" si="47"/>
        <v>0.89539061770346429</v>
      </c>
      <c r="T224" s="204">
        <f t="shared" si="47"/>
        <v>0.89539061770346429</v>
      </c>
      <c r="U224" s="204">
        <f t="shared" si="47"/>
        <v>0.89539061770346429</v>
      </c>
      <c r="V224" s="204">
        <f t="shared" si="47"/>
        <v>0.89539061770346429</v>
      </c>
      <c r="W224" s="204">
        <f t="shared" si="47"/>
        <v>0.89539061770346429</v>
      </c>
      <c r="X224" s="204">
        <f t="shared" si="47"/>
        <v>0.89539061770346429</v>
      </c>
      <c r="Y224" s="204">
        <f t="shared" si="47"/>
        <v>0.89539061770346429</v>
      </c>
      <c r="Z224" s="204">
        <f t="shared" si="47"/>
        <v>0.89539061770346429</v>
      </c>
      <c r="AA224" s="548">
        <f>SUM(AA221:AA223)</f>
        <v>0.95874703507931003</v>
      </c>
      <c r="AB224" s="615"/>
    </row>
    <row r="225" spans="2:28" x14ac:dyDescent="0.2">
      <c r="B225" s="564">
        <f t="shared" si="39"/>
        <v>0</v>
      </c>
      <c r="C225" s="564" t="str">
        <f t="shared" si="40"/>
        <v>Cane trash (Cellulosic)</v>
      </c>
      <c r="D225" s="157">
        <v>8</v>
      </c>
      <c r="E225" s="615"/>
      <c r="F225" s="252"/>
      <c r="G225" s="251">
        <f>IFERROR(INDEX(Allocators!$C:$C,MATCH($F225,Allocators!$E:$E,0)),0)</f>
        <v>0</v>
      </c>
      <c r="H225" s="258">
        <f>IFERROR(INDEX(Allocators!$D:$D,MATCH($F225,Allocators!$E:$E,0)),1)</f>
        <v>1</v>
      </c>
      <c r="I225" s="525" t="s">
        <v>638</v>
      </c>
      <c r="J225" s="514"/>
      <c r="K225" s="514"/>
      <c r="L225" s="546">
        <f>-SUMIF('Cane trash (Cellulosic)'!$C:$C,'Costs per L'!$D225,'Cane trash (Cellulosic)'!L:L)/($O$2*10^6)*$H225/L$5</f>
        <v>-4.6542174437419724E-2</v>
      </c>
      <c r="M225" s="546">
        <f>-SUMIF('Cane trash (Cellulosic)'!$C:$C,'Costs per L'!$D225,'Cane trash (Cellulosic)'!M:M)/($O$2*10^6)*$H225/M$5</f>
        <v>-4.6542174437419717E-2</v>
      </c>
      <c r="N225" s="546">
        <f>-SUMIF('Cane trash (Cellulosic)'!$C:$C,'Costs per L'!$D225,'Cane trash (Cellulosic)'!N:N)/($O$2*10^6)*$H225/N$5</f>
        <v>-4.6542174437419717E-2</v>
      </c>
      <c r="O225" s="546">
        <f>-SUMIF('Cane trash (Cellulosic)'!$C:$C,'Costs per L'!$D225,'Cane trash (Cellulosic)'!O:O)/($O$2*10^6)*$H225/O$5</f>
        <v>-4.6542174437419717E-2</v>
      </c>
      <c r="P225" s="546">
        <f>-SUMIF('Cane trash (Cellulosic)'!$C:$C,'Costs per L'!$D225,'Cane trash (Cellulosic)'!P:P)/($O$2*10^6)*$H225/P$5</f>
        <v>-4.6542174437419717E-2</v>
      </c>
      <c r="Q225" s="546">
        <f>-SUMIF('Cane trash (Cellulosic)'!$C:$C,'Costs per L'!$D225,'Cane trash (Cellulosic)'!Q:Q)/($O$2*10^6)*$H225/Q$5</f>
        <v>-4.6542174437419717E-2</v>
      </c>
      <c r="R225" s="546">
        <f>-SUMIF('Cane trash (Cellulosic)'!$C:$C,'Costs per L'!$D225,'Cane trash (Cellulosic)'!R:R)/($O$2*10^6)*$H225/R$5</f>
        <v>-4.6542174437419717E-2</v>
      </c>
      <c r="S225" s="546">
        <f>-SUMIF('Cane trash (Cellulosic)'!$C:$C,'Costs per L'!$D225,'Cane trash (Cellulosic)'!S:S)/($O$2*10^6)*$H225/S$5</f>
        <v>-4.6542174437419717E-2</v>
      </c>
      <c r="T225" s="546">
        <f>-SUMIF('Cane trash (Cellulosic)'!$C:$C,'Costs per L'!$D225,'Cane trash (Cellulosic)'!T:T)/($O$2*10^6)*$H225/T$5</f>
        <v>-4.6542174437419717E-2</v>
      </c>
      <c r="U225" s="546">
        <f>-SUMIF('Cane trash (Cellulosic)'!$C:$C,'Costs per L'!$D225,'Cane trash (Cellulosic)'!U:U)/($O$2*10^6)*$H225/U$5</f>
        <v>-4.6542174437419717E-2</v>
      </c>
      <c r="V225" s="546">
        <f>-SUMIF('Cane trash (Cellulosic)'!$C:$C,'Costs per L'!$D225,'Cane trash (Cellulosic)'!V:V)/($O$2*10^6)*$H225/V$5</f>
        <v>-4.6542174437419717E-2</v>
      </c>
      <c r="W225" s="546">
        <f>-SUMIF('Cane trash (Cellulosic)'!$C:$C,'Costs per L'!$D225,'Cane trash (Cellulosic)'!W:W)/($O$2*10^6)*$H225/W$5</f>
        <v>-4.6542174437419717E-2</v>
      </c>
      <c r="X225" s="546">
        <f>-SUMIF('Cane trash (Cellulosic)'!$C:$C,'Costs per L'!$D225,'Cane trash (Cellulosic)'!X:X)/($O$2*10^6)*$H225/X$5</f>
        <v>-4.6542174437419717E-2</v>
      </c>
      <c r="Y225" s="546">
        <f>-SUMIF('Cane trash (Cellulosic)'!$C:$C,'Costs per L'!$D225,'Cane trash (Cellulosic)'!Y:Y)/($O$2*10^6)*$H225/Y$5</f>
        <v>-4.6542174437419717E-2</v>
      </c>
      <c r="Z225" s="546">
        <f>-SUMIF('Cane trash (Cellulosic)'!$C:$C,'Costs per L'!$D225,'Cane trash (Cellulosic)'!Z:Z)/($O$2*10^6)*$H225/Z$5</f>
        <v>-4.6542174437419717E-2</v>
      </c>
      <c r="AA225" s="547">
        <f>AVERAGE(L225:Z225)</f>
        <v>-4.654217443741971E-2</v>
      </c>
      <c r="AB225" s="615"/>
    </row>
    <row r="226" spans="2:28" ht="13.5" thickBot="1" x14ac:dyDescent="0.25">
      <c r="B226" s="564" t="str">
        <f t="shared" si="39"/>
        <v>Cane trash (Cellulosic).Net production cost ($/L)</v>
      </c>
      <c r="C226" s="564" t="str">
        <f t="shared" si="40"/>
        <v>Cane trash (Cellulosic)</v>
      </c>
      <c r="D226" s="615"/>
      <c r="E226" s="615"/>
      <c r="F226" s="615"/>
      <c r="G226" s="171">
        <f>IFERROR(INDEX(Allocators!$C:$C,MATCH($F226,Allocators!$E:$E,0)),0)</f>
        <v>0</v>
      </c>
      <c r="H226" s="171">
        <f>IFERROR(INDEX(Allocators!$D:$D,MATCH($F226,Allocators!$E:$E,0)),1)</f>
        <v>1</v>
      </c>
      <c r="I226" s="183" t="s">
        <v>637</v>
      </c>
      <c r="J226" s="514"/>
      <c r="K226" s="514"/>
      <c r="L226" s="204">
        <f t="shared" ref="L226:AA226" si="48">SUM(L224:L225)</f>
        <v>0.89098477382005159</v>
      </c>
      <c r="M226" s="204">
        <f t="shared" si="48"/>
        <v>0.84884844326604458</v>
      </c>
      <c r="N226" s="204">
        <f t="shared" si="48"/>
        <v>0.84884844326604458</v>
      </c>
      <c r="O226" s="204">
        <f t="shared" si="48"/>
        <v>0.84884844326604458</v>
      </c>
      <c r="P226" s="204">
        <f t="shared" si="48"/>
        <v>0.84884844326604458</v>
      </c>
      <c r="Q226" s="204">
        <f t="shared" si="48"/>
        <v>0.84884844326604458</v>
      </c>
      <c r="R226" s="204">
        <f t="shared" si="48"/>
        <v>0.84884844326604458</v>
      </c>
      <c r="S226" s="204">
        <f t="shared" si="48"/>
        <v>0.84884844326604458</v>
      </c>
      <c r="T226" s="204">
        <f t="shared" si="48"/>
        <v>0.84884844326604458</v>
      </c>
      <c r="U226" s="204">
        <f t="shared" si="48"/>
        <v>0.84884844326604458</v>
      </c>
      <c r="V226" s="204">
        <f t="shared" si="48"/>
        <v>0.84884844326604458</v>
      </c>
      <c r="W226" s="204">
        <f t="shared" si="48"/>
        <v>0.84884844326604458</v>
      </c>
      <c r="X226" s="204">
        <f t="shared" si="48"/>
        <v>0.84884844326604458</v>
      </c>
      <c r="Y226" s="204">
        <f t="shared" si="48"/>
        <v>0.84884844326604458</v>
      </c>
      <c r="Z226" s="204">
        <f t="shared" si="48"/>
        <v>0.84884844326604458</v>
      </c>
      <c r="AA226" s="548">
        <f t="shared" si="48"/>
        <v>0.91220486064189032</v>
      </c>
      <c r="AB226" s="615"/>
    </row>
    <row r="227" spans="2:28" x14ac:dyDescent="0.2">
      <c r="B227" s="564" t="str">
        <f t="shared" si="39"/>
        <v>Cane trash (Cellulosic).Remove inflation factors</v>
      </c>
      <c r="C227" s="564" t="str">
        <f t="shared" si="40"/>
        <v>Cane trash (Cellulosic)</v>
      </c>
      <c r="D227" s="615"/>
      <c r="E227" s="615"/>
      <c r="F227" s="615"/>
      <c r="G227" s="615">
        <f>IFERROR(INDEX(Allocators!$C:$C,MATCH($F227,Allocators!$E:$E,0)),0)</f>
        <v>0</v>
      </c>
      <c r="H227" s="615">
        <f>IFERROR(INDEX(Allocators!$D:$D,MATCH($F227,Allocators!$E:$E,0)),1)</f>
        <v>1</v>
      </c>
      <c r="I227" s="667" t="s">
        <v>544</v>
      </c>
      <c r="J227" s="179"/>
      <c r="K227" s="179"/>
      <c r="L227" s="179"/>
      <c r="M227" s="179"/>
      <c r="N227" s="179"/>
      <c r="O227" s="179"/>
      <c r="P227" s="179"/>
      <c r="Q227" s="179"/>
      <c r="R227" s="179"/>
      <c r="S227" s="179"/>
      <c r="T227" s="179"/>
      <c r="U227" s="179"/>
      <c r="V227" s="179"/>
      <c r="W227" s="179"/>
      <c r="X227" s="179"/>
      <c r="Y227" s="179"/>
      <c r="Z227" s="179"/>
      <c r="AA227" s="615"/>
      <c r="AB227" s="615"/>
    </row>
    <row r="228" spans="2:28" x14ac:dyDescent="0.2">
      <c r="B228" s="564" t="str">
        <f t="shared" si="39"/>
        <v>Cane trash (Cellulosic).</v>
      </c>
      <c r="C228" s="564" t="str">
        <f t="shared" si="40"/>
        <v>Cane trash (Cellulosic)</v>
      </c>
      <c r="D228" s="615"/>
      <c r="E228" s="615"/>
      <c r="F228" s="615"/>
      <c r="G228" s="615">
        <f>IFERROR(INDEX(Allocators!$C:$C,MATCH($F228,Allocators!$E:$E,0)),0)</f>
        <v>0</v>
      </c>
      <c r="H228" s="615">
        <f>IFERROR(INDEX(Allocators!$D:$D,MATCH($F228,Allocators!$E:$E,0)),1)</f>
        <v>1</v>
      </c>
      <c r="I228" s="208"/>
      <c r="J228" s="179"/>
      <c r="K228" s="179"/>
      <c r="L228" s="179"/>
      <c r="M228" s="179"/>
      <c r="N228" s="179"/>
      <c r="O228" s="179"/>
      <c r="P228" s="179"/>
      <c r="Q228" s="179"/>
      <c r="R228" s="179"/>
      <c r="S228" s="179"/>
      <c r="T228" s="179"/>
      <c r="U228" s="179"/>
      <c r="V228" s="179"/>
      <c r="W228" s="179"/>
      <c r="X228" s="179"/>
      <c r="Y228" s="179"/>
      <c r="Z228" s="179"/>
      <c r="AA228" s="615"/>
      <c r="AB228" s="615"/>
    </row>
    <row r="229" spans="2:28" x14ac:dyDescent="0.2">
      <c r="B229" s="564" t="str">
        <f t="shared" si="39"/>
        <v>Cane trash (Cellulosic).Feedstock</v>
      </c>
      <c r="C229" s="564" t="str">
        <f t="shared" si="40"/>
        <v>Cane trash (Cellulosic)</v>
      </c>
      <c r="D229" s="615"/>
      <c r="E229" s="615"/>
      <c r="F229" s="615"/>
      <c r="G229" s="615">
        <f>IFERROR(INDEX(Allocators!$C:$C,MATCH($F229,Allocators!$E:$E,0)),0)</f>
        <v>0</v>
      </c>
      <c r="H229" s="615">
        <f>IFERROR(INDEX(Allocators!$D:$D,MATCH($F229,Allocators!$E:$E,0)),1)</f>
        <v>1</v>
      </c>
      <c r="I229" s="341" t="s">
        <v>285</v>
      </c>
      <c r="J229" s="615"/>
      <c r="K229" s="179"/>
      <c r="L229" s="253">
        <f>AA214</f>
        <v>0.12976769853356743</v>
      </c>
      <c r="M229" s="179"/>
      <c r="N229" s="613"/>
      <c r="O229" s="179"/>
      <c r="P229" s="179"/>
      <c r="Q229" s="179"/>
      <c r="R229" s="179"/>
      <c r="S229" s="179"/>
      <c r="T229" s="179"/>
      <c r="U229" s="179"/>
      <c r="V229" s="179"/>
      <c r="W229" s="179"/>
      <c r="X229" s="179"/>
      <c r="Y229" s="179"/>
      <c r="Z229" s="179"/>
      <c r="AA229" s="615"/>
      <c r="AB229" s="615"/>
    </row>
    <row r="230" spans="2:28" x14ac:dyDescent="0.2">
      <c r="B230" s="564" t="str">
        <f t="shared" si="39"/>
        <v>Cane trash (Cellulosic).Direct Costs</v>
      </c>
      <c r="C230" s="564" t="str">
        <f t="shared" si="40"/>
        <v>Cane trash (Cellulosic)</v>
      </c>
      <c r="D230" s="615"/>
      <c r="E230" s="615"/>
      <c r="F230" s="615"/>
      <c r="G230" s="615">
        <f>IFERROR(INDEX(Allocators!$C:$C,MATCH($F230,Allocators!$E:$E,0)),0)</f>
        <v>0</v>
      </c>
      <c r="H230" s="615">
        <f>IFERROR(INDEX(Allocators!$D:$D,MATCH($F230,Allocators!$E:$E,0)),1)</f>
        <v>1</v>
      </c>
      <c r="I230" s="341" t="s">
        <v>526</v>
      </c>
      <c r="J230" s="615"/>
      <c r="K230" s="615"/>
      <c r="L230" s="253">
        <f>SUM(AA215:AA216,AA220)</f>
        <v>0.48579512125787611</v>
      </c>
      <c r="M230" s="615"/>
      <c r="N230" s="615"/>
      <c r="O230" s="615"/>
      <c r="P230" s="615"/>
      <c r="Q230" s="615"/>
      <c r="R230" s="615"/>
      <c r="S230" s="615"/>
      <c r="T230" s="615"/>
      <c r="U230" s="615"/>
      <c r="V230" s="615"/>
      <c r="W230" s="615"/>
      <c r="X230" s="615"/>
      <c r="Y230" s="615"/>
      <c r="Z230" s="615"/>
      <c r="AA230" s="615"/>
      <c r="AB230" s="615"/>
    </row>
    <row r="231" spans="2:28" x14ac:dyDescent="0.2">
      <c r="B231" s="564" t="str">
        <f t="shared" si="39"/>
        <v>Cane trash (Cellulosic).Maintenance</v>
      </c>
      <c r="C231" s="564" t="str">
        <f t="shared" si="40"/>
        <v>Cane trash (Cellulosic)</v>
      </c>
      <c r="D231" s="615"/>
      <c r="E231" s="615"/>
      <c r="F231" s="615"/>
      <c r="G231" s="615">
        <f>IFERROR(INDEX(Allocators!$C:$C,MATCH($F231,Allocators!$E:$E,0)),0)</f>
        <v>0</v>
      </c>
      <c r="H231" s="615">
        <f>IFERROR(INDEX(Allocators!$D:$D,MATCH($F231,Allocators!$E:$E,0)),1)</f>
        <v>1</v>
      </c>
      <c r="I231" s="341" t="s">
        <v>218</v>
      </c>
      <c r="J231" s="615"/>
      <c r="K231" s="615"/>
      <c r="L231" s="253">
        <f>AA217</f>
        <v>0.12342534656932501</v>
      </c>
      <c r="M231" s="615"/>
      <c r="N231" s="615"/>
      <c r="O231" s="615"/>
      <c r="P231" s="615"/>
      <c r="Q231" s="615"/>
      <c r="R231" s="615"/>
      <c r="S231" s="615"/>
      <c r="T231" s="615"/>
      <c r="U231" s="615"/>
      <c r="V231" s="615"/>
      <c r="W231" s="615"/>
      <c r="X231" s="615"/>
      <c r="Y231" s="615"/>
      <c r="Z231" s="615"/>
      <c r="AA231" s="615"/>
      <c r="AB231" s="615"/>
    </row>
    <row r="232" spans="2:28" x14ac:dyDescent="0.2">
      <c r="B232" s="564" t="str">
        <f t="shared" si="39"/>
        <v>Cane trash (Cellulosic).Indirect Costs</v>
      </c>
      <c r="C232" s="564" t="str">
        <f t="shared" si="40"/>
        <v>Cane trash (Cellulosic)</v>
      </c>
      <c r="D232" s="615"/>
      <c r="E232" s="615"/>
      <c r="F232" s="615"/>
      <c r="G232" s="615">
        <f>IFERROR(INDEX(Allocators!$C:$C,MATCH($F232,Allocators!$E:$E,0)),0)</f>
        <v>0</v>
      </c>
      <c r="H232" s="615">
        <f>IFERROR(INDEX(Allocators!$D:$D,MATCH($F232,Allocators!$E:$E,0)),1)</f>
        <v>1</v>
      </c>
      <c r="I232" s="341" t="s">
        <v>527</v>
      </c>
      <c r="J232" s="615"/>
      <c r="K232" s="615"/>
      <c r="L232" s="253">
        <f>SUM(AA218:AA219)</f>
        <v>5.9812993750000001E-2</v>
      </c>
      <c r="M232" s="615"/>
      <c r="N232" s="615"/>
      <c r="O232" s="615"/>
      <c r="P232" s="615"/>
      <c r="Q232" s="615"/>
      <c r="R232" s="615"/>
      <c r="S232" s="615"/>
      <c r="T232" s="615"/>
      <c r="U232" s="615"/>
      <c r="V232" s="615"/>
      <c r="W232" s="615"/>
      <c r="X232" s="615"/>
      <c r="Y232" s="615"/>
      <c r="Z232" s="615"/>
      <c r="AA232" s="615"/>
      <c r="AB232" s="615"/>
    </row>
    <row r="233" spans="2:28" x14ac:dyDescent="0.2">
      <c r="B233" s="564" t="str">
        <f t="shared" si="39"/>
        <v>Cane trash (Cellulosic).Finance</v>
      </c>
      <c r="C233" s="564" t="str">
        <f t="shared" si="40"/>
        <v>Cane trash (Cellulosic)</v>
      </c>
      <c r="D233" s="615"/>
      <c r="E233" s="615"/>
      <c r="F233" s="615"/>
      <c r="G233" s="615">
        <f>IFERROR(INDEX(Allocators!$C:$C,MATCH($F233,Allocators!$E:$E,0)),0)</f>
        <v>0</v>
      </c>
      <c r="H233" s="615">
        <f>IFERROR(INDEX(Allocators!$D:$D,MATCH($F233,Allocators!$E:$E,0)),1)</f>
        <v>1</v>
      </c>
      <c r="I233" s="341" t="s">
        <v>528</v>
      </c>
      <c r="J233" s="615"/>
      <c r="K233" s="615"/>
      <c r="L233" s="253">
        <f>SUM(AA222:AA223)</f>
        <v>0.15994587496854146</v>
      </c>
      <c r="M233" s="615"/>
      <c r="N233" s="615"/>
      <c r="O233" s="615"/>
      <c r="P233" s="615"/>
      <c r="Q233" s="615"/>
      <c r="R233" s="615"/>
      <c r="S233" s="615"/>
      <c r="T233" s="615"/>
      <c r="U233" s="615"/>
      <c r="V233" s="615"/>
      <c r="W233" s="615"/>
      <c r="X233" s="615"/>
      <c r="Y233" s="615"/>
      <c r="Z233" s="615"/>
      <c r="AA233" s="615"/>
      <c r="AB233" s="615"/>
    </row>
    <row r="234" spans="2:28" ht="13.5" thickBot="1" x14ac:dyDescent="0.25">
      <c r="B234" s="564" t="str">
        <f t="shared" si="39"/>
        <v>Cane trash (Cellulosic).Total production</v>
      </c>
      <c r="C234" s="564" t="str">
        <f t="shared" si="40"/>
        <v>Cane trash (Cellulosic)</v>
      </c>
      <c r="D234" s="615"/>
      <c r="E234" s="615"/>
      <c r="F234" s="615"/>
      <c r="G234" s="615">
        <f>IFERROR(INDEX(Allocators!$C:$C,MATCH($F234,Allocators!$E:$E,0)),0)</f>
        <v>0</v>
      </c>
      <c r="H234" s="615">
        <f>IFERROR(INDEX(Allocators!$D:$D,MATCH($F234,Allocators!$E:$E,0)),1)</f>
        <v>1</v>
      </c>
      <c r="I234" s="183" t="s">
        <v>467</v>
      </c>
      <c r="J234" s="615"/>
      <c r="K234" s="615"/>
      <c r="L234" s="204">
        <f>SUM(L229:L233)</f>
        <v>0.95874703507931014</v>
      </c>
      <c r="M234" s="561" t="str">
        <f>IF(L234=AA224,"", "Error - Totals are not equal")</f>
        <v/>
      </c>
      <c r="N234" s="615"/>
      <c r="O234" s="615"/>
      <c r="P234" s="615"/>
      <c r="Q234" s="615"/>
      <c r="R234" s="615"/>
      <c r="S234" s="615"/>
      <c r="T234" s="615"/>
      <c r="U234" s="615"/>
      <c r="V234" s="615"/>
      <c r="W234" s="615"/>
      <c r="X234" s="615"/>
      <c r="Y234" s="615"/>
      <c r="Z234" s="615"/>
      <c r="AA234" s="615"/>
      <c r="AB234" s="615"/>
    </row>
    <row r="235" spans="2:28" x14ac:dyDescent="0.2">
      <c r="B235" s="564" t="str">
        <f t="shared" si="39"/>
        <v>Cane trash (Cellulosic).Co-product credit</v>
      </c>
      <c r="C235" s="564" t="str">
        <f t="shared" si="40"/>
        <v>Cane trash (Cellulosic)</v>
      </c>
      <c r="D235" s="615"/>
      <c r="E235" s="615"/>
      <c r="F235" s="615"/>
      <c r="G235" s="615">
        <f>IFERROR(INDEX(Allocators!$C:$C,MATCH($F235,Allocators!$E:$E,0)),0)</f>
        <v>0</v>
      </c>
      <c r="H235" s="615">
        <f>IFERROR(INDEX(Allocators!$D:$D,MATCH($F235,Allocators!$E:$E,0)),1)</f>
        <v>1</v>
      </c>
      <c r="I235" s="515" t="s">
        <v>635</v>
      </c>
      <c r="J235" s="615"/>
      <c r="K235" s="615"/>
      <c r="L235" s="519">
        <f>AA225</f>
        <v>-4.654217443741971E-2</v>
      </c>
      <c r="M235" s="615"/>
      <c r="N235" s="615"/>
      <c r="O235" s="615"/>
      <c r="P235" s="615"/>
      <c r="Q235" s="615"/>
      <c r="R235" s="615"/>
      <c r="S235" s="615"/>
      <c r="T235" s="615"/>
      <c r="U235" s="615"/>
      <c r="V235" s="615"/>
      <c r="W235" s="615"/>
      <c r="X235" s="615"/>
      <c r="Y235" s="615"/>
      <c r="Z235" s="615"/>
      <c r="AA235" s="615"/>
      <c r="AB235" s="615"/>
    </row>
    <row r="236" spans="2:28" ht="13.5" thickBot="1" x14ac:dyDescent="0.25">
      <c r="B236" s="564" t="str">
        <f t="shared" si="39"/>
        <v>Cane trash (Cellulosic).Net production cost</v>
      </c>
      <c r="C236" s="564" t="str">
        <f t="shared" si="40"/>
        <v>Cane trash (Cellulosic)</v>
      </c>
      <c r="D236" s="615"/>
      <c r="E236" s="615"/>
      <c r="F236" s="615"/>
      <c r="G236" s="615">
        <f>IFERROR(INDEX(Allocators!$C:$C,MATCH($F236,Allocators!$E:$E,0)),0)</f>
        <v>0</v>
      </c>
      <c r="H236" s="615">
        <f>IFERROR(INDEX(Allocators!$D:$D,MATCH($F236,Allocators!$E:$E,0)),1)</f>
        <v>1</v>
      </c>
      <c r="I236" s="183" t="s">
        <v>634</v>
      </c>
      <c r="J236" s="615"/>
      <c r="K236" s="615"/>
      <c r="L236" s="204">
        <f>SUM(L234:L235)</f>
        <v>0.91220486064189044</v>
      </c>
      <c r="M236" s="561" t="str">
        <f>IF(L236=AA226,"", "Error - Totals are not equal")</f>
        <v/>
      </c>
      <c r="N236" s="615"/>
      <c r="O236" s="615"/>
      <c r="P236" s="615"/>
      <c r="Q236" s="615"/>
      <c r="R236" s="615"/>
      <c r="S236" s="615"/>
      <c r="T236" s="615"/>
      <c r="U236" s="615"/>
      <c r="V236" s="615"/>
      <c r="W236" s="615"/>
      <c r="X236" s="615"/>
      <c r="Y236" s="615"/>
      <c r="Z236" s="615"/>
      <c r="AA236" s="615"/>
      <c r="AB236" s="615"/>
    </row>
    <row r="237" spans="2:28" x14ac:dyDescent="0.2">
      <c r="B237" s="564" t="str">
        <f t="shared" si="39"/>
        <v>Cane trash (Cellulosic).</v>
      </c>
      <c r="C237" s="564" t="str">
        <f t="shared" si="40"/>
        <v>Cane trash (Cellulosic)</v>
      </c>
      <c r="D237" s="615"/>
      <c r="E237" s="615"/>
      <c r="F237" s="615"/>
      <c r="G237" s="615">
        <f>IFERROR(INDEX(Allocators!$C:$C,MATCH($F237,Allocators!$E:$E,0)),0)</f>
        <v>0</v>
      </c>
      <c r="H237" s="615">
        <f>IFERROR(INDEX(Allocators!$D:$D,MATCH($F237,Allocators!$E:$E,0)),1)</f>
        <v>1</v>
      </c>
      <c r="I237" s="615"/>
      <c r="J237" s="615"/>
      <c r="K237" s="615"/>
      <c r="L237" s="615"/>
    </row>
    <row r="238" spans="2:28" x14ac:dyDescent="0.2">
      <c r="B238" s="564" t="str">
        <f t="shared" si="39"/>
        <v>Cane trash (Cellulosic).Capital Cost ($'000)</v>
      </c>
      <c r="C238" s="564" t="str">
        <f t="shared" si="40"/>
        <v>Cane trash (Cellulosic)</v>
      </c>
      <c r="D238" s="615"/>
      <c r="E238" s="615"/>
      <c r="F238" s="252"/>
      <c r="G238" s="549">
        <f>IFERROR(INDEX(Allocators!$C:$C,MATCH($F238,Allocators!$E:$E,0)),0)</f>
        <v>0</v>
      </c>
      <c r="H238" s="258">
        <f>IFERROR(INDEX(Allocators!$D:$D,MATCH($F238,Allocators!$E:$E,0)),1)</f>
        <v>1</v>
      </c>
      <c r="I238" s="341" t="s">
        <v>530</v>
      </c>
      <c r="J238" s="615"/>
      <c r="K238" s="615"/>
      <c r="L238" s="256">
        <f>SUM('Cane trash (Cellulosic)'!J289:K289)*'Costs per L'!H150*10^6</f>
        <v>291713125</v>
      </c>
    </row>
    <row r="239" spans="2:28" ht="13.5" thickBot="1" x14ac:dyDescent="0.25">
      <c r="B239" s="564" t="str">
        <f t="shared" si="39"/>
        <v>Cane trash (Cellulosic).Capital Cost per L</v>
      </c>
      <c r="C239" s="564" t="str">
        <f t="shared" si="40"/>
        <v>Cane trash (Cellulosic)</v>
      </c>
      <c r="D239" s="615"/>
      <c r="E239" s="615"/>
      <c r="F239" s="615"/>
      <c r="G239" s="615"/>
      <c r="H239" s="615"/>
      <c r="I239" s="183" t="s">
        <v>529</v>
      </c>
      <c r="J239" s="615"/>
      <c r="K239" s="615"/>
      <c r="L239" s="204">
        <f>L238/($O$2*10^6)</f>
        <v>2.9171312500000002</v>
      </c>
    </row>
  </sheetData>
  <sheetProtection password="C82C" sheet="1" objects="1" scenarios="1" selectLockedCells="1" selectUnlockedCells="1"/>
  <mergeCells count="2">
    <mergeCell ref="N1:R1"/>
    <mergeCell ref="AA7:AA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V244"/>
  <sheetViews>
    <sheetView showGridLines="0" showZeros="0" zoomScale="85" zoomScaleNormal="85" workbookViewId="0">
      <pane ySplit="10" topLeftCell="A11" activePane="bottomLeft" state="frozen"/>
      <selection activeCell="N9" sqref="K5:N9"/>
      <selection pane="bottomLeft" activeCell="J2" sqref="J2"/>
    </sheetView>
  </sheetViews>
  <sheetFormatPr defaultRowHeight="12.75" x14ac:dyDescent="0.2"/>
  <cols>
    <col min="1" max="1" width="3.140625" style="927" customWidth="1"/>
    <col min="2" max="2" width="1.5703125" style="926" customWidth="1"/>
    <col min="3" max="3" width="25.42578125" style="926" customWidth="1"/>
    <col min="4" max="4" width="22" style="926" customWidth="1"/>
    <col min="5" max="5" width="35.7109375" style="926" bestFit="1" customWidth="1"/>
    <col min="6" max="6" width="18.140625" style="926" customWidth="1"/>
    <col min="7" max="9" width="15.7109375" style="926" customWidth="1"/>
    <col min="10" max="10" width="13.28515625" style="926" customWidth="1"/>
    <col min="11" max="11" width="2.140625" style="926" customWidth="1"/>
    <col min="12" max="41" width="7.7109375" style="926" customWidth="1"/>
    <col min="42" max="42" width="12.85546875" style="926" customWidth="1"/>
    <col min="43" max="43" width="1.7109375" style="926" customWidth="1"/>
    <col min="44" max="73" width="9.140625" style="926"/>
    <col min="74" max="74" width="2.7109375" style="926" customWidth="1"/>
    <col min="75" max="16384" width="9.140625" style="926"/>
  </cols>
  <sheetData>
    <row r="1" spans="1:74" ht="15.75" x14ac:dyDescent="0.25">
      <c r="C1" s="1458" t="s">
        <v>341</v>
      </c>
      <c r="D1" s="1458"/>
    </row>
    <row r="2" spans="1:74" ht="15.75" x14ac:dyDescent="0.25">
      <c r="C2" s="1458"/>
      <c r="D2" s="1458"/>
    </row>
    <row r="3" spans="1:74" ht="15.75" x14ac:dyDescent="0.25">
      <c r="C3" s="1458"/>
      <c r="D3" s="1458"/>
      <c r="E3" s="1459" t="s">
        <v>359</v>
      </c>
      <c r="F3" s="1491">
        <f>Assumptions!J90</f>
        <v>0</v>
      </c>
    </row>
    <row r="4" spans="1:74" ht="15.75" x14ac:dyDescent="0.25">
      <c r="C4" s="1458"/>
      <c r="D4" s="1458"/>
      <c r="E4" s="1459" t="s">
        <v>351</v>
      </c>
      <c r="F4" s="1492">
        <f>(1+Assumptions!J34)*(1+Assumptions!J36)-1</f>
        <v>0.23750000000000004</v>
      </c>
      <c r="G4" s="926" t="s">
        <v>353</v>
      </c>
      <c r="H4" s="1460"/>
      <c r="I4" s="1460"/>
      <c r="J4" s="1460"/>
    </row>
    <row r="5" spans="1:74" ht="15.75" x14ac:dyDescent="0.25">
      <c r="C5" s="1458"/>
      <c r="D5" s="1458"/>
      <c r="E5" s="1459" t="s">
        <v>352</v>
      </c>
      <c r="F5" s="1492">
        <f>Assumptions!$J$38</f>
        <v>0.1</v>
      </c>
      <c r="G5" s="926" t="s">
        <v>354</v>
      </c>
      <c r="H5" s="1460"/>
      <c r="I5" s="1460"/>
      <c r="J5" s="1460"/>
    </row>
    <row r="6" spans="1:74" ht="15.75" x14ac:dyDescent="0.25">
      <c r="C6" s="1458"/>
      <c r="D6" s="1458"/>
      <c r="E6" s="1459" t="s">
        <v>340</v>
      </c>
      <c r="F6" s="1492">
        <v>0</v>
      </c>
      <c r="G6" s="926" t="s">
        <v>355</v>
      </c>
      <c r="H6" s="1460"/>
      <c r="I6" s="1460"/>
      <c r="J6" s="1460"/>
    </row>
    <row r="7" spans="1:74" ht="15.75" x14ac:dyDescent="0.25">
      <c r="C7" s="1458"/>
      <c r="D7" s="1458"/>
    </row>
    <row r="8" spans="1:74" ht="15.75" x14ac:dyDescent="0.25">
      <c r="B8" s="1461" t="str">
        <f>"Depreciation Projections ($'000, Real FY"&amp;Assumptions!$J$19&amp;")"</f>
        <v>Depreciation Projections ($'000, Real FY2017)</v>
      </c>
      <c r="C8" s="952"/>
      <c r="D8" s="1461"/>
      <c r="E8" s="1461"/>
      <c r="F8" s="1619" t="s">
        <v>650</v>
      </c>
      <c r="G8" s="1462" t="s">
        <v>356</v>
      </c>
      <c r="H8" s="1462" t="s">
        <v>356</v>
      </c>
      <c r="I8" s="1462" t="s">
        <v>356</v>
      </c>
      <c r="J8" s="1619" t="s">
        <v>360</v>
      </c>
      <c r="L8" s="987" t="str">
        <f xml:space="preserve"> "Depreciation (FY"&amp;Assumptions!$J$19&amp;")"</f>
        <v>Depreciation (FY2017)</v>
      </c>
      <c r="M8" s="987"/>
      <c r="N8" s="987"/>
      <c r="O8" s="987"/>
      <c r="P8" s="987"/>
      <c r="Q8" s="987"/>
      <c r="R8" s="987"/>
      <c r="S8" s="987"/>
      <c r="T8" s="987"/>
      <c r="U8" s="987"/>
      <c r="V8" s="987"/>
      <c r="W8" s="987"/>
      <c r="X8" s="987"/>
      <c r="Y8" s="987"/>
      <c r="Z8" s="987"/>
      <c r="AA8" s="987"/>
      <c r="AB8" s="987"/>
      <c r="AC8" s="987"/>
      <c r="AD8" s="987"/>
      <c r="AE8" s="987"/>
      <c r="AF8" s="987"/>
      <c r="AG8" s="987"/>
      <c r="AH8" s="987"/>
      <c r="AI8" s="987"/>
      <c r="AJ8" s="987"/>
      <c r="AK8" s="987"/>
      <c r="AL8" s="987"/>
      <c r="AM8" s="987"/>
      <c r="AN8" s="987"/>
      <c r="AO8" s="987"/>
      <c r="AP8" s="1620" t="s">
        <v>361</v>
      </c>
      <c r="AR8" s="987" t="str">
        <f xml:space="preserve"> "Book Value (FY"&amp;Assumptions!$J$19&amp;")"</f>
        <v>Book Value (FY2017)</v>
      </c>
      <c r="AS8" s="987"/>
      <c r="AT8" s="987"/>
      <c r="AU8" s="987"/>
      <c r="AV8" s="987"/>
      <c r="AW8" s="987"/>
      <c r="AX8" s="987"/>
      <c r="AY8" s="987"/>
      <c r="AZ8" s="987"/>
      <c r="BA8" s="987"/>
      <c r="BB8" s="987"/>
      <c r="BC8" s="987"/>
      <c r="BD8" s="987"/>
      <c r="BE8" s="987"/>
      <c r="BF8" s="987"/>
      <c r="BG8" s="987"/>
      <c r="BH8" s="987"/>
      <c r="BI8" s="987"/>
      <c r="BJ8" s="987"/>
      <c r="BK8" s="987"/>
      <c r="BL8" s="987"/>
      <c r="BM8" s="987"/>
      <c r="BN8" s="987"/>
      <c r="BO8" s="987"/>
      <c r="BP8" s="987"/>
      <c r="BQ8" s="987"/>
      <c r="BR8" s="987"/>
      <c r="BS8" s="987"/>
      <c r="BT8" s="987"/>
      <c r="BU8" s="987"/>
    </row>
    <row r="9" spans="1:74" ht="15.75" x14ac:dyDescent="0.25">
      <c r="B9" s="1461"/>
      <c r="C9" s="952"/>
      <c r="D9" s="1461"/>
      <c r="E9" s="1461"/>
      <c r="F9" s="1619"/>
      <c r="G9" s="1462"/>
      <c r="H9" s="1462"/>
      <c r="I9" s="1462"/>
      <c r="J9" s="1619"/>
      <c r="L9" s="1463">
        <v>1</v>
      </c>
      <c r="M9" s="1463">
        <f>L9+1</f>
        <v>2</v>
      </c>
      <c r="N9" s="1463">
        <f t="shared" ref="N9:AO9" si="0">M9+1</f>
        <v>3</v>
      </c>
      <c r="O9" s="1463">
        <f t="shared" si="0"/>
        <v>4</v>
      </c>
      <c r="P9" s="1463">
        <f t="shared" si="0"/>
        <v>5</v>
      </c>
      <c r="Q9" s="1463">
        <f t="shared" si="0"/>
        <v>6</v>
      </c>
      <c r="R9" s="1463">
        <f t="shared" si="0"/>
        <v>7</v>
      </c>
      <c r="S9" s="1463">
        <f t="shared" si="0"/>
        <v>8</v>
      </c>
      <c r="T9" s="1463">
        <f t="shared" si="0"/>
        <v>9</v>
      </c>
      <c r="U9" s="1463">
        <f t="shared" si="0"/>
        <v>10</v>
      </c>
      <c r="V9" s="1463">
        <f t="shared" si="0"/>
        <v>11</v>
      </c>
      <c r="W9" s="1463">
        <f t="shared" si="0"/>
        <v>12</v>
      </c>
      <c r="X9" s="1463">
        <f t="shared" si="0"/>
        <v>13</v>
      </c>
      <c r="Y9" s="1463">
        <f t="shared" si="0"/>
        <v>14</v>
      </c>
      <c r="Z9" s="1463">
        <f t="shared" si="0"/>
        <v>15</v>
      </c>
      <c r="AA9" s="1463">
        <f t="shared" si="0"/>
        <v>16</v>
      </c>
      <c r="AB9" s="1463">
        <f t="shared" si="0"/>
        <v>17</v>
      </c>
      <c r="AC9" s="1463">
        <f t="shared" si="0"/>
        <v>18</v>
      </c>
      <c r="AD9" s="1463">
        <f t="shared" si="0"/>
        <v>19</v>
      </c>
      <c r="AE9" s="1463">
        <f t="shared" si="0"/>
        <v>20</v>
      </c>
      <c r="AF9" s="1463">
        <f t="shared" si="0"/>
        <v>21</v>
      </c>
      <c r="AG9" s="1463">
        <f t="shared" si="0"/>
        <v>22</v>
      </c>
      <c r="AH9" s="1463">
        <f t="shared" si="0"/>
        <v>23</v>
      </c>
      <c r="AI9" s="1463">
        <f t="shared" si="0"/>
        <v>24</v>
      </c>
      <c r="AJ9" s="1463">
        <f t="shared" si="0"/>
        <v>25</v>
      </c>
      <c r="AK9" s="1463">
        <f t="shared" si="0"/>
        <v>26</v>
      </c>
      <c r="AL9" s="1463">
        <f t="shared" si="0"/>
        <v>27</v>
      </c>
      <c r="AM9" s="1463">
        <f t="shared" si="0"/>
        <v>28</v>
      </c>
      <c r="AN9" s="1463">
        <f t="shared" si="0"/>
        <v>29</v>
      </c>
      <c r="AO9" s="1463">
        <f t="shared" si="0"/>
        <v>30</v>
      </c>
      <c r="AP9" s="1620"/>
      <c r="AR9" s="1463">
        <f t="shared" ref="AR9" si="1">AQ9+1</f>
        <v>1</v>
      </c>
      <c r="AS9" s="1463">
        <f>AR9+1</f>
        <v>2</v>
      </c>
      <c r="AT9" s="1463">
        <f t="shared" ref="AT9:BU9" si="2">AS9+1</f>
        <v>3</v>
      </c>
      <c r="AU9" s="1463">
        <f t="shared" si="2"/>
        <v>4</v>
      </c>
      <c r="AV9" s="1463">
        <f t="shared" si="2"/>
        <v>5</v>
      </c>
      <c r="AW9" s="1463">
        <f t="shared" si="2"/>
        <v>6</v>
      </c>
      <c r="AX9" s="1463">
        <f t="shared" si="2"/>
        <v>7</v>
      </c>
      <c r="AY9" s="1463">
        <f t="shared" si="2"/>
        <v>8</v>
      </c>
      <c r="AZ9" s="1463">
        <f t="shared" si="2"/>
        <v>9</v>
      </c>
      <c r="BA9" s="1463">
        <f t="shared" si="2"/>
        <v>10</v>
      </c>
      <c r="BB9" s="1463">
        <f t="shared" si="2"/>
        <v>11</v>
      </c>
      <c r="BC9" s="1463">
        <f t="shared" si="2"/>
        <v>12</v>
      </c>
      <c r="BD9" s="1463">
        <f t="shared" si="2"/>
        <v>13</v>
      </c>
      <c r="BE9" s="1463">
        <f t="shared" si="2"/>
        <v>14</v>
      </c>
      <c r="BF9" s="1463">
        <f t="shared" si="2"/>
        <v>15</v>
      </c>
      <c r="BG9" s="1463">
        <f t="shared" si="2"/>
        <v>16</v>
      </c>
      <c r="BH9" s="1463">
        <f t="shared" si="2"/>
        <v>17</v>
      </c>
      <c r="BI9" s="1463">
        <f t="shared" si="2"/>
        <v>18</v>
      </c>
      <c r="BJ9" s="1463">
        <f t="shared" si="2"/>
        <v>19</v>
      </c>
      <c r="BK9" s="1463">
        <f t="shared" si="2"/>
        <v>20</v>
      </c>
      <c r="BL9" s="1463">
        <f t="shared" si="2"/>
        <v>21</v>
      </c>
      <c r="BM9" s="1463">
        <f t="shared" si="2"/>
        <v>22</v>
      </c>
      <c r="BN9" s="1463">
        <f t="shared" si="2"/>
        <v>23</v>
      </c>
      <c r="BO9" s="1463">
        <f t="shared" si="2"/>
        <v>24</v>
      </c>
      <c r="BP9" s="1463">
        <f t="shared" si="2"/>
        <v>25</v>
      </c>
      <c r="BQ9" s="1463">
        <f t="shared" si="2"/>
        <v>26</v>
      </c>
      <c r="BR9" s="1463">
        <f t="shared" si="2"/>
        <v>27</v>
      </c>
      <c r="BS9" s="1463">
        <f t="shared" si="2"/>
        <v>28</v>
      </c>
      <c r="BT9" s="1463">
        <f t="shared" si="2"/>
        <v>29</v>
      </c>
      <c r="BU9" s="1463">
        <f t="shared" si="2"/>
        <v>30</v>
      </c>
    </row>
    <row r="10" spans="1:74" x14ac:dyDescent="0.2">
      <c r="B10" s="952"/>
      <c r="C10" s="987" t="s">
        <v>285</v>
      </c>
      <c r="D10" s="987" t="s">
        <v>343</v>
      </c>
      <c r="E10" s="987" t="s">
        <v>342</v>
      </c>
      <c r="F10" s="1619"/>
      <c r="G10" s="1462" t="s">
        <v>357</v>
      </c>
      <c r="H10" s="1462" t="s">
        <v>299</v>
      </c>
      <c r="I10" s="1462" t="s">
        <v>340</v>
      </c>
      <c r="J10" s="1619"/>
      <c r="L10" s="1464">
        <f>Assumptions!$J$42</f>
        <v>2019</v>
      </c>
      <c r="M10" s="1464">
        <f>L10+1</f>
        <v>2020</v>
      </c>
      <c r="N10" s="1464">
        <f t="shared" ref="N10:AO10" si="3">M10+1</f>
        <v>2021</v>
      </c>
      <c r="O10" s="1464">
        <f t="shared" si="3"/>
        <v>2022</v>
      </c>
      <c r="P10" s="1464">
        <f t="shared" si="3"/>
        <v>2023</v>
      </c>
      <c r="Q10" s="1464">
        <f t="shared" si="3"/>
        <v>2024</v>
      </c>
      <c r="R10" s="1464">
        <f t="shared" si="3"/>
        <v>2025</v>
      </c>
      <c r="S10" s="1464">
        <f t="shared" si="3"/>
        <v>2026</v>
      </c>
      <c r="T10" s="1464">
        <f t="shared" si="3"/>
        <v>2027</v>
      </c>
      <c r="U10" s="1464">
        <f t="shared" si="3"/>
        <v>2028</v>
      </c>
      <c r="V10" s="1464">
        <f t="shared" si="3"/>
        <v>2029</v>
      </c>
      <c r="W10" s="1464">
        <f t="shared" si="3"/>
        <v>2030</v>
      </c>
      <c r="X10" s="1464">
        <f t="shared" si="3"/>
        <v>2031</v>
      </c>
      <c r="Y10" s="1464">
        <f t="shared" si="3"/>
        <v>2032</v>
      </c>
      <c r="Z10" s="1464">
        <f t="shared" si="3"/>
        <v>2033</v>
      </c>
      <c r="AA10" s="1464">
        <f t="shared" si="3"/>
        <v>2034</v>
      </c>
      <c r="AB10" s="1464">
        <f t="shared" si="3"/>
        <v>2035</v>
      </c>
      <c r="AC10" s="1464">
        <f t="shared" si="3"/>
        <v>2036</v>
      </c>
      <c r="AD10" s="1464">
        <f t="shared" si="3"/>
        <v>2037</v>
      </c>
      <c r="AE10" s="1464">
        <f t="shared" si="3"/>
        <v>2038</v>
      </c>
      <c r="AF10" s="1464">
        <f t="shared" si="3"/>
        <v>2039</v>
      </c>
      <c r="AG10" s="1464">
        <f t="shared" si="3"/>
        <v>2040</v>
      </c>
      <c r="AH10" s="1464">
        <f t="shared" si="3"/>
        <v>2041</v>
      </c>
      <c r="AI10" s="1464">
        <f t="shared" si="3"/>
        <v>2042</v>
      </c>
      <c r="AJ10" s="1464">
        <f t="shared" si="3"/>
        <v>2043</v>
      </c>
      <c r="AK10" s="1464">
        <f t="shared" si="3"/>
        <v>2044</v>
      </c>
      <c r="AL10" s="1464">
        <f t="shared" si="3"/>
        <v>2045</v>
      </c>
      <c r="AM10" s="1464">
        <f t="shared" si="3"/>
        <v>2046</v>
      </c>
      <c r="AN10" s="1464">
        <f t="shared" si="3"/>
        <v>2047</v>
      </c>
      <c r="AO10" s="1464">
        <f t="shared" si="3"/>
        <v>2048</v>
      </c>
      <c r="AP10" s="1620"/>
      <c r="AR10" s="1464">
        <f>Assumptions!$J$42</f>
        <v>2019</v>
      </c>
      <c r="AS10" s="1464">
        <f>AR10+1</f>
        <v>2020</v>
      </c>
      <c r="AT10" s="1464">
        <f t="shared" ref="AT10:BU10" si="4">AS10+1</f>
        <v>2021</v>
      </c>
      <c r="AU10" s="1464">
        <f t="shared" si="4"/>
        <v>2022</v>
      </c>
      <c r="AV10" s="1464">
        <f t="shared" si="4"/>
        <v>2023</v>
      </c>
      <c r="AW10" s="1464">
        <f t="shared" si="4"/>
        <v>2024</v>
      </c>
      <c r="AX10" s="1464">
        <f t="shared" si="4"/>
        <v>2025</v>
      </c>
      <c r="AY10" s="1464">
        <f t="shared" si="4"/>
        <v>2026</v>
      </c>
      <c r="AZ10" s="1464">
        <f t="shared" si="4"/>
        <v>2027</v>
      </c>
      <c r="BA10" s="1464">
        <f t="shared" si="4"/>
        <v>2028</v>
      </c>
      <c r="BB10" s="1464">
        <f t="shared" si="4"/>
        <v>2029</v>
      </c>
      <c r="BC10" s="1464">
        <f t="shared" si="4"/>
        <v>2030</v>
      </c>
      <c r="BD10" s="1464">
        <f t="shared" si="4"/>
        <v>2031</v>
      </c>
      <c r="BE10" s="1464">
        <f t="shared" si="4"/>
        <v>2032</v>
      </c>
      <c r="BF10" s="1464">
        <f t="shared" si="4"/>
        <v>2033</v>
      </c>
      <c r="BG10" s="1464">
        <f t="shared" si="4"/>
        <v>2034</v>
      </c>
      <c r="BH10" s="1464">
        <f t="shared" si="4"/>
        <v>2035</v>
      </c>
      <c r="BI10" s="1464">
        <f t="shared" si="4"/>
        <v>2036</v>
      </c>
      <c r="BJ10" s="1464">
        <f t="shared" si="4"/>
        <v>2037</v>
      </c>
      <c r="BK10" s="1464">
        <f t="shared" si="4"/>
        <v>2038</v>
      </c>
      <c r="BL10" s="1464">
        <f t="shared" si="4"/>
        <v>2039</v>
      </c>
      <c r="BM10" s="1464">
        <f t="shared" si="4"/>
        <v>2040</v>
      </c>
      <c r="BN10" s="1464">
        <f t="shared" si="4"/>
        <v>2041</v>
      </c>
      <c r="BO10" s="1464">
        <f t="shared" si="4"/>
        <v>2042</v>
      </c>
      <c r="BP10" s="1464">
        <f t="shared" si="4"/>
        <v>2043</v>
      </c>
      <c r="BQ10" s="1464">
        <f t="shared" si="4"/>
        <v>2044</v>
      </c>
      <c r="BR10" s="1464">
        <f t="shared" si="4"/>
        <v>2045</v>
      </c>
      <c r="BS10" s="1464">
        <f t="shared" si="4"/>
        <v>2046</v>
      </c>
      <c r="BT10" s="1464">
        <f t="shared" si="4"/>
        <v>2047</v>
      </c>
      <c r="BU10" s="1464">
        <f t="shared" si="4"/>
        <v>2048</v>
      </c>
    </row>
    <row r="11" spans="1:74" ht="8.25" customHeight="1" x14ac:dyDescent="0.2">
      <c r="B11" s="922"/>
      <c r="C11" s="1023"/>
      <c r="D11" s="1023"/>
      <c r="E11" s="1023"/>
      <c r="F11" s="1023"/>
      <c r="G11" s="1023"/>
      <c r="H11" s="1023"/>
      <c r="I11" s="1023"/>
      <c r="J11" s="1023"/>
    </row>
    <row r="12" spans="1:74" ht="15" x14ac:dyDescent="0.25">
      <c r="B12" s="1465" t="str">
        <f>'Summary Tables'!I5</f>
        <v>C-Syrup (Sucrosic)</v>
      </c>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c r="AT12" s="1466"/>
      <c r="AU12" s="1466"/>
      <c r="AV12" s="1466"/>
      <c r="AW12" s="1466"/>
      <c r="AX12" s="1466"/>
      <c r="AY12" s="1466"/>
      <c r="AZ12" s="1466"/>
      <c r="BA12" s="1466"/>
      <c r="BB12" s="1466"/>
      <c r="BC12" s="1466"/>
      <c r="BD12" s="1466"/>
      <c r="BE12" s="1466"/>
      <c r="BF12" s="1466"/>
      <c r="BG12" s="1466"/>
      <c r="BH12" s="1466"/>
      <c r="BI12" s="1466"/>
      <c r="BJ12" s="1466"/>
      <c r="BK12" s="1466"/>
      <c r="BL12" s="1466"/>
      <c r="BM12" s="1466"/>
      <c r="BN12" s="1466"/>
      <c r="BO12" s="1466"/>
      <c r="BP12" s="1466"/>
      <c r="BQ12" s="1466"/>
      <c r="BR12" s="1466"/>
      <c r="BS12" s="1466"/>
      <c r="BT12" s="1466"/>
      <c r="BU12" s="1466"/>
      <c r="BV12" s="1466"/>
    </row>
    <row r="13" spans="1:74" x14ac:dyDescent="0.2">
      <c r="B13" s="1297" t="str">
        <f>Assumptions!$AH$82</f>
        <v>Accelerated</v>
      </c>
      <c r="C13" s="1297"/>
      <c r="D13" s="1297"/>
      <c r="E13" s="1297"/>
      <c r="F13" s="1297"/>
      <c r="G13" s="1297"/>
      <c r="H13" s="1297"/>
      <c r="I13" s="1297"/>
      <c r="J13" s="1297"/>
      <c r="K13" s="1107"/>
      <c r="L13" s="1107"/>
      <c r="M13" s="1107"/>
      <c r="N13" s="1107"/>
      <c r="O13" s="1107"/>
      <c r="P13" s="1107"/>
      <c r="Q13" s="1107"/>
      <c r="R13" s="1107"/>
      <c r="S13" s="1107"/>
      <c r="T13" s="1107"/>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297"/>
      <c r="AQ13" s="1466"/>
      <c r="AR13" s="1297"/>
      <c r="AS13" s="1297"/>
      <c r="AT13" s="1297"/>
      <c r="AU13" s="1297"/>
      <c r="AV13" s="1297"/>
      <c r="AW13" s="1297"/>
      <c r="AX13" s="1297"/>
      <c r="AY13" s="1297"/>
      <c r="AZ13" s="1297"/>
      <c r="BA13" s="1297"/>
      <c r="BB13" s="1297"/>
      <c r="BC13" s="1297"/>
      <c r="BD13" s="1297"/>
      <c r="BE13" s="1297"/>
      <c r="BF13" s="1297"/>
      <c r="BG13" s="1297"/>
      <c r="BH13" s="1297"/>
      <c r="BI13" s="1297"/>
      <c r="BJ13" s="1297"/>
      <c r="BK13" s="1297"/>
      <c r="BL13" s="1297"/>
      <c r="BM13" s="1297"/>
      <c r="BN13" s="1297"/>
      <c r="BO13" s="1297"/>
      <c r="BP13" s="1297"/>
      <c r="BQ13" s="1297"/>
      <c r="BR13" s="1297"/>
      <c r="BS13" s="1297"/>
      <c r="BT13" s="1297"/>
      <c r="BU13" s="1297"/>
      <c r="BV13" s="1466"/>
    </row>
    <row r="14" spans="1:74" x14ac:dyDescent="0.2">
      <c r="A14" s="927" t="str">
        <f>C14&amp;"."&amp;D14</f>
        <v>C-Syrup (Sucrosic).Accelerated</v>
      </c>
      <c r="B14" s="1076"/>
      <c r="C14" s="1076" t="str">
        <f>B12</f>
        <v>C-Syrup (Sucrosic)</v>
      </c>
      <c r="D14" s="1076" t="str">
        <f>Assumptions!$AH$82</f>
        <v>Accelerated</v>
      </c>
      <c r="E14" s="1076" t="str">
        <f>'C-Syrup (Sucrosic)'!$G206</f>
        <v>Molasses Receival</v>
      </c>
      <c r="F14" s="1467">
        <f>SUM('C-Syrup (Sucrosic)'!I206:J206)*1000000</f>
        <v>10000000</v>
      </c>
      <c r="G14" s="1467">
        <f>F14*(1+$F$4)</f>
        <v>12375000</v>
      </c>
      <c r="H14" s="1467">
        <f>G14*(1+$F$5)</f>
        <v>13612500.000000002</v>
      </c>
      <c r="I14" s="1467">
        <f>H14*(1+$F$6)</f>
        <v>13612500.000000002</v>
      </c>
      <c r="J14" s="1076">
        <f>Assumptions!$N$55</f>
        <v>0.2</v>
      </c>
      <c r="K14" s="1107"/>
      <c r="L14" s="1467">
        <f>$I14*$J14</f>
        <v>2722500.0000000005</v>
      </c>
      <c r="M14" s="1467">
        <f>($I14-SUM($L14:L14))*$J14</f>
        <v>2178000.0000000005</v>
      </c>
      <c r="N14" s="1467">
        <f>($I14-SUM($L14:M14))*$J14</f>
        <v>1742400</v>
      </c>
      <c r="O14" s="1467">
        <f>($I14-SUM($L14:N14))*$J14</f>
        <v>1393920.0000000002</v>
      </c>
      <c r="P14" s="1467">
        <f>($I14-SUM($L14:O14))*$J14</f>
        <v>1115136.0000000002</v>
      </c>
      <c r="Q14" s="1467">
        <f>($I14-SUM($L14:P14))*$J14</f>
        <v>892108.80000000005</v>
      </c>
      <c r="R14" s="1467">
        <f>($I14-SUM($L14:Q14))*$J14</f>
        <v>713687.03999999992</v>
      </c>
      <c r="S14" s="1467">
        <f>($I14-SUM($L14:R14))*$J14</f>
        <v>570949.6320000001</v>
      </c>
      <c r="T14" s="1467">
        <f>($I14-SUM($L14:S14))*$J14</f>
        <v>456759.70560000022</v>
      </c>
      <c r="U14" s="1467">
        <f>($I14-SUM($L14:T14))*$J14</f>
        <v>365407.76448000001</v>
      </c>
      <c r="V14" s="1467">
        <f>($I14-SUM($L14:U14))*$J14</f>
        <v>292326.21158399992</v>
      </c>
      <c r="W14" s="1467">
        <f>($I14-SUM($L14:V14))*$J14</f>
        <v>233860.96926719995</v>
      </c>
      <c r="X14" s="1467">
        <f>($I14-SUM($L14:W14))*$J14</f>
        <v>187088.77541375981</v>
      </c>
      <c r="Y14" s="1467">
        <f>($I14-SUM($L14:X14))*$J14</f>
        <v>149671.02033100798</v>
      </c>
      <c r="Z14" s="1467">
        <f>($I14-SUM($L14:Y14))*$J14</f>
        <v>119736.81626480632</v>
      </c>
      <c r="AA14" s="1467">
        <f>($I14-SUM($L14:Z14))*$J14</f>
        <v>95789.453011845064</v>
      </c>
      <c r="AB14" s="1467">
        <f>($I14-SUM($L14:AA14))*$J14</f>
        <v>76631.562409476188</v>
      </c>
      <c r="AC14" s="1467">
        <f>($I14-SUM($L14:AB14))*$J14</f>
        <v>61305.249927581106</v>
      </c>
      <c r="AD14" s="1467">
        <f>($I14-SUM($L14:AC14))*$J14</f>
        <v>49044.199942065032</v>
      </c>
      <c r="AE14" s="1467">
        <f>($I14-SUM($L14:AD14))*$J14</f>
        <v>39235.359953651954</v>
      </c>
      <c r="AF14" s="1467">
        <f>($I14-SUM($L14:AE14))*$J14</f>
        <v>31388.28796292171</v>
      </c>
      <c r="AG14" s="1467">
        <f>($I14-SUM($L14:AF14))*$J14</f>
        <v>25110.630370337516</v>
      </c>
      <c r="AH14" s="1467">
        <f>($I14-SUM($L14:AG14))*$J14</f>
        <v>20088.504296270014</v>
      </c>
      <c r="AI14" s="1467">
        <f>($I14-SUM($L14:AH14))*$J14</f>
        <v>16070.80343701616</v>
      </c>
      <c r="AJ14" s="1467">
        <f>($I14-SUM($L14:AI14))*$J14</f>
        <v>12856.64274961278</v>
      </c>
      <c r="AK14" s="1467">
        <f>($I14-SUM($L14:AJ14))*$J14</f>
        <v>10285.314199690149</v>
      </c>
      <c r="AL14" s="1467">
        <f>($I14-SUM($L14:AK14))*$J14</f>
        <v>8228.2513597521938</v>
      </c>
      <c r="AM14" s="1467">
        <f>($I14-SUM($L14:AL14))*$J14</f>
        <v>6582.6010878019042</v>
      </c>
      <c r="AN14" s="1467">
        <f>($I14-SUM($L14:AM14))*$J14</f>
        <v>5266.0808702416725</v>
      </c>
      <c r="AO14" s="1467">
        <f>($I14-SUM($L14:AN14))*$J14</f>
        <v>4212.8646961934865</v>
      </c>
      <c r="AP14" s="1468">
        <f>SUM(L14:AO14)</f>
        <v>13595648.541215228</v>
      </c>
      <c r="AQ14" s="1466"/>
      <c r="AR14" s="1467">
        <f>I14-L14</f>
        <v>10890000.000000002</v>
      </c>
      <c r="AS14" s="1467">
        <f>AR14-M14</f>
        <v>8712000.0000000019</v>
      </c>
      <c r="AT14" s="1467">
        <f t="shared" ref="AT14:BU23" si="5">AS14-N14</f>
        <v>6969600.0000000019</v>
      </c>
      <c r="AU14" s="1467">
        <f t="shared" si="5"/>
        <v>5575680.0000000019</v>
      </c>
      <c r="AV14" s="1467">
        <f t="shared" si="5"/>
        <v>4460544.0000000019</v>
      </c>
      <c r="AW14" s="1467">
        <f t="shared" si="5"/>
        <v>3568435.200000002</v>
      </c>
      <c r="AX14" s="1467">
        <f t="shared" si="5"/>
        <v>2854748.160000002</v>
      </c>
      <c r="AY14" s="1467">
        <f t="shared" si="5"/>
        <v>2283798.5280000018</v>
      </c>
      <c r="AZ14" s="1467">
        <f t="shared" si="5"/>
        <v>1827038.8224000016</v>
      </c>
      <c r="BA14" s="1467">
        <f t="shared" si="5"/>
        <v>1461631.0579200014</v>
      </c>
      <c r="BB14" s="1467">
        <f t="shared" si="5"/>
        <v>1169304.8463360015</v>
      </c>
      <c r="BC14" s="1467">
        <f t="shared" si="5"/>
        <v>935443.87706880155</v>
      </c>
      <c r="BD14" s="1467">
        <f t="shared" si="5"/>
        <v>748355.1016550418</v>
      </c>
      <c r="BE14" s="1467">
        <f t="shared" si="5"/>
        <v>598684.08132403379</v>
      </c>
      <c r="BF14" s="1467">
        <f t="shared" si="5"/>
        <v>478947.26505922747</v>
      </c>
      <c r="BG14" s="1467">
        <f t="shared" si="5"/>
        <v>383157.81204738241</v>
      </c>
      <c r="BH14" s="1467">
        <f t="shared" si="5"/>
        <v>306526.24963790621</v>
      </c>
      <c r="BI14" s="1467">
        <f t="shared" si="5"/>
        <v>245220.99971032509</v>
      </c>
      <c r="BJ14" s="1467">
        <f t="shared" si="5"/>
        <v>196176.79976826007</v>
      </c>
      <c r="BK14" s="1467">
        <f t="shared" si="5"/>
        <v>156941.43981460811</v>
      </c>
      <c r="BL14" s="1467">
        <f t="shared" si="5"/>
        <v>125553.1518516864</v>
      </c>
      <c r="BM14" s="1467">
        <f t="shared" si="5"/>
        <v>100442.52148134889</v>
      </c>
      <c r="BN14" s="1467">
        <f t="shared" si="5"/>
        <v>80354.017185078876</v>
      </c>
      <c r="BO14" s="1467">
        <f t="shared" si="5"/>
        <v>64283.213748062713</v>
      </c>
      <c r="BP14" s="1467">
        <f t="shared" si="5"/>
        <v>51426.570998449934</v>
      </c>
      <c r="BQ14" s="1467">
        <f t="shared" si="5"/>
        <v>41141.256798759787</v>
      </c>
      <c r="BR14" s="1467">
        <f t="shared" si="5"/>
        <v>32913.005439007597</v>
      </c>
      <c r="BS14" s="1467">
        <f t="shared" si="5"/>
        <v>26330.404351205692</v>
      </c>
      <c r="BT14" s="1467">
        <f t="shared" si="5"/>
        <v>21064.32348096402</v>
      </c>
      <c r="BU14" s="1467">
        <f t="shared" si="5"/>
        <v>16851.458784770533</v>
      </c>
      <c r="BV14" s="1466"/>
    </row>
    <row r="15" spans="1:74" x14ac:dyDescent="0.2">
      <c r="A15" s="927" t="str">
        <f t="shared" ref="A15:A31" si="6">C15&amp;"."&amp;D15</f>
        <v>C-Syrup (Sucrosic).Accelerated</v>
      </c>
      <c r="B15" s="1076"/>
      <c r="C15" s="1076" t="str">
        <f>C14</f>
        <v>C-Syrup (Sucrosic)</v>
      </c>
      <c r="D15" s="1076" t="str">
        <f>Assumptions!$AH$82</f>
        <v>Accelerated</v>
      </c>
      <c r="E15" s="1076" t="str">
        <f>'C-Syrup (Sucrosic)'!$G207</f>
        <v>Fermentation Plant</v>
      </c>
      <c r="F15" s="1467">
        <f>SUM('C-Syrup (Sucrosic)'!I207:J207)*1000000</f>
        <v>18000000</v>
      </c>
      <c r="G15" s="1467">
        <f t="shared" ref="G15:G34" si="7">F15*(1+$F$4)</f>
        <v>22275000</v>
      </c>
      <c r="H15" s="1467">
        <f t="shared" ref="H15:H34" si="8">G15*(1+$F$5)</f>
        <v>24502500.000000004</v>
      </c>
      <c r="I15" s="1467">
        <f t="shared" ref="I15:I31" si="9">H15*(1+$F$6)</f>
        <v>24502500.000000004</v>
      </c>
      <c r="J15" s="1076">
        <f>J14</f>
        <v>0.2</v>
      </c>
      <c r="K15" s="1107"/>
      <c r="L15" s="1467">
        <f t="shared" ref="L15:AA30" si="10">$I15*$J15</f>
        <v>4900500.0000000009</v>
      </c>
      <c r="M15" s="1467">
        <f>($I15-SUM($L15:L15))*$J15</f>
        <v>3920400.0000000009</v>
      </c>
      <c r="N15" s="1467">
        <f>($I15-SUM($L15:M15))*$J15</f>
        <v>3136320.0000000005</v>
      </c>
      <c r="O15" s="1467">
        <f>($I15-SUM($L15:N15))*$J15</f>
        <v>2509056.0000000005</v>
      </c>
      <c r="P15" s="1467">
        <f>($I15-SUM($L15:O15))*$J15</f>
        <v>2007244.8000000005</v>
      </c>
      <c r="Q15" s="1467">
        <f>($I15-SUM($L15:P15))*$J15</f>
        <v>1605795.8400000003</v>
      </c>
      <c r="R15" s="1467">
        <f>($I15-SUM($L15:Q15))*$J15</f>
        <v>1284636.672</v>
      </c>
      <c r="S15" s="1467">
        <f>($I15-SUM($L15:R15))*$J15</f>
        <v>1027709.3376000002</v>
      </c>
      <c r="T15" s="1467">
        <f>($I15-SUM($L15:S15))*$J15</f>
        <v>822167.47008000023</v>
      </c>
      <c r="U15" s="1467">
        <f>($I15-SUM($L15:T15))*$J15</f>
        <v>657733.97606400028</v>
      </c>
      <c r="V15" s="1467">
        <f>($I15-SUM($L15:U15))*$J15</f>
        <v>526187.18085120025</v>
      </c>
      <c r="W15" s="1467">
        <f>($I15-SUM($L15:V15))*$J15</f>
        <v>420949.74468096049</v>
      </c>
      <c r="X15" s="1467">
        <f>($I15-SUM($L15:W15))*$J15</f>
        <v>336759.79574476858</v>
      </c>
      <c r="Y15" s="1467">
        <f>($I15-SUM($L15:X15))*$J15</f>
        <v>269407.83659581468</v>
      </c>
      <c r="Z15" s="1467">
        <f>($I15-SUM($L15:Y15))*$J15</f>
        <v>215526.26927665176</v>
      </c>
      <c r="AA15" s="1467">
        <f>($I15-SUM($L15:Z15))*$J15</f>
        <v>172421.01542132127</v>
      </c>
      <c r="AB15" s="1467">
        <f>($I15-SUM($L15:AA15))*$J15</f>
        <v>137936.81233705729</v>
      </c>
      <c r="AC15" s="1467">
        <f>($I15-SUM($L15:AB15))*$J15</f>
        <v>110349.44986964614</v>
      </c>
      <c r="AD15" s="1467">
        <f>($I15-SUM($L15:AC15))*$J15</f>
        <v>88279.559895716608</v>
      </c>
      <c r="AE15" s="1467">
        <f>($I15-SUM($L15:AD15))*$J15</f>
        <v>70623.647916573289</v>
      </c>
      <c r="AF15" s="1467">
        <f>($I15-SUM($L15:AE15))*$J15</f>
        <v>56498.91833325848</v>
      </c>
      <c r="AG15" s="1467">
        <f>($I15-SUM($L15:AF15))*$J15</f>
        <v>45199.134666606784</v>
      </c>
      <c r="AH15" s="1467">
        <f>($I15-SUM($L15:AG15))*$J15</f>
        <v>36159.30773328543</v>
      </c>
      <c r="AI15" s="1467">
        <f>($I15-SUM($L15:AH15))*$J15</f>
        <v>28927.446186628193</v>
      </c>
      <c r="AJ15" s="1467">
        <f>($I15-SUM($L15:AI15))*$J15</f>
        <v>23141.956949302556</v>
      </c>
      <c r="AK15" s="1467">
        <f>($I15-SUM($L15:AJ15))*$J15</f>
        <v>18513.565559442341</v>
      </c>
      <c r="AL15" s="1467">
        <f>($I15-SUM($L15:AK15))*$J15</f>
        <v>14810.852447553725</v>
      </c>
      <c r="AM15" s="1467">
        <f>($I15-SUM($L15:AL15))*$J15</f>
        <v>11848.681958042831</v>
      </c>
      <c r="AN15" s="1467">
        <f>($I15-SUM($L15:AM15))*$J15</f>
        <v>9478.9455664344132</v>
      </c>
      <c r="AO15" s="1467">
        <f>($I15-SUM($L15:AN15))*$J15</f>
        <v>7583.1564531475306</v>
      </c>
      <c r="AP15" s="1468">
        <f t="shared" ref="AP15:AP29" si="11">SUM(L15:AO15)</f>
        <v>24472167.374187414</v>
      </c>
      <c r="AQ15" s="1466"/>
      <c r="AR15" s="1467">
        <f t="shared" ref="AR15:AR29" si="12">I15-L15</f>
        <v>19602000.000000004</v>
      </c>
      <c r="AS15" s="1467">
        <f t="shared" ref="AS15:AS29" si="13">AR15-M15</f>
        <v>15681600.000000004</v>
      </c>
      <c r="AT15" s="1467">
        <f t="shared" si="5"/>
        <v>12545280.000000004</v>
      </c>
      <c r="AU15" s="1467">
        <f t="shared" si="5"/>
        <v>10036224.000000004</v>
      </c>
      <c r="AV15" s="1467">
        <f t="shared" si="5"/>
        <v>8028979.200000003</v>
      </c>
      <c r="AW15" s="1467">
        <f t="shared" si="5"/>
        <v>6423183.3600000031</v>
      </c>
      <c r="AX15" s="1467">
        <f t="shared" si="5"/>
        <v>5138546.6880000029</v>
      </c>
      <c r="AY15" s="1467">
        <f t="shared" si="5"/>
        <v>4110837.3504000027</v>
      </c>
      <c r="AZ15" s="1467">
        <f t="shared" si="5"/>
        <v>3288669.8803200023</v>
      </c>
      <c r="BA15" s="1467">
        <f t="shared" si="5"/>
        <v>2630935.904256002</v>
      </c>
      <c r="BB15" s="1467">
        <f t="shared" si="5"/>
        <v>2104748.7234048019</v>
      </c>
      <c r="BC15" s="1467">
        <f t="shared" si="5"/>
        <v>1683798.9787238415</v>
      </c>
      <c r="BD15" s="1467">
        <f t="shared" si="5"/>
        <v>1347039.1829790729</v>
      </c>
      <c r="BE15" s="1467">
        <f t="shared" si="5"/>
        <v>1077631.3463832582</v>
      </c>
      <c r="BF15" s="1467">
        <f t="shared" si="5"/>
        <v>862105.07710660645</v>
      </c>
      <c r="BG15" s="1467">
        <f t="shared" si="5"/>
        <v>689684.06168528518</v>
      </c>
      <c r="BH15" s="1467">
        <f t="shared" si="5"/>
        <v>551747.24934822787</v>
      </c>
      <c r="BI15" s="1467">
        <f t="shared" si="5"/>
        <v>441397.79947858176</v>
      </c>
      <c r="BJ15" s="1467">
        <f t="shared" si="5"/>
        <v>353118.23958286515</v>
      </c>
      <c r="BK15" s="1467">
        <f t="shared" si="5"/>
        <v>282494.59166629188</v>
      </c>
      <c r="BL15" s="1467">
        <f t="shared" si="5"/>
        <v>225995.6733330334</v>
      </c>
      <c r="BM15" s="1467">
        <f t="shared" si="5"/>
        <v>180796.53866642661</v>
      </c>
      <c r="BN15" s="1467">
        <f t="shared" si="5"/>
        <v>144637.2309331412</v>
      </c>
      <c r="BO15" s="1467">
        <f t="shared" si="5"/>
        <v>115709.784746513</v>
      </c>
      <c r="BP15" s="1467">
        <f t="shared" si="5"/>
        <v>92567.827797210455</v>
      </c>
      <c r="BQ15" s="1467">
        <f t="shared" si="5"/>
        <v>74054.262237768111</v>
      </c>
      <c r="BR15" s="1467">
        <f t="shared" si="5"/>
        <v>59243.409790214384</v>
      </c>
      <c r="BS15" s="1467">
        <f t="shared" si="5"/>
        <v>47394.727832171557</v>
      </c>
      <c r="BT15" s="1467">
        <f t="shared" si="5"/>
        <v>37915.782265737143</v>
      </c>
      <c r="BU15" s="1467">
        <f t="shared" si="5"/>
        <v>30332.625812589613</v>
      </c>
      <c r="BV15" s="1466"/>
    </row>
    <row r="16" spans="1:74" x14ac:dyDescent="0.2">
      <c r="A16" s="927" t="str">
        <f t="shared" si="6"/>
        <v>C-Syrup (Sucrosic).Accelerated</v>
      </c>
      <c r="B16" s="1076"/>
      <c r="C16" s="1076" t="str">
        <f t="shared" ref="C16:C22" si="14">C15</f>
        <v>C-Syrup (Sucrosic)</v>
      </c>
      <c r="D16" s="1076" t="str">
        <f>Assumptions!$AH$82</f>
        <v>Accelerated</v>
      </c>
      <c r="E16" s="1076" t="str">
        <f>'C-Syrup (Sucrosic)'!$G208</f>
        <v>Distillation, Rectification and Dehydration</v>
      </c>
      <c r="F16" s="1467">
        <f>SUM('C-Syrup (Sucrosic)'!I208:J208)*1000000</f>
        <v>23000000</v>
      </c>
      <c r="G16" s="1467">
        <f t="shared" si="7"/>
        <v>28462500</v>
      </c>
      <c r="H16" s="1467">
        <f t="shared" si="8"/>
        <v>31308750.000000004</v>
      </c>
      <c r="I16" s="1467">
        <f t="shared" si="9"/>
        <v>31308750.000000004</v>
      </c>
      <c r="J16" s="1076">
        <f t="shared" ref="J16:J22" si="15">J15</f>
        <v>0.2</v>
      </c>
      <c r="K16" s="1107"/>
      <c r="L16" s="1467">
        <f t="shared" si="10"/>
        <v>6261750.0000000009</v>
      </c>
      <c r="M16" s="1467">
        <f>($I16-SUM($L16:L16))*$J16</f>
        <v>5009400.0000000009</v>
      </c>
      <c r="N16" s="1467">
        <f>($I16-SUM($L16:M16))*$J16</f>
        <v>4007520</v>
      </c>
      <c r="O16" s="1467">
        <f>($I16-SUM($L16:N16))*$J16</f>
        <v>3206016.0000000005</v>
      </c>
      <c r="P16" s="1467">
        <f>($I16-SUM($L16:O16))*$J16</f>
        <v>2564812.8000000003</v>
      </c>
      <c r="Q16" s="1467">
        <f>($I16-SUM($L16:P16))*$J16</f>
        <v>2051850.24</v>
      </c>
      <c r="R16" s="1467">
        <f>($I16-SUM($L16:Q16))*$J16</f>
        <v>1641480.1920000003</v>
      </c>
      <c r="S16" s="1467">
        <f>($I16-SUM($L16:R16))*$J16</f>
        <v>1313184.1535999998</v>
      </c>
      <c r="T16" s="1467">
        <f>($I16-SUM($L16:S16))*$J16</f>
        <v>1050547.3228799999</v>
      </c>
      <c r="U16" s="1467">
        <f>($I16-SUM($L16:T16))*$J16</f>
        <v>840437.85830399999</v>
      </c>
      <c r="V16" s="1467">
        <f>($I16-SUM($L16:U16))*$J16</f>
        <v>672350.28664319962</v>
      </c>
      <c r="W16" s="1467">
        <f>($I16-SUM($L16:V16))*$J16</f>
        <v>537880.22931455972</v>
      </c>
      <c r="X16" s="1467">
        <f>($I16-SUM($L16:W16))*$J16</f>
        <v>430304.1834516481</v>
      </c>
      <c r="Y16" s="1467">
        <f>($I16-SUM($L16:X16))*$J16</f>
        <v>344243.34676131833</v>
      </c>
      <c r="Z16" s="1467">
        <f>($I16-SUM($L16:Y16))*$J16</f>
        <v>275394.67740905436</v>
      </c>
      <c r="AA16" s="1467">
        <f>($I16-SUM($L16:Z16))*$J16</f>
        <v>220315.74192724377</v>
      </c>
      <c r="AB16" s="1467">
        <f>($I16-SUM($L16:AA16))*$J16</f>
        <v>176252.59354179504</v>
      </c>
      <c r="AC16" s="1467">
        <f>($I16-SUM($L16:AB16))*$J16</f>
        <v>141002.07483343632</v>
      </c>
      <c r="AD16" s="1467">
        <f>($I16-SUM($L16:AC16))*$J16</f>
        <v>112801.65986674876</v>
      </c>
      <c r="AE16" s="1467">
        <f>($I16-SUM($L16:AD16))*$J16</f>
        <v>90241.327893398702</v>
      </c>
      <c r="AF16" s="1467">
        <f>($I16-SUM($L16:AE16))*$J16</f>
        <v>72193.062314718962</v>
      </c>
      <c r="AG16" s="1467">
        <f>($I16-SUM($L16:AF16))*$J16</f>
        <v>57754.449851775171</v>
      </c>
      <c r="AH16" s="1467">
        <f>($I16-SUM($L16:AG16))*$J16</f>
        <v>46203.559881420435</v>
      </c>
      <c r="AI16" s="1467">
        <f>($I16-SUM($L16:AH16))*$J16</f>
        <v>36962.847905136645</v>
      </c>
      <c r="AJ16" s="1467">
        <f>($I16-SUM($L16:AI16))*$J16</f>
        <v>29570.278324109317</v>
      </c>
      <c r="AK16" s="1467">
        <f>($I16-SUM($L16:AJ16))*$J16</f>
        <v>23656.222659287603</v>
      </c>
      <c r="AL16" s="1467">
        <f>($I16-SUM($L16:AK16))*$J16</f>
        <v>18924.978127430379</v>
      </c>
      <c r="AM16" s="1467">
        <f>($I16-SUM($L16:AL16))*$J16</f>
        <v>15139.982501944156</v>
      </c>
      <c r="AN16" s="1467">
        <f>($I16-SUM($L16:AM16))*$J16</f>
        <v>12111.986001555622</v>
      </c>
      <c r="AO16" s="1467">
        <f>($I16-SUM($L16:AN16))*$J16</f>
        <v>9689.5888012446467</v>
      </c>
      <c r="AP16" s="1468">
        <f t="shared" si="11"/>
        <v>31269991.644795027</v>
      </c>
      <c r="AQ16" s="1466"/>
      <c r="AR16" s="1467">
        <f t="shared" si="12"/>
        <v>25047000.000000004</v>
      </c>
      <c r="AS16" s="1467">
        <f t="shared" si="13"/>
        <v>20037600.000000004</v>
      </c>
      <c r="AT16" s="1467">
        <f t="shared" si="5"/>
        <v>16030080.000000004</v>
      </c>
      <c r="AU16" s="1467">
        <f t="shared" si="5"/>
        <v>12824064.000000004</v>
      </c>
      <c r="AV16" s="1467">
        <f t="shared" si="5"/>
        <v>10259251.200000003</v>
      </c>
      <c r="AW16" s="1467">
        <f t="shared" si="5"/>
        <v>8207400.9600000028</v>
      </c>
      <c r="AX16" s="1467">
        <f t="shared" si="5"/>
        <v>6565920.768000003</v>
      </c>
      <c r="AY16" s="1467">
        <f t="shared" si="5"/>
        <v>5252736.6144000031</v>
      </c>
      <c r="AZ16" s="1467">
        <f t="shared" si="5"/>
        <v>4202189.2915200032</v>
      </c>
      <c r="BA16" s="1467">
        <f t="shared" si="5"/>
        <v>3361751.4332160032</v>
      </c>
      <c r="BB16" s="1467">
        <f t="shared" si="5"/>
        <v>2689401.1465728036</v>
      </c>
      <c r="BC16" s="1467">
        <f t="shared" si="5"/>
        <v>2151520.917258244</v>
      </c>
      <c r="BD16" s="1467">
        <f t="shared" si="5"/>
        <v>1721216.7338065959</v>
      </c>
      <c r="BE16" s="1467">
        <f t="shared" si="5"/>
        <v>1376973.3870452775</v>
      </c>
      <c r="BF16" s="1467">
        <f t="shared" si="5"/>
        <v>1101578.709636223</v>
      </c>
      <c r="BG16" s="1467">
        <f t="shared" si="5"/>
        <v>881262.96770897927</v>
      </c>
      <c r="BH16" s="1467">
        <f t="shared" si="5"/>
        <v>705010.37416718423</v>
      </c>
      <c r="BI16" s="1467">
        <f t="shared" si="5"/>
        <v>564008.29933374794</v>
      </c>
      <c r="BJ16" s="1467">
        <f t="shared" si="5"/>
        <v>451206.63946699922</v>
      </c>
      <c r="BK16" s="1467">
        <f t="shared" si="5"/>
        <v>360965.31157360051</v>
      </c>
      <c r="BL16" s="1467">
        <f t="shared" si="5"/>
        <v>288772.24925888155</v>
      </c>
      <c r="BM16" s="1467">
        <f t="shared" si="5"/>
        <v>231017.79940710639</v>
      </c>
      <c r="BN16" s="1467">
        <f t="shared" si="5"/>
        <v>184814.23952568596</v>
      </c>
      <c r="BO16" s="1467">
        <f t="shared" si="5"/>
        <v>147851.39162054932</v>
      </c>
      <c r="BP16" s="1467">
        <f t="shared" si="5"/>
        <v>118281.11329644</v>
      </c>
      <c r="BQ16" s="1467">
        <f t="shared" si="5"/>
        <v>94624.890637152392</v>
      </c>
      <c r="BR16" s="1467">
        <f t="shared" si="5"/>
        <v>75699.912509722009</v>
      </c>
      <c r="BS16" s="1467">
        <f t="shared" si="5"/>
        <v>60559.930007777853</v>
      </c>
      <c r="BT16" s="1467">
        <f t="shared" si="5"/>
        <v>48447.944006222227</v>
      </c>
      <c r="BU16" s="1467">
        <f t="shared" si="5"/>
        <v>38758.355204977583</v>
      </c>
      <c r="BV16" s="1466"/>
    </row>
    <row r="17" spans="1:74" x14ac:dyDescent="0.2">
      <c r="A17" s="927" t="str">
        <f t="shared" si="6"/>
        <v>C-Syrup (Sucrosic).Accelerated</v>
      </c>
      <c r="B17" s="1076"/>
      <c r="C17" s="1076" t="str">
        <f t="shared" si="14"/>
        <v>C-Syrup (Sucrosic)</v>
      </c>
      <c r="D17" s="1076" t="str">
        <f>Assumptions!$AH$82</f>
        <v>Accelerated</v>
      </c>
      <c r="E17" s="1076" t="str">
        <f>'C-Syrup (Sucrosic)'!$G209</f>
        <v>Alcohol Storage</v>
      </c>
      <c r="F17" s="1467">
        <f>SUM('C-Syrup (Sucrosic)'!I209:J209)*1000000</f>
        <v>5000000</v>
      </c>
      <c r="G17" s="1467">
        <f t="shared" si="7"/>
        <v>6187500</v>
      </c>
      <c r="H17" s="1467">
        <f t="shared" si="8"/>
        <v>6806250.0000000009</v>
      </c>
      <c r="I17" s="1467">
        <f t="shared" si="9"/>
        <v>6806250.0000000009</v>
      </c>
      <c r="J17" s="1076">
        <f t="shared" si="15"/>
        <v>0.2</v>
      </c>
      <c r="K17" s="1107"/>
      <c r="L17" s="1467">
        <f t="shared" si="10"/>
        <v>1361250.0000000002</v>
      </c>
      <c r="M17" s="1467">
        <f>($I17-SUM($L17:L17))*$J17</f>
        <v>1089000.0000000002</v>
      </c>
      <c r="N17" s="1467">
        <f>($I17-SUM($L17:M17))*$J17</f>
        <v>871200</v>
      </c>
      <c r="O17" s="1467">
        <f>($I17-SUM($L17:N17))*$J17</f>
        <v>696960.00000000012</v>
      </c>
      <c r="P17" s="1467">
        <f>($I17-SUM($L17:O17))*$J17</f>
        <v>557568.00000000012</v>
      </c>
      <c r="Q17" s="1467">
        <f>($I17-SUM($L17:P17))*$J17</f>
        <v>446054.40000000002</v>
      </c>
      <c r="R17" s="1467">
        <f>($I17-SUM($L17:Q17))*$J17</f>
        <v>356843.51999999996</v>
      </c>
      <c r="S17" s="1467">
        <f>($I17-SUM($L17:R17))*$J17</f>
        <v>285474.81600000005</v>
      </c>
      <c r="T17" s="1467">
        <f>($I17-SUM($L17:S17))*$J17</f>
        <v>228379.85280000011</v>
      </c>
      <c r="U17" s="1467">
        <f>($I17-SUM($L17:T17))*$J17</f>
        <v>182703.88224000001</v>
      </c>
      <c r="V17" s="1467">
        <f>($I17-SUM($L17:U17))*$J17</f>
        <v>146163.10579199996</v>
      </c>
      <c r="W17" s="1467">
        <f>($I17-SUM($L17:V17))*$J17</f>
        <v>116930.48463359998</v>
      </c>
      <c r="X17" s="1467">
        <f>($I17-SUM($L17:W17))*$J17</f>
        <v>93544.387706879905</v>
      </c>
      <c r="Y17" s="1467">
        <f>($I17-SUM($L17:X17))*$J17</f>
        <v>74835.510165503991</v>
      </c>
      <c r="Z17" s="1467">
        <f>($I17-SUM($L17:Y17))*$J17</f>
        <v>59868.408132403158</v>
      </c>
      <c r="AA17" s="1467">
        <f>($I17-SUM($L17:Z17))*$J17</f>
        <v>47894.726505922532</v>
      </c>
      <c r="AB17" s="1467">
        <f>($I17-SUM($L17:AA17))*$J17</f>
        <v>38315.781204738094</v>
      </c>
      <c r="AC17" s="1467">
        <f>($I17-SUM($L17:AB17))*$J17</f>
        <v>30652.624963790553</v>
      </c>
      <c r="AD17" s="1467">
        <f>($I17-SUM($L17:AC17))*$J17</f>
        <v>24522.099971032516</v>
      </c>
      <c r="AE17" s="1467">
        <f>($I17-SUM($L17:AD17))*$J17</f>
        <v>19617.679976825977</v>
      </c>
      <c r="AF17" s="1467">
        <f>($I17-SUM($L17:AE17))*$J17</f>
        <v>15694.143981460855</v>
      </c>
      <c r="AG17" s="1467">
        <f>($I17-SUM($L17:AF17))*$J17</f>
        <v>12555.315185168758</v>
      </c>
      <c r="AH17" s="1467">
        <f>($I17-SUM($L17:AG17))*$J17</f>
        <v>10044.252148135007</v>
      </c>
      <c r="AI17" s="1467">
        <f>($I17-SUM($L17:AH17))*$J17</f>
        <v>8035.4017185080802</v>
      </c>
      <c r="AJ17" s="1467">
        <f>($I17-SUM($L17:AI17))*$J17</f>
        <v>6428.3213748063899</v>
      </c>
      <c r="AK17" s="1467">
        <f>($I17-SUM($L17:AJ17))*$J17</f>
        <v>5142.6570998450743</v>
      </c>
      <c r="AL17" s="1467">
        <f>($I17-SUM($L17:AK17))*$J17</f>
        <v>4114.1256798760969</v>
      </c>
      <c r="AM17" s="1467">
        <f>($I17-SUM($L17:AL17))*$J17</f>
        <v>3291.3005439009521</v>
      </c>
      <c r="AN17" s="1467">
        <f>($I17-SUM($L17:AM17))*$J17</f>
        <v>2633.0404351208363</v>
      </c>
      <c r="AO17" s="1467">
        <f>($I17-SUM($L17:AN17))*$J17</f>
        <v>2106.4323480967432</v>
      </c>
      <c r="AP17" s="1468">
        <f t="shared" si="11"/>
        <v>6797824.270607614</v>
      </c>
      <c r="AQ17" s="1466"/>
      <c r="AR17" s="1467">
        <f t="shared" si="12"/>
        <v>5445000.0000000009</v>
      </c>
      <c r="AS17" s="1467">
        <f t="shared" si="13"/>
        <v>4356000.0000000009</v>
      </c>
      <c r="AT17" s="1467">
        <f t="shared" si="5"/>
        <v>3484800.0000000009</v>
      </c>
      <c r="AU17" s="1467">
        <f t="shared" si="5"/>
        <v>2787840.0000000009</v>
      </c>
      <c r="AV17" s="1467">
        <f t="shared" si="5"/>
        <v>2230272.0000000009</v>
      </c>
      <c r="AW17" s="1467">
        <f t="shared" si="5"/>
        <v>1784217.600000001</v>
      </c>
      <c r="AX17" s="1467">
        <f t="shared" si="5"/>
        <v>1427374.080000001</v>
      </c>
      <c r="AY17" s="1467">
        <f t="shared" si="5"/>
        <v>1141899.2640000009</v>
      </c>
      <c r="AZ17" s="1467">
        <f t="shared" si="5"/>
        <v>913519.41120000079</v>
      </c>
      <c r="BA17" s="1467">
        <f t="shared" si="5"/>
        <v>730815.52896000072</v>
      </c>
      <c r="BB17" s="1467">
        <f t="shared" si="5"/>
        <v>584652.42316800077</v>
      </c>
      <c r="BC17" s="1467">
        <f t="shared" si="5"/>
        <v>467721.93853440078</v>
      </c>
      <c r="BD17" s="1467">
        <f t="shared" si="5"/>
        <v>374177.5508275209</v>
      </c>
      <c r="BE17" s="1467">
        <f t="shared" si="5"/>
        <v>299342.04066201689</v>
      </c>
      <c r="BF17" s="1467">
        <f t="shared" si="5"/>
        <v>239473.63252961374</v>
      </c>
      <c r="BG17" s="1467">
        <f t="shared" si="5"/>
        <v>191578.9060236912</v>
      </c>
      <c r="BH17" s="1467">
        <f t="shared" si="5"/>
        <v>153263.1248189531</v>
      </c>
      <c r="BI17" s="1467">
        <f t="shared" si="5"/>
        <v>122610.49985516255</v>
      </c>
      <c r="BJ17" s="1467">
        <f t="shared" si="5"/>
        <v>98088.399884130034</v>
      </c>
      <c r="BK17" s="1467">
        <f t="shared" si="5"/>
        <v>78470.719907304054</v>
      </c>
      <c r="BL17" s="1467">
        <f t="shared" si="5"/>
        <v>62776.575925843201</v>
      </c>
      <c r="BM17" s="1467">
        <f t="shared" si="5"/>
        <v>50221.260740674443</v>
      </c>
      <c r="BN17" s="1467">
        <f t="shared" si="5"/>
        <v>40177.008592539438</v>
      </c>
      <c r="BO17" s="1467">
        <f t="shared" si="5"/>
        <v>32141.606874031357</v>
      </c>
      <c r="BP17" s="1467">
        <f t="shared" si="5"/>
        <v>25713.285499224967</v>
      </c>
      <c r="BQ17" s="1467">
        <f t="shared" si="5"/>
        <v>20570.628399379893</v>
      </c>
      <c r="BR17" s="1467">
        <f t="shared" si="5"/>
        <v>16456.502719503798</v>
      </c>
      <c r="BS17" s="1467">
        <f t="shared" si="5"/>
        <v>13165.202175602846</v>
      </c>
      <c r="BT17" s="1467">
        <f t="shared" si="5"/>
        <v>10532.16174048201</v>
      </c>
      <c r="BU17" s="1467">
        <f t="shared" si="5"/>
        <v>8425.7293923852667</v>
      </c>
      <c r="BV17" s="1466"/>
    </row>
    <row r="18" spans="1:74" x14ac:dyDescent="0.2">
      <c r="A18" s="927" t="str">
        <f t="shared" si="6"/>
        <v>C-Syrup (Sucrosic).Accelerated</v>
      </c>
      <c r="B18" s="1076"/>
      <c r="C18" s="1076" t="str">
        <f t="shared" si="14"/>
        <v>C-Syrup (Sucrosic)</v>
      </c>
      <c r="D18" s="1076" t="str">
        <f>Assumptions!$AH$82</f>
        <v>Accelerated</v>
      </c>
      <c r="E18" s="1076" t="str">
        <f>'C-Syrup (Sucrosic)'!$G210</f>
        <v>Dunder and Fertiliser Plant</v>
      </c>
      <c r="F18" s="1467">
        <f>SUM('C-Syrup (Sucrosic)'!I210:J210)*1000000</f>
        <v>17000000</v>
      </c>
      <c r="G18" s="1467">
        <f t="shared" si="7"/>
        <v>21037500</v>
      </c>
      <c r="H18" s="1467">
        <f t="shared" si="8"/>
        <v>23141250.000000004</v>
      </c>
      <c r="I18" s="1467">
        <f t="shared" si="9"/>
        <v>23141250.000000004</v>
      </c>
      <c r="J18" s="1076">
        <f t="shared" si="15"/>
        <v>0.2</v>
      </c>
      <c r="K18" s="1107"/>
      <c r="L18" s="1467">
        <f t="shared" si="10"/>
        <v>4628250.0000000009</v>
      </c>
      <c r="M18" s="1467">
        <f>($I18-SUM($L18:L18))*$J18</f>
        <v>3702600.0000000009</v>
      </c>
      <c r="N18" s="1467">
        <f>($I18-SUM($L18:M18))*$J18</f>
        <v>2962080.0000000005</v>
      </c>
      <c r="O18" s="1467">
        <f>($I18-SUM($L18:N18))*$J18</f>
        <v>2369664.0000000005</v>
      </c>
      <c r="P18" s="1467">
        <f>($I18-SUM($L18:O18))*$J18</f>
        <v>1895731.2000000004</v>
      </c>
      <c r="Q18" s="1467">
        <f>($I18-SUM($L18:P18))*$J18</f>
        <v>1516584.9600000002</v>
      </c>
      <c r="R18" s="1467">
        <f>($I18-SUM($L18:Q18))*$J18</f>
        <v>1213267.9680000001</v>
      </c>
      <c r="S18" s="1467">
        <f>($I18-SUM($L18:R18))*$J18</f>
        <v>970614.37440000032</v>
      </c>
      <c r="T18" s="1467">
        <f>($I18-SUM($L18:S18))*$J18</f>
        <v>776491.49952000007</v>
      </c>
      <c r="U18" s="1467">
        <f>($I18-SUM($L18:T18))*$J18</f>
        <v>621193.19961600006</v>
      </c>
      <c r="V18" s="1467">
        <f>($I18-SUM($L18:U18))*$J18</f>
        <v>496954.55969280005</v>
      </c>
      <c r="W18" s="1467">
        <f>($I18-SUM($L18:V18))*$J18</f>
        <v>397563.64775424008</v>
      </c>
      <c r="X18" s="1467">
        <f>($I18-SUM($L18:W18))*$J18</f>
        <v>318050.91820339189</v>
      </c>
      <c r="Y18" s="1467">
        <f>($I18-SUM($L18:X18))*$J18</f>
        <v>254440.73456271365</v>
      </c>
      <c r="Z18" s="1467">
        <f>($I18-SUM($L18:Y18))*$J18</f>
        <v>203552.58765017093</v>
      </c>
      <c r="AA18" s="1467">
        <f>($I18-SUM($L18:Z18))*$J18</f>
        <v>162842.07012013646</v>
      </c>
      <c r="AB18" s="1467">
        <f>($I18-SUM($L18:AA18))*$J18</f>
        <v>130273.65609610901</v>
      </c>
      <c r="AC18" s="1467">
        <f>($I18-SUM($L18:AB18))*$J18</f>
        <v>104218.92487688735</v>
      </c>
      <c r="AD18" s="1467">
        <f>($I18-SUM($L18:AC18))*$J18</f>
        <v>83375.139901509887</v>
      </c>
      <c r="AE18" s="1467">
        <f>($I18-SUM($L18:AD18))*$J18</f>
        <v>66700.111921207616</v>
      </c>
      <c r="AF18" s="1467">
        <f>($I18-SUM($L18:AE18))*$J18</f>
        <v>53360.089536966385</v>
      </c>
      <c r="AG18" s="1467">
        <f>($I18-SUM($L18:AF18))*$J18</f>
        <v>42688.071629573409</v>
      </c>
      <c r="AH18" s="1467">
        <f>($I18-SUM($L18:AG18))*$J18</f>
        <v>34150.457303658877</v>
      </c>
      <c r="AI18" s="1467">
        <f>($I18-SUM($L18:AH18))*$J18</f>
        <v>27320.365842927247</v>
      </c>
      <c r="AJ18" s="1467">
        <f>($I18-SUM($L18:AI18))*$J18</f>
        <v>21856.292674341799</v>
      </c>
      <c r="AK18" s="1467">
        <f>($I18-SUM($L18:AJ18))*$J18</f>
        <v>17485.034139473737</v>
      </c>
      <c r="AL18" s="1467">
        <f>($I18-SUM($L18:AK18))*$J18</f>
        <v>13988.027311579139</v>
      </c>
      <c r="AM18" s="1467">
        <f>($I18-SUM($L18:AL18))*$J18</f>
        <v>11190.421849263461</v>
      </c>
      <c r="AN18" s="1467">
        <f>($I18-SUM($L18:AM18))*$J18</f>
        <v>8952.3374794110659</v>
      </c>
      <c r="AO18" s="1467">
        <f>($I18-SUM($L18:AN18))*$J18</f>
        <v>7161.8699835285552</v>
      </c>
      <c r="AP18" s="1468">
        <f t="shared" si="11"/>
        <v>23112602.520065889</v>
      </c>
      <c r="AQ18" s="1466"/>
      <c r="AR18" s="1467">
        <f t="shared" si="12"/>
        <v>18513000.000000004</v>
      </c>
      <c r="AS18" s="1467">
        <f t="shared" si="13"/>
        <v>14810400.000000004</v>
      </c>
      <c r="AT18" s="1467">
        <f t="shared" si="5"/>
        <v>11848320.000000004</v>
      </c>
      <c r="AU18" s="1467">
        <f t="shared" si="5"/>
        <v>9478656.0000000037</v>
      </c>
      <c r="AV18" s="1467">
        <f t="shared" si="5"/>
        <v>7582924.8000000035</v>
      </c>
      <c r="AW18" s="1467">
        <f t="shared" si="5"/>
        <v>6066339.8400000036</v>
      </c>
      <c r="AX18" s="1467">
        <f t="shared" si="5"/>
        <v>4853071.8720000032</v>
      </c>
      <c r="AY18" s="1467">
        <f t="shared" si="5"/>
        <v>3882457.4976000031</v>
      </c>
      <c r="AZ18" s="1467">
        <f t="shared" si="5"/>
        <v>3105965.9980800031</v>
      </c>
      <c r="BA18" s="1467">
        <f t="shared" si="5"/>
        <v>2484772.798464003</v>
      </c>
      <c r="BB18" s="1467">
        <f t="shared" si="5"/>
        <v>1987818.238771203</v>
      </c>
      <c r="BC18" s="1467">
        <f t="shared" si="5"/>
        <v>1590254.5910169629</v>
      </c>
      <c r="BD18" s="1467">
        <f t="shared" si="5"/>
        <v>1272203.6728135711</v>
      </c>
      <c r="BE18" s="1467">
        <f t="shared" si="5"/>
        <v>1017762.9382508574</v>
      </c>
      <c r="BF18" s="1467">
        <f t="shared" si="5"/>
        <v>814210.35060068651</v>
      </c>
      <c r="BG18" s="1467">
        <f t="shared" si="5"/>
        <v>651368.28048055002</v>
      </c>
      <c r="BH18" s="1467">
        <f t="shared" si="5"/>
        <v>521094.62438444101</v>
      </c>
      <c r="BI18" s="1467">
        <f t="shared" si="5"/>
        <v>416875.69950755365</v>
      </c>
      <c r="BJ18" s="1467">
        <f t="shared" si="5"/>
        <v>333500.55960604374</v>
      </c>
      <c r="BK18" s="1467">
        <f t="shared" si="5"/>
        <v>266800.44768483611</v>
      </c>
      <c r="BL18" s="1467">
        <f t="shared" si="5"/>
        <v>213440.35814786973</v>
      </c>
      <c r="BM18" s="1467">
        <f t="shared" si="5"/>
        <v>170752.28651829631</v>
      </c>
      <c r="BN18" s="1467">
        <f t="shared" si="5"/>
        <v>136601.82921463743</v>
      </c>
      <c r="BO18" s="1467">
        <f t="shared" si="5"/>
        <v>109281.46337171018</v>
      </c>
      <c r="BP18" s="1467">
        <f t="shared" si="5"/>
        <v>87425.17069736839</v>
      </c>
      <c r="BQ18" s="1467">
        <f t="shared" si="5"/>
        <v>69940.136557894657</v>
      </c>
      <c r="BR18" s="1467">
        <f t="shared" si="5"/>
        <v>55952.109246315522</v>
      </c>
      <c r="BS18" s="1467">
        <f t="shared" si="5"/>
        <v>44761.687397052061</v>
      </c>
      <c r="BT18" s="1467">
        <f t="shared" si="5"/>
        <v>35809.349917640997</v>
      </c>
      <c r="BU18" s="1467">
        <f t="shared" si="5"/>
        <v>28647.479934112442</v>
      </c>
      <c r="BV18" s="1466"/>
    </row>
    <row r="19" spans="1:74" x14ac:dyDescent="0.2">
      <c r="A19" s="927" t="str">
        <f t="shared" si="6"/>
        <v>C-Syrup (Sucrosic).Accelerated</v>
      </c>
      <c r="B19" s="1076"/>
      <c r="C19" s="1076" t="str">
        <f t="shared" si="14"/>
        <v>C-Syrup (Sucrosic)</v>
      </c>
      <c r="D19" s="1076" t="str">
        <f>Assumptions!$AH$82</f>
        <v>Accelerated</v>
      </c>
      <c r="E19" s="1076" t="str">
        <f>'C-Syrup (Sucrosic)'!$G211</f>
        <v>Biogas Plant</v>
      </c>
      <c r="F19" s="1467">
        <f>SUM('C-Syrup (Sucrosic)'!I211:J211)*1000000</f>
        <v>11000000</v>
      </c>
      <c r="G19" s="1467">
        <f t="shared" si="7"/>
        <v>13612500</v>
      </c>
      <c r="H19" s="1467">
        <f t="shared" si="8"/>
        <v>14973750.000000002</v>
      </c>
      <c r="I19" s="1467">
        <f t="shared" si="9"/>
        <v>14973750.000000002</v>
      </c>
      <c r="J19" s="1076">
        <f t="shared" si="15"/>
        <v>0.2</v>
      </c>
      <c r="K19" s="1107"/>
      <c r="L19" s="1467">
        <f t="shared" si="10"/>
        <v>2994750.0000000005</v>
      </c>
      <c r="M19" s="1467">
        <f>($I19-SUM($L19:L19))*$J19</f>
        <v>2395800.0000000005</v>
      </c>
      <c r="N19" s="1467">
        <f>($I19-SUM($L19:M19))*$J19</f>
        <v>1916640</v>
      </c>
      <c r="O19" s="1467">
        <f>($I19-SUM($L19:N19))*$J19</f>
        <v>1533312.0000000002</v>
      </c>
      <c r="P19" s="1467">
        <f>($I19-SUM($L19:O19))*$J19</f>
        <v>1226649.6000000001</v>
      </c>
      <c r="Q19" s="1467">
        <f>($I19-SUM($L19:P19))*$J19</f>
        <v>981319.68000000017</v>
      </c>
      <c r="R19" s="1467">
        <f>($I19-SUM($L19:Q19))*$J19</f>
        <v>785055.74400000018</v>
      </c>
      <c r="S19" s="1467">
        <f>($I19-SUM($L19:R19))*$J19</f>
        <v>628044.59519999998</v>
      </c>
      <c r="T19" s="1467">
        <f>($I19-SUM($L19:S19))*$J19</f>
        <v>502435.67615999992</v>
      </c>
      <c r="U19" s="1467">
        <f>($I19-SUM($L19:T19))*$J19</f>
        <v>401948.54092799989</v>
      </c>
      <c r="V19" s="1467">
        <f>($I19-SUM($L19:U19))*$J19</f>
        <v>321558.83274239977</v>
      </c>
      <c r="W19" s="1467">
        <f>($I19-SUM($L19:V19))*$J19</f>
        <v>257247.06619391963</v>
      </c>
      <c r="X19" s="1467">
        <f>($I19-SUM($L19:W19))*$J19</f>
        <v>205797.65295513571</v>
      </c>
      <c r="Y19" s="1467">
        <f>($I19-SUM($L19:X19))*$J19</f>
        <v>164638.12236410865</v>
      </c>
      <c r="Z19" s="1467">
        <f>($I19-SUM($L19:Y19))*$J19</f>
        <v>131710.49789128677</v>
      </c>
      <c r="AA19" s="1467">
        <f>($I19-SUM($L19:Z19))*$J19</f>
        <v>105368.39831302949</v>
      </c>
      <c r="AB19" s="1467">
        <f>($I19-SUM($L19:AA19))*$J19</f>
        <v>84294.718650423747</v>
      </c>
      <c r="AC19" s="1467">
        <f>($I19-SUM($L19:AB19))*$J19</f>
        <v>67435.774920339143</v>
      </c>
      <c r="AD19" s="1467">
        <f>($I19-SUM($L19:AC19))*$J19</f>
        <v>53948.619936271389</v>
      </c>
      <c r="AE19" s="1467">
        <f>($I19-SUM($L19:AD19))*$J19</f>
        <v>43158.895949017256</v>
      </c>
      <c r="AF19" s="1467">
        <f>($I19-SUM($L19:AE19))*$J19</f>
        <v>34527.116759213808</v>
      </c>
      <c r="AG19" s="1467">
        <f>($I19-SUM($L19:AF19))*$J19</f>
        <v>27621.693407370898</v>
      </c>
      <c r="AH19" s="1467">
        <f>($I19-SUM($L19:AG19))*$J19</f>
        <v>22097.35472589657</v>
      </c>
      <c r="AI19" s="1467">
        <f>($I19-SUM($L19:AH19))*$J19</f>
        <v>17677.883780717104</v>
      </c>
      <c r="AJ19" s="1467">
        <f>($I19-SUM($L19:AI19))*$J19</f>
        <v>14142.307024573536</v>
      </c>
      <c r="AK19" s="1467">
        <f>($I19-SUM($L19:AJ19))*$J19</f>
        <v>11313.845619658754</v>
      </c>
      <c r="AL19" s="1467">
        <f>($I19-SUM($L19:AK19))*$J19</f>
        <v>9051.0764957271513</v>
      </c>
      <c r="AM19" s="1467">
        <f>($I19-SUM($L19:AL19))*$J19</f>
        <v>7240.8611965816472</v>
      </c>
      <c r="AN19" s="1467">
        <f>($I19-SUM($L19:AM19))*$J19</f>
        <v>5792.6889572653927</v>
      </c>
      <c r="AO19" s="1467">
        <f>($I19-SUM($L19:AN19))*$J19</f>
        <v>4634.1511658124628</v>
      </c>
      <c r="AP19" s="1468">
        <f t="shared" si="11"/>
        <v>14955213.395336753</v>
      </c>
      <c r="AQ19" s="1466"/>
      <c r="AR19" s="1467">
        <f t="shared" si="12"/>
        <v>11979000.000000002</v>
      </c>
      <c r="AS19" s="1467">
        <f t="shared" si="13"/>
        <v>9583200.0000000019</v>
      </c>
      <c r="AT19" s="1467">
        <f t="shared" si="5"/>
        <v>7666560.0000000019</v>
      </c>
      <c r="AU19" s="1467">
        <f t="shared" si="5"/>
        <v>6133248.0000000019</v>
      </c>
      <c r="AV19" s="1467">
        <f t="shared" si="5"/>
        <v>4906598.4000000022</v>
      </c>
      <c r="AW19" s="1467">
        <f t="shared" si="5"/>
        <v>3925278.7200000021</v>
      </c>
      <c r="AX19" s="1467">
        <f t="shared" si="5"/>
        <v>3140222.9760000017</v>
      </c>
      <c r="AY19" s="1467">
        <f t="shared" si="5"/>
        <v>2512178.3808000018</v>
      </c>
      <c r="AZ19" s="1467">
        <f t="shared" si="5"/>
        <v>2009742.704640002</v>
      </c>
      <c r="BA19" s="1467">
        <f t="shared" si="5"/>
        <v>1607794.1637120021</v>
      </c>
      <c r="BB19" s="1467">
        <f t="shared" si="5"/>
        <v>1286235.3309696023</v>
      </c>
      <c r="BC19" s="1467">
        <f t="shared" si="5"/>
        <v>1028988.2647756827</v>
      </c>
      <c r="BD19" s="1467">
        <f t="shared" si="5"/>
        <v>823190.61182054703</v>
      </c>
      <c r="BE19" s="1467">
        <f t="shared" si="5"/>
        <v>658552.48945643834</v>
      </c>
      <c r="BF19" s="1467">
        <f t="shared" si="5"/>
        <v>526841.99156515161</v>
      </c>
      <c r="BG19" s="1467">
        <f t="shared" si="5"/>
        <v>421473.59325212211</v>
      </c>
      <c r="BH19" s="1467">
        <f t="shared" si="5"/>
        <v>337178.87460169836</v>
      </c>
      <c r="BI19" s="1467">
        <f t="shared" si="5"/>
        <v>269743.09968135925</v>
      </c>
      <c r="BJ19" s="1467">
        <f t="shared" si="5"/>
        <v>215794.47974508785</v>
      </c>
      <c r="BK19" s="1467">
        <f t="shared" si="5"/>
        <v>172635.5837960706</v>
      </c>
      <c r="BL19" s="1467">
        <f t="shared" si="5"/>
        <v>138108.4670368568</v>
      </c>
      <c r="BM19" s="1467">
        <f t="shared" si="5"/>
        <v>110486.77362948591</v>
      </c>
      <c r="BN19" s="1467">
        <f t="shared" si="5"/>
        <v>88389.418903589336</v>
      </c>
      <c r="BO19" s="1467">
        <f t="shared" si="5"/>
        <v>70711.535122872228</v>
      </c>
      <c r="BP19" s="1467">
        <f t="shared" si="5"/>
        <v>56569.228098298692</v>
      </c>
      <c r="BQ19" s="1467">
        <f t="shared" si="5"/>
        <v>45255.382478639935</v>
      </c>
      <c r="BR19" s="1467">
        <f t="shared" si="5"/>
        <v>36204.305982912781</v>
      </c>
      <c r="BS19" s="1467">
        <f t="shared" si="5"/>
        <v>28963.444786331136</v>
      </c>
      <c r="BT19" s="1467">
        <f t="shared" si="5"/>
        <v>23170.755829065743</v>
      </c>
      <c r="BU19" s="1467">
        <f t="shared" si="5"/>
        <v>18536.604663253282</v>
      </c>
      <c r="BV19" s="1466"/>
    </row>
    <row r="20" spans="1:74" x14ac:dyDescent="0.2">
      <c r="A20" s="927" t="str">
        <f t="shared" ref="A20:A21" si="16">C20&amp;"."&amp;D20</f>
        <v>C-Syrup (Sucrosic).Accelerated</v>
      </c>
      <c r="B20" s="1076"/>
      <c r="C20" s="1076" t="str">
        <f t="shared" si="14"/>
        <v>C-Syrup (Sucrosic)</v>
      </c>
      <c r="D20" s="1076" t="str">
        <f>Assumptions!$AH$82</f>
        <v>Accelerated</v>
      </c>
      <c r="E20" s="1076" t="str">
        <f>'C-Syrup (Sucrosic)'!$G212</f>
        <v>Cogeneration Plant</v>
      </c>
      <c r="F20" s="1467">
        <f>SUM('C-Syrup (Sucrosic)'!I212:J212)*1000000</f>
        <v>7500000</v>
      </c>
      <c r="G20" s="1467">
        <f t="shared" si="7"/>
        <v>9281250</v>
      </c>
      <c r="H20" s="1467">
        <f t="shared" si="8"/>
        <v>10209375</v>
      </c>
      <c r="I20" s="1467">
        <f t="shared" si="9"/>
        <v>10209375</v>
      </c>
      <c r="J20" s="1076">
        <f t="shared" si="15"/>
        <v>0.2</v>
      </c>
      <c r="K20" s="1107"/>
      <c r="L20" s="1467">
        <f t="shared" si="10"/>
        <v>2041875</v>
      </c>
      <c r="M20" s="1467">
        <f>($I20-SUM($L20:L20))*$J20</f>
        <v>1633500</v>
      </c>
      <c r="N20" s="1467">
        <f>($I20-SUM($L20:M20))*$J20</f>
        <v>1306800</v>
      </c>
      <c r="O20" s="1467">
        <f>($I20-SUM($L20:N20))*$J20</f>
        <v>1045440</v>
      </c>
      <c r="P20" s="1467">
        <f>($I20-SUM($L20:O20))*$J20</f>
        <v>836352</v>
      </c>
      <c r="Q20" s="1467">
        <f>($I20-SUM($L20:P20))*$J20</f>
        <v>669081.60000000009</v>
      </c>
      <c r="R20" s="1467">
        <f>($I20-SUM($L20:Q20))*$J20</f>
        <v>535265.28000000014</v>
      </c>
      <c r="S20" s="1467">
        <f>($I20-SUM($L20:R20))*$J20</f>
        <v>428212.22400000005</v>
      </c>
      <c r="T20" s="1467">
        <f>($I20-SUM($L20:S20))*$J20</f>
        <v>342569.77919999999</v>
      </c>
      <c r="U20" s="1467">
        <f>($I20-SUM($L20:T20))*$J20</f>
        <v>274055.82335999981</v>
      </c>
      <c r="V20" s="1467">
        <f>($I20-SUM($L20:U20))*$J20</f>
        <v>219244.65868799985</v>
      </c>
      <c r="W20" s="1467">
        <f>($I20-SUM($L20:V20))*$J20</f>
        <v>175395.72695039996</v>
      </c>
      <c r="X20" s="1467">
        <f>($I20-SUM($L20:W20))*$J20</f>
        <v>140316.58156032005</v>
      </c>
      <c r="Y20" s="1467">
        <f>($I20-SUM($L20:X20))*$J20</f>
        <v>112253.26524825618</v>
      </c>
      <c r="Z20" s="1467">
        <f>($I20-SUM($L20:Y20))*$J20</f>
        <v>89802.612198605028</v>
      </c>
      <c r="AA20" s="1467">
        <f>($I20-SUM($L20:Z20))*$J20</f>
        <v>71842.089758884162</v>
      </c>
      <c r="AB20" s="1467">
        <f>($I20-SUM($L20:AA20))*$J20</f>
        <v>57473.671807107334</v>
      </c>
      <c r="AC20" s="1467">
        <f>($I20-SUM($L20:AB20))*$J20</f>
        <v>45978.937445686017</v>
      </c>
      <c r="AD20" s="1467">
        <f>($I20-SUM($L20:AC20))*$J20</f>
        <v>36783.149956548958</v>
      </c>
      <c r="AE20" s="1467">
        <f>($I20-SUM($L20:AD20))*$J20</f>
        <v>29426.519965239244</v>
      </c>
      <c r="AF20" s="1467">
        <f>($I20-SUM($L20:AE20))*$J20</f>
        <v>23541.215972191469</v>
      </c>
      <c r="AG20" s="1467">
        <f>($I20-SUM($L20:AF20))*$J20</f>
        <v>18832.972777753323</v>
      </c>
      <c r="AH20" s="1467">
        <f>($I20-SUM($L20:AG20))*$J20</f>
        <v>15066.378222202511</v>
      </c>
      <c r="AI20" s="1467">
        <f>($I20-SUM($L20:AH20))*$J20</f>
        <v>12053.102577761934</v>
      </c>
      <c r="AJ20" s="1467">
        <f>($I20-SUM($L20:AI20))*$J20</f>
        <v>9642.4820622093976</v>
      </c>
      <c r="AK20" s="1467">
        <f>($I20-SUM($L20:AJ20))*$J20</f>
        <v>7713.9856497675182</v>
      </c>
      <c r="AL20" s="1467">
        <f>($I20-SUM($L20:AK20))*$J20</f>
        <v>6171.1885198138662</v>
      </c>
      <c r="AM20" s="1467">
        <f>($I20-SUM($L20:AL20))*$J20</f>
        <v>4936.9508158512417</v>
      </c>
      <c r="AN20" s="1467">
        <f>($I20-SUM($L20:AM20))*$J20</f>
        <v>3949.5606526810679</v>
      </c>
      <c r="AO20" s="1467">
        <f>($I20-SUM($L20:AN20))*$J20</f>
        <v>3159.6485221449288</v>
      </c>
      <c r="AP20" s="1468">
        <f t="shared" ref="AP20:AP21" si="17">SUM(L20:AO20)</f>
        <v>10196736.40591142</v>
      </c>
      <c r="AQ20" s="1466"/>
      <c r="AR20" s="1467">
        <f t="shared" ref="AR20:AR21" si="18">I20-L20</f>
        <v>8167500</v>
      </c>
      <c r="AS20" s="1467">
        <f t="shared" ref="AS20:BU21" si="19">AR20-M20</f>
        <v>6534000</v>
      </c>
      <c r="AT20" s="1467">
        <f t="shared" si="19"/>
        <v>5227200</v>
      </c>
      <c r="AU20" s="1467">
        <f t="shared" si="19"/>
        <v>4181760</v>
      </c>
      <c r="AV20" s="1467">
        <f t="shared" si="19"/>
        <v>3345408</v>
      </c>
      <c r="AW20" s="1467">
        <f t="shared" si="19"/>
        <v>2676326.3999999999</v>
      </c>
      <c r="AX20" s="1467">
        <f t="shared" si="19"/>
        <v>2141061.1199999996</v>
      </c>
      <c r="AY20" s="1467">
        <f t="shared" si="19"/>
        <v>1712848.8959999997</v>
      </c>
      <c r="AZ20" s="1467">
        <f t="shared" si="19"/>
        <v>1370279.1167999997</v>
      </c>
      <c r="BA20" s="1467">
        <f t="shared" si="19"/>
        <v>1096223.2934399999</v>
      </c>
      <c r="BB20" s="1467">
        <f t="shared" si="19"/>
        <v>876978.6347520001</v>
      </c>
      <c r="BC20" s="1467">
        <f t="shared" si="19"/>
        <v>701582.90780160017</v>
      </c>
      <c r="BD20" s="1467">
        <f t="shared" si="19"/>
        <v>561266.32624128019</v>
      </c>
      <c r="BE20" s="1467">
        <f t="shared" si="19"/>
        <v>449013.06099302403</v>
      </c>
      <c r="BF20" s="1467">
        <f t="shared" si="19"/>
        <v>359210.448794419</v>
      </c>
      <c r="BG20" s="1467">
        <f t="shared" si="19"/>
        <v>287368.35903553484</v>
      </c>
      <c r="BH20" s="1467">
        <f t="shared" si="19"/>
        <v>229894.6872284275</v>
      </c>
      <c r="BI20" s="1467">
        <f t="shared" si="19"/>
        <v>183915.74978274148</v>
      </c>
      <c r="BJ20" s="1467">
        <f t="shared" si="19"/>
        <v>147132.59982619251</v>
      </c>
      <c r="BK20" s="1467">
        <f t="shared" si="19"/>
        <v>117706.07986095326</v>
      </c>
      <c r="BL20" s="1467">
        <f t="shared" si="19"/>
        <v>94164.8638887618</v>
      </c>
      <c r="BM20" s="1467">
        <f t="shared" si="19"/>
        <v>75331.891111008474</v>
      </c>
      <c r="BN20" s="1467">
        <f t="shared" si="19"/>
        <v>60265.512888805963</v>
      </c>
      <c r="BO20" s="1467">
        <f t="shared" si="19"/>
        <v>48212.410311044026</v>
      </c>
      <c r="BP20" s="1467">
        <f t="shared" si="19"/>
        <v>38569.928248834629</v>
      </c>
      <c r="BQ20" s="1467">
        <f t="shared" si="19"/>
        <v>30855.942599067112</v>
      </c>
      <c r="BR20" s="1467">
        <f t="shared" si="19"/>
        <v>24684.754079253245</v>
      </c>
      <c r="BS20" s="1467">
        <f t="shared" si="19"/>
        <v>19747.803263402006</v>
      </c>
      <c r="BT20" s="1467">
        <f t="shared" si="19"/>
        <v>15798.242610720938</v>
      </c>
      <c r="BU20" s="1467">
        <f t="shared" si="19"/>
        <v>12638.594088576008</v>
      </c>
      <c r="BV20" s="1466"/>
    </row>
    <row r="21" spans="1:74" x14ac:dyDescent="0.2">
      <c r="A21" s="927" t="str">
        <f t="shared" si="16"/>
        <v>C-Syrup (Sucrosic).Accelerated</v>
      </c>
      <c r="B21" s="1168"/>
      <c r="C21" s="1168" t="str">
        <f t="shared" si="14"/>
        <v>C-Syrup (Sucrosic)</v>
      </c>
      <c r="D21" s="1168" t="str">
        <f>Assumptions!$AH$82</f>
        <v>Accelerated</v>
      </c>
      <c r="E21" s="1168" t="str">
        <f>'C-Syrup (Sucrosic)'!$G213</f>
        <v>Non-Process Buildings</v>
      </c>
      <c r="F21" s="1469">
        <f>SUM('C-Syrup (Sucrosic)'!I213:J213)*1000000</f>
        <v>5000000</v>
      </c>
      <c r="G21" s="1469">
        <f t="shared" si="7"/>
        <v>6187500</v>
      </c>
      <c r="H21" s="1469">
        <f t="shared" si="8"/>
        <v>6806250.0000000009</v>
      </c>
      <c r="I21" s="1469">
        <f t="shared" si="9"/>
        <v>6806250.0000000009</v>
      </c>
      <c r="J21" s="1168">
        <f t="shared" si="15"/>
        <v>0.2</v>
      </c>
      <c r="K21" s="1107"/>
      <c r="L21" s="1467">
        <f t="shared" si="10"/>
        <v>1361250.0000000002</v>
      </c>
      <c r="M21" s="1467">
        <f>($I21-SUM($L21:L21))*$J21</f>
        <v>1089000.0000000002</v>
      </c>
      <c r="N21" s="1467">
        <f>($I21-SUM($L21:M21))*$J21</f>
        <v>871200</v>
      </c>
      <c r="O21" s="1467">
        <f>($I21-SUM($L21:N21))*$J21</f>
        <v>696960.00000000012</v>
      </c>
      <c r="P21" s="1467">
        <f>($I21-SUM($L21:O21))*$J21</f>
        <v>557568.00000000012</v>
      </c>
      <c r="Q21" s="1467">
        <f>($I21-SUM($L21:P21))*$J21</f>
        <v>446054.40000000002</v>
      </c>
      <c r="R21" s="1467">
        <f>($I21-SUM($L21:Q21))*$J21</f>
        <v>356843.51999999996</v>
      </c>
      <c r="S21" s="1467">
        <f>($I21-SUM($L21:R21))*$J21</f>
        <v>285474.81600000005</v>
      </c>
      <c r="T21" s="1467">
        <f>($I21-SUM($L21:S21))*$J21</f>
        <v>228379.85280000011</v>
      </c>
      <c r="U21" s="1467">
        <f>($I21-SUM($L21:T21))*$J21</f>
        <v>182703.88224000001</v>
      </c>
      <c r="V21" s="1467">
        <f>($I21-SUM($L21:U21))*$J21</f>
        <v>146163.10579199996</v>
      </c>
      <c r="W21" s="1467">
        <f>($I21-SUM($L21:V21))*$J21</f>
        <v>116930.48463359998</v>
      </c>
      <c r="X21" s="1467">
        <f>($I21-SUM($L21:W21))*$J21</f>
        <v>93544.387706879905</v>
      </c>
      <c r="Y21" s="1467">
        <f>($I21-SUM($L21:X21))*$J21</f>
        <v>74835.510165503991</v>
      </c>
      <c r="Z21" s="1467">
        <f>($I21-SUM($L21:Y21))*$J21</f>
        <v>59868.408132403158</v>
      </c>
      <c r="AA21" s="1467">
        <f>($I21-SUM($L21:Z21))*$J21</f>
        <v>47894.726505922532</v>
      </c>
      <c r="AB21" s="1467">
        <f>($I21-SUM($L21:AA21))*$J21</f>
        <v>38315.781204738094</v>
      </c>
      <c r="AC21" s="1467">
        <f>($I21-SUM($L21:AB21))*$J21</f>
        <v>30652.624963790553</v>
      </c>
      <c r="AD21" s="1467">
        <f>($I21-SUM($L21:AC21))*$J21</f>
        <v>24522.099971032516</v>
      </c>
      <c r="AE21" s="1467">
        <f>($I21-SUM($L21:AD21))*$J21</f>
        <v>19617.679976825977</v>
      </c>
      <c r="AF21" s="1467">
        <f>($I21-SUM($L21:AE21))*$J21</f>
        <v>15694.143981460855</v>
      </c>
      <c r="AG21" s="1467">
        <f>($I21-SUM($L21:AF21))*$J21</f>
        <v>12555.315185168758</v>
      </c>
      <c r="AH21" s="1467">
        <f>($I21-SUM($L21:AG21))*$J21</f>
        <v>10044.252148135007</v>
      </c>
      <c r="AI21" s="1467">
        <f>($I21-SUM($L21:AH21))*$J21</f>
        <v>8035.4017185080802</v>
      </c>
      <c r="AJ21" s="1467">
        <f>($I21-SUM($L21:AI21))*$J21</f>
        <v>6428.3213748063899</v>
      </c>
      <c r="AK21" s="1467">
        <f>($I21-SUM($L21:AJ21))*$J21</f>
        <v>5142.6570998450743</v>
      </c>
      <c r="AL21" s="1467">
        <f>($I21-SUM($L21:AK21))*$J21</f>
        <v>4114.1256798760969</v>
      </c>
      <c r="AM21" s="1467">
        <f>($I21-SUM($L21:AL21))*$J21</f>
        <v>3291.3005439009521</v>
      </c>
      <c r="AN21" s="1467">
        <f>($I21-SUM($L21:AM21))*$J21</f>
        <v>2633.0404351208363</v>
      </c>
      <c r="AO21" s="1467">
        <f>($I21-SUM($L21:AN21))*$J21</f>
        <v>2106.4323480967432</v>
      </c>
      <c r="AP21" s="1468">
        <f t="shared" si="17"/>
        <v>6797824.270607614</v>
      </c>
      <c r="AQ21" s="1466"/>
      <c r="AR21" s="1467">
        <f t="shared" si="18"/>
        <v>5445000.0000000009</v>
      </c>
      <c r="AS21" s="1467">
        <f t="shared" si="19"/>
        <v>4356000.0000000009</v>
      </c>
      <c r="AT21" s="1467">
        <f t="shared" si="19"/>
        <v>3484800.0000000009</v>
      </c>
      <c r="AU21" s="1467">
        <f t="shared" si="19"/>
        <v>2787840.0000000009</v>
      </c>
      <c r="AV21" s="1467">
        <f t="shared" si="19"/>
        <v>2230272.0000000009</v>
      </c>
      <c r="AW21" s="1467">
        <f t="shared" si="19"/>
        <v>1784217.600000001</v>
      </c>
      <c r="AX21" s="1467">
        <f t="shared" si="19"/>
        <v>1427374.080000001</v>
      </c>
      <c r="AY21" s="1467">
        <f t="shared" si="19"/>
        <v>1141899.2640000009</v>
      </c>
      <c r="AZ21" s="1467">
        <f t="shared" si="19"/>
        <v>913519.41120000079</v>
      </c>
      <c r="BA21" s="1467">
        <f t="shared" si="19"/>
        <v>730815.52896000072</v>
      </c>
      <c r="BB21" s="1467">
        <f t="shared" si="19"/>
        <v>584652.42316800077</v>
      </c>
      <c r="BC21" s="1467">
        <f t="shared" si="19"/>
        <v>467721.93853440078</v>
      </c>
      <c r="BD21" s="1467">
        <f t="shared" si="19"/>
        <v>374177.5508275209</v>
      </c>
      <c r="BE21" s="1467">
        <f t="shared" si="19"/>
        <v>299342.04066201689</v>
      </c>
      <c r="BF21" s="1467">
        <f t="shared" si="19"/>
        <v>239473.63252961374</v>
      </c>
      <c r="BG21" s="1467">
        <f t="shared" si="19"/>
        <v>191578.9060236912</v>
      </c>
      <c r="BH21" s="1467">
        <f t="shared" si="19"/>
        <v>153263.1248189531</v>
      </c>
      <c r="BI21" s="1467">
        <f t="shared" si="19"/>
        <v>122610.49985516255</v>
      </c>
      <c r="BJ21" s="1467">
        <f t="shared" si="19"/>
        <v>98088.399884130034</v>
      </c>
      <c r="BK21" s="1467">
        <f t="shared" si="19"/>
        <v>78470.719907304054</v>
      </c>
      <c r="BL21" s="1467">
        <f t="shared" si="19"/>
        <v>62776.575925843201</v>
      </c>
      <c r="BM21" s="1467">
        <f t="shared" si="19"/>
        <v>50221.260740674443</v>
      </c>
      <c r="BN21" s="1467">
        <f t="shared" si="19"/>
        <v>40177.008592539438</v>
      </c>
      <c r="BO21" s="1467">
        <f t="shared" si="19"/>
        <v>32141.606874031357</v>
      </c>
      <c r="BP21" s="1467">
        <f t="shared" si="19"/>
        <v>25713.285499224967</v>
      </c>
      <c r="BQ21" s="1467">
        <f t="shared" si="19"/>
        <v>20570.628399379893</v>
      </c>
      <c r="BR21" s="1467">
        <f t="shared" si="19"/>
        <v>16456.502719503798</v>
      </c>
      <c r="BS21" s="1467">
        <f t="shared" si="19"/>
        <v>13165.202175602846</v>
      </c>
      <c r="BT21" s="1467">
        <f t="shared" si="19"/>
        <v>10532.16174048201</v>
      </c>
      <c r="BU21" s="1467">
        <f t="shared" si="19"/>
        <v>8425.7293923852667</v>
      </c>
      <c r="BV21" s="1466"/>
    </row>
    <row r="22" spans="1:74" x14ac:dyDescent="0.2">
      <c r="B22" s="1470"/>
      <c r="C22" s="1470" t="str">
        <f t="shared" si="14"/>
        <v>C-Syrup (Sucrosic)</v>
      </c>
      <c r="D22" s="1470" t="str">
        <f>Assumptions!$AH$82</f>
        <v>Accelerated</v>
      </c>
      <c r="E22" s="1470" t="s">
        <v>995</v>
      </c>
      <c r="F22" s="1470"/>
      <c r="G22" s="1471">
        <f>SUM('C-Syrup (Sucrosic)'!I216:J217)*10^6</f>
        <v>15000000</v>
      </c>
      <c r="H22" s="1471">
        <f t="shared" si="8"/>
        <v>16500000.000000002</v>
      </c>
      <c r="I22" s="1471">
        <f t="shared" si="9"/>
        <v>16500000.000000002</v>
      </c>
      <c r="J22" s="1470">
        <f t="shared" si="15"/>
        <v>0.2</v>
      </c>
      <c r="K22" s="1107"/>
      <c r="L22" s="1467">
        <f t="shared" si="10"/>
        <v>3300000.0000000005</v>
      </c>
      <c r="M22" s="1467">
        <f>($I22-SUM($L22:L22))*$J22</f>
        <v>2640000.0000000005</v>
      </c>
      <c r="N22" s="1467">
        <f>($I22-SUM($L22:M22))*$J22</f>
        <v>2112000</v>
      </c>
      <c r="O22" s="1467">
        <f>($I22-SUM($L22:N22))*$J22</f>
        <v>1689600</v>
      </c>
      <c r="P22" s="1467">
        <f>($I22-SUM($L22:O22))*$J22</f>
        <v>1351680.0000000005</v>
      </c>
      <c r="Q22" s="1467">
        <f>($I22-SUM($L22:P22))*$J22</f>
        <v>1081344.0000000005</v>
      </c>
      <c r="R22" s="1467">
        <f>($I22-SUM($L22:Q22))*$J22</f>
        <v>865075.20000000042</v>
      </c>
      <c r="S22" s="1467">
        <f>($I22-SUM($L22:R22))*$J22</f>
        <v>692060.16000000015</v>
      </c>
      <c r="T22" s="1467">
        <f>($I22-SUM($L22:S22))*$J22</f>
        <v>553648.12800000014</v>
      </c>
      <c r="U22" s="1467">
        <f>($I22-SUM($L22:T22))*$J22</f>
        <v>442918.50240000006</v>
      </c>
      <c r="V22" s="1467">
        <f>($I22-SUM($L22:U22))*$J22</f>
        <v>354334.80192000011</v>
      </c>
      <c r="W22" s="1467">
        <f>($I22-SUM($L22:V22))*$J22</f>
        <v>283467.84153600002</v>
      </c>
      <c r="X22" s="1467">
        <f>($I22-SUM($L22:W22))*$J22</f>
        <v>226774.27322879992</v>
      </c>
      <c r="Y22" s="1467">
        <f>($I22-SUM($L22:X22))*$J22</f>
        <v>181419.41858303995</v>
      </c>
      <c r="Z22" s="1467">
        <f>($I22-SUM($L22:Y22))*$J22</f>
        <v>145135.53486643211</v>
      </c>
      <c r="AA22" s="1467">
        <f>($I22-SUM($L22:Z22))*$J22</f>
        <v>116108.42789314577</v>
      </c>
      <c r="AB22" s="1467">
        <f>($I22-SUM($L22:AA22))*$J22</f>
        <v>92886.742314516756</v>
      </c>
      <c r="AC22" s="1467">
        <f>($I22-SUM($L22:AB22))*$J22</f>
        <v>74309.393851613262</v>
      </c>
      <c r="AD22" s="1467">
        <f>($I22-SUM($L22:AC22))*$J22</f>
        <v>59447.515081290534</v>
      </c>
      <c r="AE22" s="1467">
        <f>($I22-SUM($L22:AD22))*$J22</f>
        <v>47558.012065032497</v>
      </c>
      <c r="AF22" s="1467">
        <f>($I22-SUM($L22:AE22))*$J22</f>
        <v>38046.409652025999</v>
      </c>
      <c r="AG22" s="1467">
        <f>($I22-SUM($L22:AF22))*$J22</f>
        <v>30437.127721620724</v>
      </c>
      <c r="AH22" s="1467">
        <f>($I22-SUM($L22:AG22))*$J22</f>
        <v>24349.702177296582</v>
      </c>
      <c r="AI22" s="1467">
        <f>($I22-SUM($L22:AH22))*$J22</f>
        <v>19479.761741837116</v>
      </c>
      <c r="AJ22" s="1467">
        <f>($I22-SUM($L22:AI22))*$J22</f>
        <v>15583.809393469617</v>
      </c>
      <c r="AK22" s="1467">
        <f>($I22-SUM($L22:AJ22))*$J22</f>
        <v>12467.047514775768</v>
      </c>
      <c r="AL22" s="1467">
        <f>($I22-SUM($L22:AK22))*$J22</f>
        <v>9973.6380118206143</v>
      </c>
      <c r="AM22" s="1467">
        <f>($I22-SUM($L22:AL22))*$J22</f>
        <v>7978.9104094564918</v>
      </c>
      <c r="AN22" s="1467">
        <f>($I22-SUM($L22:AM22))*$J22</f>
        <v>6383.1283275652677</v>
      </c>
      <c r="AO22" s="1467">
        <f>($I22-SUM($L22:AN22))*$J22</f>
        <v>5106.5026620522149</v>
      </c>
      <c r="AP22" s="1468">
        <f t="shared" ref="AP22" si="20">SUM(L22:AO22)</f>
        <v>16479573.989351792</v>
      </c>
      <c r="AQ22" s="1466"/>
      <c r="AR22" s="1467">
        <f t="shared" ref="AR22" si="21">I22-L22</f>
        <v>13200000.000000002</v>
      </c>
      <c r="AS22" s="1467">
        <f t="shared" ref="AS22" si="22">AR22-M22</f>
        <v>10560000.000000002</v>
      </c>
      <c r="AT22" s="1467">
        <f t="shared" ref="AT22" si="23">AS22-N22</f>
        <v>8448000.0000000019</v>
      </c>
      <c r="AU22" s="1467">
        <f t="shared" ref="AU22" si="24">AT22-O22</f>
        <v>6758400.0000000019</v>
      </c>
      <c r="AV22" s="1467">
        <f t="shared" ref="AV22" si="25">AU22-P22</f>
        <v>5406720.0000000019</v>
      </c>
      <c r="AW22" s="1467">
        <f t="shared" ref="AW22" si="26">AV22-Q22</f>
        <v>4325376.0000000019</v>
      </c>
      <c r="AX22" s="1467">
        <f t="shared" ref="AX22" si="27">AW22-R22</f>
        <v>3460300.8000000017</v>
      </c>
      <c r="AY22" s="1467">
        <f t="shared" ref="AY22" si="28">AX22-S22</f>
        <v>2768240.6400000015</v>
      </c>
      <c r="AZ22" s="1467">
        <f t="shared" ref="AZ22" si="29">AY22-T22</f>
        <v>2214592.5120000015</v>
      </c>
      <c r="BA22" s="1467">
        <f t="shared" ref="BA22" si="30">AZ22-U22</f>
        <v>1771674.0096000014</v>
      </c>
      <c r="BB22" s="1467">
        <f t="shared" ref="BB22" si="31">BA22-V22</f>
        <v>1417339.2076800014</v>
      </c>
      <c r="BC22" s="1467">
        <f t="shared" ref="BC22" si="32">BB22-W22</f>
        <v>1133871.3661440015</v>
      </c>
      <c r="BD22" s="1467">
        <f t="shared" ref="BD22" si="33">BC22-X22</f>
        <v>907097.09291520156</v>
      </c>
      <c r="BE22" s="1467">
        <f t="shared" ref="BE22" si="34">BD22-Y22</f>
        <v>725677.67433216167</v>
      </c>
      <c r="BF22" s="1467">
        <f t="shared" ref="BF22" si="35">BE22-Z22</f>
        <v>580542.13946572959</v>
      </c>
      <c r="BG22" s="1467">
        <f t="shared" ref="BG22" si="36">BF22-AA22</f>
        <v>464433.71157258382</v>
      </c>
      <c r="BH22" s="1467">
        <f t="shared" ref="BH22" si="37">BG22-AB22</f>
        <v>371546.96925806708</v>
      </c>
      <c r="BI22" s="1467">
        <f t="shared" ref="BI22" si="38">BH22-AC22</f>
        <v>297237.57540645381</v>
      </c>
      <c r="BJ22" s="1467">
        <f t="shared" ref="BJ22" si="39">BI22-AD22</f>
        <v>237790.06032516327</v>
      </c>
      <c r="BK22" s="1467">
        <f t="shared" ref="BK22" si="40">BJ22-AE22</f>
        <v>190232.04826013077</v>
      </c>
      <c r="BL22" s="1467">
        <f t="shared" ref="BL22" si="41">BK22-AF22</f>
        <v>152185.63860810478</v>
      </c>
      <c r="BM22" s="1467">
        <f t="shared" ref="BM22" si="42">BL22-AG22</f>
        <v>121748.51088648406</v>
      </c>
      <c r="BN22" s="1467">
        <f t="shared" ref="BN22" si="43">BM22-AH22</f>
        <v>97398.808709187477</v>
      </c>
      <c r="BO22" s="1467">
        <f t="shared" ref="BO22" si="44">BN22-AI22</f>
        <v>77919.046967350354</v>
      </c>
      <c r="BP22" s="1467">
        <f t="shared" ref="BP22" si="45">BO22-AJ22</f>
        <v>62335.237573880739</v>
      </c>
      <c r="BQ22" s="1467">
        <f t="shared" ref="BQ22" si="46">BP22-AK22</f>
        <v>49868.190059104971</v>
      </c>
      <c r="BR22" s="1467">
        <f t="shared" ref="BR22" si="47">BQ22-AL22</f>
        <v>39894.552047284356</v>
      </c>
      <c r="BS22" s="1467">
        <f t="shared" ref="BS22" si="48">BR22-AM22</f>
        <v>31915.641637827866</v>
      </c>
      <c r="BT22" s="1467">
        <f t="shared" ref="BT22" si="49">BS22-AN22</f>
        <v>25532.513310262599</v>
      </c>
      <c r="BU22" s="1467">
        <f t="shared" ref="BU22" si="50">BT22-AO22</f>
        <v>20426.010648210384</v>
      </c>
      <c r="BV22" s="1466"/>
    </row>
    <row r="23" spans="1:74" x14ac:dyDescent="0.2">
      <c r="A23" s="927" t="str">
        <f t="shared" si="6"/>
        <v>.</v>
      </c>
      <c r="B23" s="1297" t="str">
        <f>Assumptions!$AH$81</f>
        <v>Straight-Line</v>
      </c>
      <c r="C23" s="1107"/>
      <c r="D23" s="1107"/>
      <c r="E23" s="1107"/>
      <c r="F23" s="1107"/>
      <c r="G23" s="1107">
        <f t="shared" si="7"/>
        <v>0</v>
      </c>
      <c r="H23" s="1107">
        <f t="shared" si="8"/>
        <v>0</v>
      </c>
      <c r="I23" s="1107">
        <f t="shared" si="9"/>
        <v>0</v>
      </c>
      <c r="J23" s="1472">
        <f>IFERROR(INDEX(Assumptions!$AI$82:$AI$164,MATCH(Depreciation!$D23,Assumptions!$AH$81:$AH$163,0)),0)</f>
        <v>0</v>
      </c>
      <c r="K23" s="1107"/>
      <c r="L23" s="1107">
        <f t="shared" si="10"/>
        <v>0</v>
      </c>
      <c r="M23" s="1107">
        <f t="shared" ref="M23" si="51">L23*$J23</f>
        <v>0</v>
      </c>
      <c r="N23" s="1107"/>
      <c r="O23" s="1107"/>
      <c r="P23" s="1107"/>
      <c r="Q23" s="1107"/>
      <c r="R23" s="1107"/>
      <c r="S23" s="1107"/>
      <c r="T23" s="1107"/>
      <c r="U23" s="1107"/>
      <c r="V23" s="1107"/>
      <c r="W23" s="1107"/>
      <c r="X23" s="1107"/>
      <c r="Y23" s="1107"/>
      <c r="Z23" s="1107"/>
      <c r="AA23" s="1107"/>
      <c r="AB23" s="1107"/>
      <c r="AC23" s="1107"/>
      <c r="AD23" s="1107"/>
      <c r="AE23" s="1107"/>
      <c r="AF23" s="1107"/>
      <c r="AG23" s="1107"/>
      <c r="AH23" s="1107"/>
      <c r="AI23" s="1107"/>
      <c r="AJ23" s="1107"/>
      <c r="AK23" s="1107"/>
      <c r="AL23" s="1107"/>
      <c r="AM23" s="1107"/>
      <c r="AN23" s="1107"/>
      <c r="AO23" s="1107"/>
      <c r="AP23" s="1107">
        <f t="shared" si="11"/>
        <v>0</v>
      </c>
      <c r="AQ23" s="1466"/>
      <c r="AR23" s="1297">
        <f t="shared" si="12"/>
        <v>0</v>
      </c>
      <c r="AS23" s="1297">
        <f t="shared" si="13"/>
        <v>0</v>
      </c>
      <c r="AT23" s="1297">
        <f t="shared" si="5"/>
        <v>0</v>
      </c>
      <c r="AU23" s="1297">
        <f t="shared" si="5"/>
        <v>0</v>
      </c>
      <c r="AV23" s="1297">
        <f t="shared" si="5"/>
        <v>0</v>
      </c>
      <c r="AW23" s="1297">
        <f t="shared" ref="AW23:AW29" si="52">AV23-Q23</f>
        <v>0</v>
      </c>
      <c r="AX23" s="1297">
        <f t="shared" ref="AX23:AX29" si="53">AW23-R23</f>
        <v>0</v>
      </c>
      <c r="AY23" s="1297">
        <f t="shared" ref="AY23:AY29" si="54">AX23-S23</f>
        <v>0</v>
      </c>
      <c r="AZ23" s="1297">
        <f t="shared" ref="AZ23:AZ29" si="55">AY23-T23</f>
        <v>0</v>
      </c>
      <c r="BA23" s="1297">
        <f t="shared" ref="BA23:BA29" si="56">AZ23-U23</f>
        <v>0</v>
      </c>
      <c r="BB23" s="1297">
        <f t="shared" ref="BB23:BB29" si="57">BA23-V23</f>
        <v>0</v>
      </c>
      <c r="BC23" s="1297">
        <f t="shared" ref="BC23:BC29" si="58">BB23-W23</f>
        <v>0</v>
      </c>
      <c r="BD23" s="1297">
        <f t="shared" ref="BD23:BD29" si="59">BC23-X23</f>
        <v>0</v>
      </c>
      <c r="BE23" s="1297">
        <f t="shared" ref="BE23:BE29" si="60">BD23-Y23</f>
        <v>0</v>
      </c>
      <c r="BF23" s="1297">
        <f t="shared" ref="BF23:BF29" si="61">BE23-Z23</f>
        <v>0</v>
      </c>
      <c r="BG23" s="1297">
        <f t="shared" ref="BG23:BG29" si="62">BF23-AA23</f>
        <v>0</v>
      </c>
      <c r="BH23" s="1297">
        <f t="shared" ref="BH23:BH29" si="63">BG23-AB23</f>
        <v>0</v>
      </c>
      <c r="BI23" s="1297">
        <f t="shared" ref="BI23:BI29" si="64">BH23-AC23</f>
        <v>0</v>
      </c>
      <c r="BJ23" s="1297">
        <f t="shared" ref="BJ23:BJ29" si="65">BI23-AD23</f>
        <v>0</v>
      </c>
      <c r="BK23" s="1297">
        <f t="shared" ref="BK23:BK29" si="66">BJ23-AE23</f>
        <v>0</v>
      </c>
      <c r="BL23" s="1297">
        <f t="shared" ref="BL23:BL29" si="67">BK23-AF23</f>
        <v>0</v>
      </c>
      <c r="BM23" s="1297">
        <f t="shared" ref="BM23:BM29" si="68">BL23-AG23</f>
        <v>0</v>
      </c>
      <c r="BN23" s="1297">
        <f t="shared" ref="BN23:BN29" si="69">BM23-AH23</f>
        <v>0</v>
      </c>
      <c r="BO23" s="1297">
        <f t="shared" ref="BO23:BO29" si="70">BN23-AI23</f>
        <v>0</v>
      </c>
      <c r="BP23" s="1297">
        <f t="shared" ref="BP23:BP29" si="71">BO23-AJ23</f>
        <v>0</v>
      </c>
      <c r="BQ23" s="1297">
        <f t="shared" ref="BQ23:BQ29" si="72">BP23-AK23</f>
        <v>0</v>
      </c>
      <c r="BR23" s="1297">
        <f t="shared" ref="BR23:BR29" si="73">BQ23-AL23</f>
        <v>0</v>
      </c>
      <c r="BS23" s="1297">
        <f t="shared" ref="BS23:BS29" si="74">BR23-AM23</f>
        <v>0</v>
      </c>
      <c r="BT23" s="1297">
        <f t="shared" ref="BT23:BT29" si="75">BS23-AN23</f>
        <v>0</v>
      </c>
      <c r="BU23" s="1297">
        <f t="shared" ref="BU23:BU29" si="76">BT23-AO23</f>
        <v>0</v>
      </c>
      <c r="BV23" s="1466"/>
    </row>
    <row r="24" spans="1:74" x14ac:dyDescent="0.2">
      <c r="A24" s="927" t="str">
        <f t="shared" si="6"/>
        <v>C-Syrup (Sucrosic).Straight-Line</v>
      </c>
      <c r="B24" s="1076"/>
      <c r="C24" s="1076" t="str">
        <f>B12</f>
        <v>C-Syrup (Sucrosic)</v>
      </c>
      <c r="D24" s="1076" t="str">
        <f>Assumptions!$AH$81</f>
        <v>Straight-Line</v>
      </c>
      <c r="E24" s="1076" t="str">
        <f t="shared" ref="E24:F31" si="77">E14</f>
        <v>Molasses Receival</v>
      </c>
      <c r="F24" s="1467">
        <f t="shared" si="77"/>
        <v>10000000</v>
      </c>
      <c r="G24" s="1467">
        <f t="shared" si="7"/>
        <v>12375000</v>
      </c>
      <c r="H24" s="1467">
        <f t="shared" si="8"/>
        <v>13612500.000000002</v>
      </c>
      <c r="I24" s="1467">
        <f t="shared" si="9"/>
        <v>13612500.000000002</v>
      </c>
      <c r="J24" s="1161">
        <f>Assumptions!$N$53</f>
        <v>3.3333333333333333E-2</v>
      </c>
      <c r="K24" s="1107"/>
      <c r="L24" s="1467">
        <f t="shared" si="10"/>
        <v>453750.00000000006</v>
      </c>
      <c r="M24" s="1467">
        <f t="shared" si="10"/>
        <v>453750.00000000006</v>
      </c>
      <c r="N24" s="1467">
        <f t="shared" si="10"/>
        <v>453750.00000000006</v>
      </c>
      <c r="O24" s="1467">
        <f t="shared" si="10"/>
        <v>453750.00000000006</v>
      </c>
      <c r="P24" s="1467">
        <f t="shared" si="10"/>
        <v>453750.00000000006</v>
      </c>
      <c r="Q24" s="1467">
        <f t="shared" si="10"/>
        <v>453750.00000000006</v>
      </c>
      <c r="R24" s="1467">
        <f t="shared" si="10"/>
        <v>453750.00000000006</v>
      </c>
      <c r="S24" s="1467">
        <f t="shared" si="10"/>
        <v>453750.00000000006</v>
      </c>
      <c r="T24" s="1467">
        <f t="shared" si="10"/>
        <v>453750.00000000006</v>
      </c>
      <c r="U24" s="1467">
        <f t="shared" si="10"/>
        <v>453750.00000000006</v>
      </c>
      <c r="V24" s="1467">
        <f t="shared" si="10"/>
        <v>453750.00000000006</v>
      </c>
      <c r="W24" s="1467">
        <f t="shared" si="10"/>
        <v>453750.00000000006</v>
      </c>
      <c r="X24" s="1467">
        <f t="shared" si="10"/>
        <v>453750.00000000006</v>
      </c>
      <c r="Y24" s="1467">
        <f t="shared" si="10"/>
        <v>453750.00000000006</v>
      </c>
      <c r="Z24" s="1467">
        <f t="shared" si="10"/>
        <v>453750.00000000006</v>
      </c>
      <c r="AA24" s="1467">
        <f t="shared" si="10"/>
        <v>453750.00000000006</v>
      </c>
      <c r="AB24" s="1467">
        <f t="shared" ref="M24:AO32" si="78">$I24*$J24</f>
        <v>453750.00000000006</v>
      </c>
      <c r="AC24" s="1467">
        <f t="shared" si="78"/>
        <v>453750.00000000006</v>
      </c>
      <c r="AD24" s="1467">
        <f t="shared" si="78"/>
        <v>453750.00000000006</v>
      </c>
      <c r="AE24" s="1467">
        <f t="shared" si="78"/>
        <v>453750.00000000006</v>
      </c>
      <c r="AF24" s="1467">
        <f t="shared" si="78"/>
        <v>453750.00000000006</v>
      </c>
      <c r="AG24" s="1467">
        <f t="shared" si="78"/>
        <v>453750.00000000006</v>
      </c>
      <c r="AH24" s="1467">
        <f t="shared" si="78"/>
        <v>453750.00000000006</v>
      </c>
      <c r="AI24" s="1467">
        <f t="shared" si="78"/>
        <v>453750.00000000006</v>
      </c>
      <c r="AJ24" s="1467">
        <f t="shared" si="78"/>
        <v>453750.00000000006</v>
      </c>
      <c r="AK24" s="1467">
        <f t="shared" si="78"/>
        <v>453750.00000000006</v>
      </c>
      <c r="AL24" s="1467">
        <f t="shared" si="78"/>
        <v>453750.00000000006</v>
      </c>
      <c r="AM24" s="1467">
        <f t="shared" si="78"/>
        <v>453750.00000000006</v>
      </c>
      <c r="AN24" s="1467">
        <f t="shared" si="78"/>
        <v>453750.00000000006</v>
      </c>
      <c r="AO24" s="1467">
        <f t="shared" si="78"/>
        <v>453750.00000000006</v>
      </c>
      <c r="AP24" s="1468">
        <f t="shared" si="11"/>
        <v>13612500.000000002</v>
      </c>
      <c r="AQ24" s="1466"/>
      <c r="AR24" s="1467">
        <f t="shared" si="12"/>
        <v>13158750.000000002</v>
      </c>
      <c r="AS24" s="1467">
        <f t="shared" si="13"/>
        <v>12705000.000000002</v>
      </c>
      <c r="AT24" s="1467">
        <f t="shared" ref="AT24:AT29" si="79">AS24-N24</f>
        <v>12251250.000000002</v>
      </c>
      <c r="AU24" s="1467">
        <f t="shared" ref="AU24:AU29" si="80">AT24-O24</f>
        <v>11797500.000000002</v>
      </c>
      <c r="AV24" s="1467">
        <f t="shared" ref="AV24:AV29" si="81">AU24-P24</f>
        <v>11343750.000000002</v>
      </c>
      <c r="AW24" s="1467">
        <f t="shared" si="52"/>
        <v>10890000.000000002</v>
      </c>
      <c r="AX24" s="1467">
        <f t="shared" si="53"/>
        <v>10436250.000000002</v>
      </c>
      <c r="AY24" s="1467">
        <f t="shared" si="54"/>
        <v>9982500.0000000019</v>
      </c>
      <c r="AZ24" s="1467">
        <f t="shared" si="55"/>
        <v>9528750.0000000019</v>
      </c>
      <c r="BA24" s="1467">
        <f t="shared" si="56"/>
        <v>9075000.0000000019</v>
      </c>
      <c r="BB24" s="1467">
        <f t="shared" si="57"/>
        <v>8621250.0000000019</v>
      </c>
      <c r="BC24" s="1467">
        <f t="shared" si="58"/>
        <v>8167500.0000000019</v>
      </c>
      <c r="BD24" s="1467">
        <f t="shared" si="59"/>
        <v>7713750.0000000019</v>
      </c>
      <c r="BE24" s="1467">
        <f t="shared" si="60"/>
        <v>7260000.0000000019</v>
      </c>
      <c r="BF24" s="1467">
        <f t="shared" si="61"/>
        <v>6806250.0000000019</v>
      </c>
      <c r="BG24" s="1467">
        <f t="shared" si="62"/>
        <v>6352500.0000000019</v>
      </c>
      <c r="BH24" s="1467">
        <f t="shared" si="63"/>
        <v>5898750.0000000019</v>
      </c>
      <c r="BI24" s="1467">
        <f t="shared" si="64"/>
        <v>5445000.0000000019</v>
      </c>
      <c r="BJ24" s="1467">
        <f t="shared" si="65"/>
        <v>4991250.0000000019</v>
      </c>
      <c r="BK24" s="1467">
        <f t="shared" si="66"/>
        <v>4537500.0000000019</v>
      </c>
      <c r="BL24" s="1467">
        <f t="shared" si="67"/>
        <v>4083750.0000000019</v>
      </c>
      <c r="BM24" s="1467">
        <f t="shared" si="68"/>
        <v>3630000.0000000019</v>
      </c>
      <c r="BN24" s="1467">
        <f t="shared" si="69"/>
        <v>3176250.0000000019</v>
      </c>
      <c r="BO24" s="1467">
        <f t="shared" si="70"/>
        <v>2722500.0000000019</v>
      </c>
      <c r="BP24" s="1467">
        <f t="shared" si="71"/>
        <v>2268750.0000000019</v>
      </c>
      <c r="BQ24" s="1467">
        <f t="shared" si="72"/>
        <v>1815000.0000000019</v>
      </c>
      <c r="BR24" s="1467">
        <f t="shared" si="73"/>
        <v>1361250.0000000019</v>
      </c>
      <c r="BS24" s="1467">
        <f t="shared" si="74"/>
        <v>907500.00000000186</v>
      </c>
      <c r="BT24" s="1467">
        <f t="shared" si="75"/>
        <v>453750.0000000018</v>
      </c>
      <c r="BU24" s="1467">
        <f t="shared" si="76"/>
        <v>1.7462298274040222E-9</v>
      </c>
      <c r="BV24" s="1466"/>
    </row>
    <row r="25" spans="1:74" x14ac:dyDescent="0.2">
      <c r="A25" s="927" t="str">
        <f t="shared" si="6"/>
        <v>C-Syrup (Sucrosic).Straight-Line</v>
      </c>
      <c r="B25" s="1076"/>
      <c r="C25" s="1076" t="str">
        <f>C24</f>
        <v>C-Syrup (Sucrosic)</v>
      </c>
      <c r="D25" s="1076" t="str">
        <f>Assumptions!$AH$81</f>
        <v>Straight-Line</v>
      </c>
      <c r="E25" s="1076" t="str">
        <f t="shared" si="77"/>
        <v>Fermentation Plant</v>
      </c>
      <c r="F25" s="1467">
        <f t="shared" si="77"/>
        <v>18000000</v>
      </c>
      <c r="G25" s="1467">
        <f t="shared" si="7"/>
        <v>22275000</v>
      </c>
      <c r="H25" s="1467">
        <f t="shared" si="8"/>
        <v>24502500.000000004</v>
      </c>
      <c r="I25" s="1467">
        <f t="shared" si="9"/>
        <v>24502500.000000004</v>
      </c>
      <c r="J25" s="1161">
        <f>J24</f>
        <v>3.3333333333333333E-2</v>
      </c>
      <c r="K25" s="1107"/>
      <c r="L25" s="1467">
        <f t="shared" si="10"/>
        <v>816750.00000000012</v>
      </c>
      <c r="M25" s="1467">
        <f t="shared" si="78"/>
        <v>816750.00000000012</v>
      </c>
      <c r="N25" s="1467">
        <f t="shared" si="78"/>
        <v>816750.00000000012</v>
      </c>
      <c r="O25" s="1467">
        <f t="shared" si="78"/>
        <v>816750.00000000012</v>
      </c>
      <c r="P25" s="1467">
        <f t="shared" si="78"/>
        <v>816750.00000000012</v>
      </c>
      <c r="Q25" s="1467">
        <f t="shared" si="78"/>
        <v>816750.00000000012</v>
      </c>
      <c r="R25" s="1467">
        <f t="shared" si="78"/>
        <v>816750.00000000012</v>
      </c>
      <c r="S25" s="1467">
        <f t="shared" si="78"/>
        <v>816750.00000000012</v>
      </c>
      <c r="T25" s="1467">
        <f t="shared" si="78"/>
        <v>816750.00000000012</v>
      </c>
      <c r="U25" s="1467">
        <f t="shared" si="78"/>
        <v>816750.00000000012</v>
      </c>
      <c r="V25" s="1467">
        <f t="shared" si="78"/>
        <v>816750.00000000012</v>
      </c>
      <c r="W25" s="1467">
        <f t="shared" si="78"/>
        <v>816750.00000000012</v>
      </c>
      <c r="X25" s="1467">
        <f t="shared" si="78"/>
        <v>816750.00000000012</v>
      </c>
      <c r="Y25" s="1467">
        <f t="shared" si="78"/>
        <v>816750.00000000012</v>
      </c>
      <c r="Z25" s="1467">
        <f t="shared" si="78"/>
        <v>816750.00000000012</v>
      </c>
      <c r="AA25" s="1467">
        <f t="shared" si="78"/>
        <v>816750.00000000012</v>
      </c>
      <c r="AB25" s="1467">
        <f t="shared" si="78"/>
        <v>816750.00000000012</v>
      </c>
      <c r="AC25" s="1467">
        <f t="shared" si="78"/>
        <v>816750.00000000012</v>
      </c>
      <c r="AD25" s="1467">
        <f t="shared" si="78"/>
        <v>816750.00000000012</v>
      </c>
      <c r="AE25" s="1467">
        <f t="shared" si="78"/>
        <v>816750.00000000012</v>
      </c>
      <c r="AF25" s="1467">
        <f t="shared" si="78"/>
        <v>816750.00000000012</v>
      </c>
      <c r="AG25" s="1467">
        <f t="shared" si="78"/>
        <v>816750.00000000012</v>
      </c>
      <c r="AH25" s="1467">
        <f t="shared" si="78"/>
        <v>816750.00000000012</v>
      </c>
      <c r="AI25" s="1467">
        <f t="shared" si="78"/>
        <v>816750.00000000012</v>
      </c>
      <c r="AJ25" s="1467">
        <f t="shared" si="78"/>
        <v>816750.00000000012</v>
      </c>
      <c r="AK25" s="1467">
        <f t="shared" si="78"/>
        <v>816750.00000000012</v>
      </c>
      <c r="AL25" s="1467">
        <f t="shared" si="78"/>
        <v>816750.00000000012</v>
      </c>
      <c r="AM25" s="1467">
        <f t="shared" si="78"/>
        <v>816750.00000000012</v>
      </c>
      <c r="AN25" s="1467">
        <f t="shared" si="78"/>
        <v>816750.00000000012</v>
      </c>
      <c r="AO25" s="1467">
        <f t="shared" si="78"/>
        <v>816750.00000000012</v>
      </c>
      <c r="AP25" s="1468">
        <f t="shared" si="11"/>
        <v>24502500.000000004</v>
      </c>
      <c r="AQ25" s="1466"/>
      <c r="AR25" s="1467">
        <f t="shared" si="12"/>
        <v>23685750.000000004</v>
      </c>
      <c r="AS25" s="1467">
        <f t="shared" si="13"/>
        <v>22869000.000000004</v>
      </c>
      <c r="AT25" s="1467">
        <f t="shared" si="79"/>
        <v>22052250.000000004</v>
      </c>
      <c r="AU25" s="1467">
        <f t="shared" si="80"/>
        <v>21235500.000000004</v>
      </c>
      <c r="AV25" s="1467">
        <f t="shared" si="81"/>
        <v>20418750.000000004</v>
      </c>
      <c r="AW25" s="1467">
        <f t="shared" si="52"/>
        <v>19602000.000000004</v>
      </c>
      <c r="AX25" s="1467">
        <f t="shared" si="53"/>
        <v>18785250.000000004</v>
      </c>
      <c r="AY25" s="1467">
        <f t="shared" si="54"/>
        <v>17968500.000000004</v>
      </c>
      <c r="AZ25" s="1467">
        <f t="shared" si="55"/>
        <v>17151750.000000004</v>
      </c>
      <c r="BA25" s="1467">
        <f t="shared" si="56"/>
        <v>16335000.000000004</v>
      </c>
      <c r="BB25" s="1467">
        <f t="shared" si="57"/>
        <v>15518250.000000004</v>
      </c>
      <c r="BC25" s="1467">
        <f t="shared" si="58"/>
        <v>14701500.000000004</v>
      </c>
      <c r="BD25" s="1467">
        <f t="shared" si="59"/>
        <v>13884750.000000004</v>
      </c>
      <c r="BE25" s="1467">
        <f t="shared" si="60"/>
        <v>13068000.000000004</v>
      </c>
      <c r="BF25" s="1467">
        <f t="shared" si="61"/>
        <v>12251250.000000004</v>
      </c>
      <c r="BG25" s="1467">
        <f t="shared" si="62"/>
        <v>11434500.000000004</v>
      </c>
      <c r="BH25" s="1467">
        <f t="shared" si="63"/>
        <v>10617750.000000004</v>
      </c>
      <c r="BI25" s="1467">
        <f t="shared" si="64"/>
        <v>9801000.0000000037</v>
      </c>
      <c r="BJ25" s="1467">
        <f t="shared" si="65"/>
        <v>8984250.0000000037</v>
      </c>
      <c r="BK25" s="1467">
        <f t="shared" si="66"/>
        <v>8167500.0000000037</v>
      </c>
      <c r="BL25" s="1467">
        <f t="shared" si="67"/>
        <v>7350750.0000000037</v>
      </c>
      <c r="BM25" s="1467">
        <f t="shared" si="68"/>
        <v>6534000.0000000037</v>
      </c>
      <c r="BN25" s="1467">
        <f t="shared" si="69"/>
        <v>5717250.0000000037</v>
      </c>
      <c r="BO25" s="1467">
        <f t="shared" si="70"/>
        <v>4900500.0000000037</v>
      </c>
      <c r="BP25" s="1467">
        <f t="shared" si="71"/>
        <v>4083750.0000000037</v>
      </c>
      <c r="BQ25" s="1467">
        <f t="shared" si="72"/>
        <v>3267000.0000000037</v>
      </c>
      <c r="BR25" s="1467">
        <f t="shared" si="73"/>
        <v>2450250.0000000037</v>
      </c>
      <c r="BS25" s="1467">
        <f t="shared" si="74"/>
        <v>1633500.0000000037</v>
      </c>
      <c r="BT25" s="1467">
        <f t="shared" si="75"/>
        <v>816750.00000000361</v>
      </c>
      <c r="BU25" s="1467">
        <f t="shared" si="76"/>
        <v>3.4924596548080444E-9</v>
      </c>
      <c r="BV25" s="1466"/>
    </row>
    <row r="26" spans="1:74" x14ac:dyDescent="0.2">
      <c r="A26" s="927" t="str">
        <f t="shared" si="6"/>
        <v>C-Syrup (Sucrosic).Straight-Line</v>
      </c>
      <c r="B26" s="1076"/>
      <c r="C26" s="1076" t="str">
        <f t="shared" ref="C26:C32" si="82">C25</f>
        <v>C-Syrup (Sucrosic)</v>
      </c>
      <c r="D26" s="1076" t="str">
        <f>Assumptions!$AH$81</f>
        <v>Straight-Line</v>
      </c>
      <c r="E26" s="1076" t="str">
        <f t="shared" si="77"/>
        <v>Distillation, Rectification and Dehydration</v>
      </c>
      <c r="F26" s="1467">
        <f t="shared" si="77"/>
        <v>23000000</v>
      </c>
      <c r="G26" s="1467">
        <f t="shared" si="7"/>
        <v>28462500</v>
      </c>
      <c r="H26" s="1467">
        <f t="shared" si="8"/>
        <v>31308750.000000004</v>
      </c>
      <c r="I26" s="1467">
        <f t="shared" si="9"/>
        <v>31308750.000000004</v>
      </c>
      <c r="J26" s="1161">
        <f t="shared" ref="J26:J32" si="83">J25</f>
        <v>3.3333333333333333E-2</v>
      </c>
      <c r="K26" s="1107"/>
      <c r="L26" s="1467">
        <f t="shared" si="10"/>
        <v>1043625.0000000001</v>
      </c>
      <c r="M26" s="1467">
        <f t="shared" si="78"/>
        <v>1043625.0000000001</v>
      </c>
      <c r="N26" s="1467">
        <f t="shared" si="78"/>
        <v>1043625.0000000001</v>
      </c>
      <c r="O26" s="1467">
        <f t="shared" si="78"/>
        <v>1043625.0000000001</v>
      </c>
      <c r="P26" s="1467">
        <f t="shared" si="78"/>
        <v>1043625.0000000001</v>
      </c>
      <c r="Q26" s="1467">
        <f t="shared" si="78"/>
        <v>1043625.0000000001</v>
      </c>
      <c r="R26" s="1467">
        <f t="shared" si="78"/>
        <v>1043625.0000000001</v>
      </c>
      <c r="S26" s="1467">
        <f t="shared" si="78"/>
        <v>1043625.0000000001</v>
      </c>
      <c r="T26" s="1467">
        <f t="shared" si="78"/>
        <v>1043625.0000000001</v>
      </c>
      <c r="U26" s="1467">
        <f t="shared" si="78"/>
        <v>1043625.0000000001</v>
      </c>
      <c r="V26" s="1467">
        <f t="shared" si="78"/>
        <v>1043625.0000000001</v>
      </c>
      <c r="W26" s="1467">
        <f t="shared" si="78"/>
        <v>1043625.0000000001</v>
      </c>
      <c r="X26" s="1467">
        <f t="shared" si="78"/>
        <v>1043625.0000000001</v>
      </c>
      <c r="Y26" s="1467">
        <f t="shared" si="78"/>
        <v>1043625.0000000001</v>
      </c>
      <c r="Z26" s="1467">
        <f t="shared" si="78"/>
        <v>1043625.0000000001</v>
      </c>
      <c r="AA26" s="1467">
        <f t="shared" si="78"/>
        <v>1043625.0000000001</v>
      </c>
      <c r="AB26" s="1467">
        <f t="shared" si="78"/>
        <v>1043625.0000000001</v>
      </c>
      <c r="AC26" s="1467">
        <f t="shared" si="78"/>
        <v>1043625.0000000001</v>
      </c>
      <c r="AD26" s="1467">
        <f t="shared" si="78"/>
        <v>1043625.0000000001</v>
      </c>
      <c r="AE26" s="1467">
        <f t="shared" si="78"/>
        <v>1043625.0000000001</v>
      </c>
      <c r="AF26" s="1467">
        <f t="shared" si="78"/>
        <v>1043625.0000000001</v>
      </c>
      <c r="AG26" s="1467">
        <f t="shared" si="78"/>
        <v>1043625.0000000001</v>
      </c>
      <c r="AH26" s="1467">
        <f t="shared" si="78"/>
        <v>1043625.0000000001</v>
      </c>
      <c r="AI26" s="1467">
        <f t="shared" si="78"/>
        <v>1043625.0000000001</v>
      </c>
      <c r="AJ26" s="1467">
        <f t="shared" si="78"/>
        <v>1043625.0000000001</v>
      </c>
      <c r="AK26" s="1467">
        <f t="shared" si="78"/>
        <v>1043625.0000000001</v>
      </c>
      <c r="AL26" s="1467">
        <f t="shared" si="78"/>
        <v>1043625.0000000001</v>
      </c>
      <c r="AM26" s="1467">
        <f t="shared" si="78"/>
        <v>1043625.0000000001</v>
      </c>
      <c r="AN26" s="1467">
        <f t="shared" si="78"/>
        <v>1043625.0000000001</v>
      </c>
      <c r="AO26" s="1467">
        <f t="shared" si="78"/>
        <v>1043625.0000000001</v>
      </c>
      <c r="AP26" s="1468">
        <f t="shared" si="11"/>
        <v>31308750.000000004</v>
      </c>
      <c r="AQ26" s="1466"/>
      <c r="AR26" s="1467">
        <f t="shared" si="12"/>
        <v>30265125.000000004</v>
      </c>
      <c r="AS26" s="1467">
        <f t="shared" si="13"/>
        <v>29221500.000000004</v>
      </c>
      <c r="AT26" s="1467">
        <f t="shared" si="79"/>
        <v>28177875.000000004</v>
      </c>
      <c r="AU26" s="1467">
        <f t="shared" si="80"/>
        <v>27134250.000000004</v>
      </c>
      <c r="AV26" s="1467">
        <f t="shared" si="81"/>
        <v>26090625.000000004</v>
      </c>
      <c r="AW26" s="1467">
        <f t="shared" si="52"/>
        <v>25047000.000000004</v>
      </c>
      <c r="AX26" s="1467">
        <f t="shared" si="53"/>
        <v>24003375.000000004</v>
      </c>
      <c r="AY26" s="1467">
        <f t="shared" si="54"/>
        <v>22959750.000000004</v>
      </c>
      <c r="AZ26" s="1467">
        <f t="shared" si="55"/>
        <v>21916125.000000004</v>
      </c>
      <c r="BA26" s="1467">
        <f t="shared" si="56"/>
        <v>20872500.000000004</v>
      </c>
      <c r="BB26" s="1467">
        <f t="shared" si="57"/>
        <v>19828875.000000004</v>
      </c>
      <c r="BC26" s="1467">
        <f t="shared" si="58"/>
        <v>18785250.000000004</v>
      </c>
      <c r="BD26" s="1467">
        <f t="shared" si="59"/>
        <v>17741625.000000004</v>
      </c>
      <c r="BE26" s="1467">
        <f t="shared" si="60"/>
        <v>16698000.000000004</v>
      </c>
      <c r="BF26" s="1467">
        <f t="shared" si="61"/>
        <v>15654375.000000004</v>
      </c>
      <c r="BG26" s="1467">
        <f t="shared" si="62"/>
        <v>14610750.000000004</v>
      </c>
      <c r="BH26" s="1467">
        <f t="shared" si="63"/>
        <v>13567125.000000004</v>
      </c>
      <c r="BI26" s="1467">
        <f t="shared" si="64"/>
        <v>12523500.000000004</v>
      </c>
      <c r="BJ26" s="1467">
        <f t="shared" si="65"/>
        <v>11479875.000000004</v>
      </c>
      <c r="BK26" s="1467">
        <f t="shared" si="66"/>
        <v>10436250.000000004</v>
      </c>
      <c r="BL26" s="1467">
        <f t="shared" si="67"/>
        <v>9392625.0000000037</v>
      </c>
      <c r="BM26" s="1467">
        <f t="shared" si="68"/>
        <v>8349000.0000000037</v>
      </c>
      <c r="BN26" s="1467">
        <f t="shared" si="69"/>
        <v>7305375.0000000037</v>
      </c>
      <c r="BO26" s="1467">
        <f t="shared" si="70"/>
        <v>6261750.0000000037</v>
      </c>
      <c r="BP26" s="1467">
        <f t="shared" si="71"/>
        <v>5218125.0000000037</v>
      </c>
      <c r="BQ26" s="1467">
        <f t="shared" si="72"/>
        <v>4174500.0000000037</v>
      </c>
      <c r="BR26" s="1467">
        <f t="shared" si="73"/>
        <v>3130875.0000000037</v>
      </c>
      <c r="BS26" s="1467">
        <f t="shared" si="74"/>
        <v>2087250.0000000037</v>
      </c>
      <c r="BT26" s="1467">
        <f t="shared" si="75"/>
        <v>1043625.0000000036</v>
      </c>
      <c r="BU26" s="1467">
        <f t="shared" si="76"/>
        <v>3.4924596548080444E-9</v>
      </c>
      <c r="BV26" s="1466"/>
    </row>
    <row r="27" spans="1:74" x14ac:dyDescent="0.2">
      <c r="A27" s="927" t="str">
        <f t="shared" si="6"/>
        <v>C-Syrup (Sucrosic).Straight-Line</v>
      </c>
      <c r="B27" s="1076"/>
      <c r="C27" s="1076" t="str">
        <f t="shared" si="82"/>
        <v>C-Syrup (Sucrosic)</v>
      </c>
      <c r="D27" s="1076" t="str">
        <f>Assumptions!$AH$81</f>
        <v>Straight-Line</v>
      </c>
      <c r="E27" s="1076" t="str">
        <f t="shared" si="77"/>
        <v>Alcohol Storage</v>
      </c>
      <c r="F27" s="1467">
        <f t="shared" si="77"/>
        <v>5000000</v>
      </c>
      <c r="G27" s="1467">
        <f t="shared" si="7"/>
        <v>6187500</v>
      </c>
      <c r="H27" s="1467">
        <f t="shared" si="8"/>
        <v>6806250.0000000009</v>
      </c>
      <c r="I27" s="1467">
        <f t="shared" si="9"/>
        <v>6806250.0000000009</v>
      </c>
      <c r="J27" s="1161">
        <f t="shared" si="83"/>
        <v>3.3333333333333333E-2</v>
      </c>
      <c r="K27" s="1107"/>
      <c r="L27" s="1467">
        <f t="shared" si="10"/>
        <v>226875.00000000003</v>
      </c>
      <c r="M27" s="1467">
        <f t="shared" si="78"/>
        <v>226875.00000000003</v>
      </c>
      <c r="N27" s="1467">
        <f t="shared" si="78"/>
        <v>226875.00000000003</v>
      </c>
      <c r="O27" s="1467">
        <f t="shared" si="78"/>
        <v>226875.00000000003</v>
      </c>
      <c r="P27" s="1467">
        <f t="shared" si="78"/>
        <v>226875.00000000003</v>
      </c>
      <c r="Q27" s="1467">
        <f t="shared" si="78"/>
        <v>226875.00000000003</v>
      </c>
      <c r="R27" s="1467">
        <f t="shared" si="78"/>
        <v>226875.00000000003</v>
      </c>
      <c r="S27" s="1467">
        <f t="shared" si="78"/>
        <v>226875.00000000003</v>
      </c>
      <c r="T27" s="1467">
        <f t="shared" si="78"/>
        <v>226875.00000000003</v>
      </c>
      <c r="U27" s="1467">
        <f t="shared" si="78"/>
        <v>226875.00000000003</v>
      </c>
      <c r="V27" s="1467">
        <f t="shared" si="78"/>
        <v>226875.00000000003</v>
      </c>
      <c r="W27" s="1467">
        <f t="shared" si="78"/>
        <v>226875.00000000003</v>
      </c>
      <c r="X27" s="1467">
        <f t="shared" si="78"/>
        <v>226875.00000000003</v>
      </c>
      <c r="Y27" s="1467">
        <f t="shared" si="78"/>
        <v>226875.00000000003</v>
      </c>
      <c r="Z27" s="1467">
        <f t="shared" si="78"/>
        <v>226875.00000000003</v>
      </c>
      <c r="AA27" s="1467">
        <f t="shared" si="78"/>
        <v>226875.00000000003</v>
      </c>
      <c r="AB27" s="1467">
        <f t="shared" si="78"/>
        <v>226875.00000000003</v>
      </c>
      <c r="AC27" s="1467">
        <f t="shared" si="78"/>
        <v>226875.00000000003</v>
      </c>
      <c r="AD27" s="1467">
        <f t="shared" si="78"/>
        <v>226875.00000000003</v>
      </c>
      <c r="AE27" s="1467">
        <f t="shared" si="78"/>
        <v>226875.00000000003</v>
      </c>
      <c r="AF27" s="1467">
        <f t="shared" si="78"/>
        <v>226875.00000000003</v>
      </c>
      <c r="AG27" s="1467">
        <f t="shared" si="78"/>
        <v>226875.00000000003</v>
      </c>
      <c r="AH27" s="1467">
        <f t="shared" si="78"/>
        <v>226875.00000000003</v>
      </c>
      <c r="AI27" s="1467">
        <f t="shared" si="78"/>
        <v>226875.00000000003</v>
      </c>
      <c r="AJ27" s="1467">
        <f t="shared" si="78"/>
        <v>226875.00000000003</v>
      </c>
      <c r="AK27" s="1467">
        <f t="shared" si="78"/>
        <v>226875.00000000003</v>
      </c>
      <c r="AL27" s="1467">
        <f t="shared" si="78"/>
        <v>226875.00000000003</v>
      </c>
      <c r="AM27" s="1467">
        <f t="shared" si="78"/>
        <v>226875.00000000003</v>
      </c>
      <c r="AN27" s="1467">
        <f t="shared" si="78"/>
        <v>226875.00000000003</v>
      </c>
      <c r="AO27" s="1467">
        <f t="shared" si="78"/>
        <v>226875.00000000003</v>
      </c>
      <c r="AP27" s="1468">
        <f t="shared" si="11"/>
        <v>6806250.0000000009</v>
      </c>
      <c r="AQ27" s="1466"/>
      <c r="AR27" s="1467">
        <f t="shared" si="12"/>
        <v>6579375.0000000009</v>
      </c>
      <c r="AS27" s="1467">
        <f t="shared" si="13"/>
        <v>6352500.0000000009</v>
      </c>
      <c r="AT27" s="1467">
        <f t="shared" si="79"/>
        <v>6125625.0000000009</v>
      </c>
      <c r="AU27" s="1467">
        <f t="shared" si="80"/>
        <v>5898750.0000000009</v>
      </c>
      <c r="AV27" s="1467">
        <f t="shared" si="81"/>
        <v>5671875.0000000009</v>
      </c>
      <c r="AW27" s="1467">
        <f t="shared" si="52"/>
        <v>5445000.0000000009</v>
      </c>
      <c r="AX27" s="1467">
        <f t="shared" si="53"/>
        <v>5218125.0000000009</v>
      </c>
      <c r="AY27" s="1467">
        <f t="shared" si="54"/>
        <v>4991250.0000000009</v>
      </c>
      <c r="AZ27" s="1467">
        <f t="shared" si="55"/>
        <v>4764375.0000000009</v>
      </c>
      <c r="BA27" s="1467">
        <f t="shared" si="56"/>
        <v>4537500.0000000009</v>
      </c>
      <c r="BB27" s="1467">
        <f t="shared" si="57"/>
        <v>4310625.0000000009</v>
      </c>
      <c r="BC27" s="1467">
        <f t="shared" si="58"/>
        <v>4083750.0000000009</v>
      </c>
      <c r="BD27" s="1467">
        <f t="shared" si="59"/>
        <v>3856875.0000000009</v>
      </c>
      <c r="BE27" s="1467">
        <f t="shared" si="60"/>
        <v>3630000.0000000009</v>
      </c>
      <c r="BF27" s="1467">
        <f t="shared" si="61"/>
        <v>3403125.0000000009</v>
      </c>
      <c r="BG27" s="1467">
        <f t="shared" si="62"/>
        <v>3176250.0000000009</v>
      </c>
      <c r="BH27" s="1467">
        <f t="shared" si="63"/>
        <v>2949375.0000000009</v>
      </c>
      <c r="BI27" s="1467">
        <f t="shared" si="64"/>
        <v>2722500.0000000009</v>
      </c>
      <c r="BJ27" s="1467">
        <f t="shared" si="65"/>
        <v>2495625.0000000009</v>
      </c>
      <c r="BK27" s="1467">
        <f t="shared" si="66"/>
        <v>2268750.0000000009</v>
      </c>
      <c r="BL27" s="1467">
        <f t="shared" si="67"/>
        <v>2041875.0000000009</v>
      </c>
      <c r="BM27" s="1467">
        <f t="shared" si="68"/>
        <v>1815000.0000000009</v>
      </c>
      <c r="BN27" s="1467">
        <f t="shared" si="69"/>
        <v>1588125.0000000009</v>
      </c>
      <c r="BO27" s="1467">
        <f t="shared" si="70"/>
        <v>1361250.0000000009</v>
      </c>
      <c r="BP27" s="1467">
        <f t="shared" si="71"/>
        <v>1134375.0000000009</v>
      </c>
      <c r="BQ27" s="1467">
        <f t="shared" si="72"/>
        <v>907500.00000000093</v>
      </c>
      <c r="BR27" s="1467">
        <f t="shared" si="73"/>
        <v>680625.00000000093</v>
      </c>
      <c r="BS27" s="1467">
        <f t="shared" si="74"/>
        <v>453750.00000000093</v>
      </c>
      <c r="BT27" s="1467">
        <f t="shared" si="75"/>
        <v>226875.0000000009</v>
      </c>
      <c r="BU27" s="1467">
        <f t="shared" si="76"/>
        <v>8.7311491370201111E-10</v>
      </c>
      <c r="BV27" s="1466"/>
    </row>
    <row r="28" spans="1:74" x14ac:dyDescent="0.2">
      <c r="A28" s="927" t="str">
        <f t="shared" si="6"/>
        <v>C-Syrup (Sucrosic).Straight-Line</v>
      </c>
      <c r="B28" s="1076"/>
      <c r="C28" s="1076" t="str">
        <f t="shared" si="82"/>
        <v>C-Syrup (Sucrosic)</v>
      </c>
      <c r="D28" s="1076" t="str">
        <f>Assumptions!$AH$81</f>
        <v>Straight-Line</v>
      </c>
      <c r="E28" s="1076" t="str">
        <f t="shared" si="77"/>
        <v>Dunder and Fertiliser Plant</v>
      </c>
      <c r="F28" s="1467">
        <f t="shared" si="77"/>
        <v>17000000</v>
      </c>
      <c r="G28" s="1467">
        <f t="shared" si="7"/>
        <v>21037500</v>
      </c>
      <c r="H28" s="1467">
        <f t="shared" si="8"/>
        <v>23141250.000000004</v>
      </c>
      <c r="I28" s="1467">
        <f t="shared" si="9"/>
        <v>23141250.000000004</v>
      </c>
      <c r="J28" s="1161">
        <f t="shared" si="83"/>
        <v>3.3333333333333333E-2</v>
      </c>
      <c r="K28" s="1107"/>
      <c r="L28" s="1467">
        <f t="shared" si="10"/>
        <v>771375.00000000012</v>
      </c>
      <c r="M28" s="1467">
        <f t="shared" si="78"/>
        <v>771375.00000000012</v>
      </c>
      <c r="N28" s="1467">
        <f t="shared" si="78"/>
        <v>771375.00000000012</v>
      </c>
      <c r="O28" s="1467">
        <f t="shared" si="78"/>
        <v>771375.00000000012</v>
      </c>
      <c r="P28" s="1467">
        <f t="shared" si="78"/>
        <v>771375.00000000012</v>
      </c>
      <c r="Q28" s="1467">
        <f t="shared" si="78"/>
        <v>771375.00000000012</v>
      </c>
      <c r="R28" s="1467">
        <f t="shared" si="78"/>
        <v>771375.00000000012</v>
      </c>
      <c r="S28" s="1467">
        <f t="shared" si="78"/>
        <v>771375.00000000012</v>
      </c>
      <c r="T28" s="1467">
        <f t="shared" si="78"/>
        <v>771375.00000000012</v>
      </c>
      <c r="U28" s="1467">
        <f t="shared" si="78"/>
        <v>771375.00000000012</v>
      </c>
      <c r="V28" s="1467">
        <f t="shared" si="78"/>
        <v>771375.00000000012</v>
      </c>
      <c r="W28" s="1467">
        <f t="shared" si="78"/>
        <v>771375.00000000012</v>
      </c>
      <c r="X28" s="1467">
        <f t="shared" si="78"/>
        <v>771375.00000000012</v>
      </c>
      <c r="Y28" s="1467">
        <f t="shared" si="78"/>
        <v>771375.00000000012</v>
      </c>
      <c r="Z28" s="1467">
        <f t="shared" si="78"/>
        <v>771375.00000000012</v>
      </c>
      <c r="AA28" s="1467">
        <f t="shared" si="78"/>
        <v>771375.00000000012</v>
      </c>
      <c r="AB28" s="1467">
        <f t="shared" si="78"/>
        <v>771375.00000000012</v>
      </c>
      <c r="AC28" s="1467">
        <f t="shared" si="78"/>
        <v>771375.00000000012</v>
      </c>
      <c r="AD28" s="1467">
        <f t="shared" si="78"/>
        <v>771375.00000000012</v>
      </c>
      <c r="AE28" s="1467">
        <f t="shared" si="78"/>
        <v>771375.00000000012</v>
      </c>
      <c r="AF28" s="1467">
        <f t="shared" si="78"/>
        <v>771375.00000000012</v>
      </c>
      <c r="AG28" s="1467">
        <f t="shared" si="78"/>
        <v>771375.00000000012</v>
      </c>
      <c r="AH28" s="1467">
        <f t="shared" si="78"/>
        <v>771375.00000000012</v>
      </c>
      <c r="AI28" s="1467">
        <f t="shared" si="78"/>
        <v>771375.00000000012</v>
      </c>
      <c r="AJ28" s="1467">
        <f t="shared" si="78"/>
        <v>771375.00000000012</v>
      </c>
      <c r="AK28" s="1467">
        <f t="shared" si="78"/>
        <v>771375.00000000012</v>
      </c>
      <c r="AL28" s="1467">
        <f t="shared" si="78"/>
        <v>771375.00000000012</v>
      </c>
      <c r="AM28" s="1467">
        <f t="shared" si="78"/>
        <v>771375.00000000012</v>
      </c>
      <c r="AN28" s="1467">
        <f t="shared" si="78"/>
        <v>771375.00000000012</v>
      </c>
      <c r="AO28" s="1467">
        <f t="shared" si="78"/>
        <v>771375.00000000012</v>
      </c>
      <c r="AP28" s="1468">
        <f t="shared" si="11"/>
        <v>23141250.000000004</v>
      </c>
      <c r="AQ28" s="1466"/>
      <c r="AR28" s="1467">
        <f t="shared" si="12"/>
        <v>22369875.000000004</v>
      </c>
      <c r="AS28" s="1467">
        <f t="shared" si="13"/>
        <v>21598500.000000004</v>
      </c>
      <c r="AT28" s="1467">
        <f t="shared" si="79"/>
        <v>20827125.000000004</v>
      </c>
      <c r="AU28" s="1467">
        <f t="shared" si="80"/>
        <v>20055750.000000004</v>
      </c>
      <c r="AV28" s="1467">
        <f t="shared" si="81"/>
        <v>19284375.000000004</v>
      </c>
      <c r="AW28" s="1467">
        <f t="shared" si="52"/>
        <v>18513000.000000004</v>
      </c>
      <c r="AX28" s="1467">
        <f t="shared" si="53"/>
        <v>17741625.000000004</v>
      </c>
      <c r="AY28" s="1467">
        <f t="shared" si="54"/>
        <v>16970250.000000004</v>
      </c>
      <c r="AZ28" s="1467">
        <f t="shared" si="55"/>
        <v>16198875.000000004</v>
      </c>
      <c r="BA28" s="1467">
        <f t="shared" si="56"/>
        <v>15427500.000000004</v>
      </c>
      <c r="BB28" s="1467">
        <f t="shared" si="57"/>
        <v>14656125.000000004</v>
      </c>
      <c r="BC28" s="1467">
        <f t="shared" si="58"/>
        <v>13884750.000000004</v>
      </c>
      <c r="BD28" s="1467">
        <f t="shared" si="59"/>
        <v>13113375.000000004</v>
      </c>
      <c r="BE28" s="1467">
        <f t="shared" si="60"/>
        <v>12342000.000000004</v>
      </c>
      <c r="BF28" s="1467">
        <f t="shared" si="61"/>
        <v>11570625.000000004</v>
      </c>
      <c r="BG28" s="1467">
        <f t="shared" si="62"/>
        <v>10799250.000000004</v>
      </c>
      <c r="BH28" s="1467">
        <f t="shared" si="63"/>
        <v>10027875.000000004</v>
      </c>
      <c r="BI28" s="1467">
        <f t="shared" si="64"/>
        <v>9256500.0000000037</v>
      </c>
      <c r="BJ28" s="1467">
        <f t="shared" si="65"/>
        <v>8485125.0000000037</v>
      </c>
      <c r="BK28" s="1467">
        <f t="shared" si="66"/>
        <v>7713750.0000000037</v>
      </c>
      <c r="BL28" s="1467">
        <f t="shared" si="67"/>
        <v>6942375.0000000037</v>
      </c>
      <c r="BM28" s="1467">
        <f t="shared" si="68"/>
        <v>6171000.0000000037</v>
      </c>
      <c r="BN28" s="1467">
        <f t="shared" si="69"/>
        <v>5399625.0000000037</v>
      </c>
      <c r="BO28" s="1467">
        <f t="shared" si="70"/>
        <v>4628250.0000000037</v>
      </c>
      <c r="BP28" s="1467">
        <f t="shared" si="71"/>
        <v>3856875.0000000037</v>
      </c>
      <c r="BQ28" s="1467">
        <f t="shared" si="72"/>
        <v>3085500.0000000037</v>
      </c>
      <c r="BR28" s="1467">
        <f t="shared" si="73"/>
        <v>2314125.0000000037</v>
      </c>
      <c r="BS28" s="1467">
        <f t="shared" si="74"/>
        <v>1542750.0000000037</v>
      </c>
      <c r="BT28" s="1467">
        <f t="shared" si="75"/>
        <v>771375.00000000361</v>
      </c>
      <c r="BU28" s="1467">
        <f t="shared" si="76"/>
        <v>3.4924596548080444E-9</v>
      </c>
      <c r="BV28" s="1466"/>
    </row>
    <row r="29" spans="1:74" x14ac:dyDescent="0.2">
      <c r="A29" s="927" t="str">
        <f t="shared" si="6"/>
        <v>C-Syrup (Sucrosic).Straight-Line</v>
      </c>
      <c r="B29" s="1076"/>
      <c r="C29" s="1076" t="str">
        <f t="shared" si="82"/>
        <v>C-Syrup (Sucrosic)</v>
      </c>
      <c r="D29" s="1076" t="str">
        <f>Assumptions!$AH$81</f>
        <v>Straight-Line</v>
      </c>
      <c r="E29" s="1076" t="str">
        <f t="shared" si="77"/>
        <v>Biogas Plant</v>
      </c>
      <c r="F29" s="1467">
        <f t="shared" si="77"/>
        <v>11000000</v>
      </c>
      <c r="G29" s="1467">
        <f t="shared" si="7"/>
        <v>13612500</v>
      </c>
      <c r="H29" s="1467">
        <f t="shared" si="8"/>
        <v>14973750.000000002</v>
      </c>
      <c r="I29" s="1467">
        <f t="shared" si="9"/>
        <v>14973750.000000002</v>
      </c>
      <c r="J29" s="1161">
        <f t="shared" si="83"/>
        <v>3.3333333333333333E-2</v>
      </c>
      <c r="K29" s="1107"/>
      <c r="L29" s="1467">
        <f t="shared" si="10"/>
        <v>499125.00000000006</v>
      </c>
      <c r="M29" s="1467">
        <f t="shared" si="78"/>
        <v>499125.00000000006</v>
      </c>
      <c r="N29" s="1467">
        <f t="shared" si="78"/>
        <v>499125.00000000006</v>
      </c>
      <c r="O29" s="1467">
        <f t="shared" si="78"/>
        <v>499125.00000000006</v>
      </c>
      <c r="P29" s="1467">
        <f t="shared" si="78"/>
        <v>499125.00000000006</v>
      </c>
      <c r="Q29" s="1467">
        <f t="shared" si="78"/>
        <v>499125.00000000006</v>
      </c>
      <c r="R29" s="1467">
        <f t="shared" si="78"/>
        <v>499125.00000000006</v>
      </c>
      <c r="S29" s="1467">
        <f t="shared" si="78"/>
        <v>499125.00000000006</v>
      </c>
      <c r="T29" s="1467">
        <f t="shared" si="78"/>
        <v>499125.00000000006</v>
      </c>
      <c r="U29" s="1467">
        <f t="shared" si="78"/>
        <v>499125.00000000006</v>
      </c>
      <c r="V29" s="1467">
        <f t="shared" si="78"/>
        <v>499125.00000000006</v>
      </c>
      <c r="W29" s="1467">
        <f t="shared" si="78"/>
        <v>499125.00000000006</v>
      </c>
      <c r="X29" s="1467">
        <f t="shared" si="78"/>
        <v>499125.00000000006</v>
      </c>
      <c r="Y29" s="1467">
        <f t="shared" si="78"/>
        <v>499125.00000000006</v>
      </c>
      <c r="Z29" s="1467">
        <f t="shared" si="78"/>
        <v>499125.00000000006</v>
      </c>
      <c r="AA29" s="1467">
        <f t="shared" si="78"/>
        <v>499125.00000000006</v>
      </c>
      <c r="AB29" s="1467">
        <f t="shared" si="78"/>
        <v>499125.00000000006</v>
      </c>
      <c r="AC29" s="1467">
        <f t="shared" si="78"/>
        <v>499125.00000000006</v>
      </c>
      <c r="AD29" s="1467">
        <f t="shared" si="78"/>
        <v>499125.00000000006</v>
      </c>
      <c r="AE29" s="1467">
        <f t="shared" si="78"/>
        <v>499125.00000000006</v>
      </c>
      <c r="AF29" s="1467">
        <f t="shared" si="78"/>
        <v>499125.00000000006</v>
      </c>
      <c r="AG29" s="1467">
        <f t="shared" si="78"/>
        <v>499125.00000000006</v>
      </c>
      <c r="AH29" s="1467">
        <f t="shared" si="78"/>
        <v>499125.00000000006</v>
      </c>
      <c r="AI29" s="1467">
        <f t="shared" si="78"/>
        <v>499125.00000000006</v>
      </c>
      <c r="AJ29" s="1467">
        <f t="shared" si="78"/>
        <v>499125.00000000006</v>
      </c>
      <c r="AK29" s="1467">
        <f t="shared" si="78"/>
        <v>499125.00000000006</v>
      </c>
      <c r="AL29" s="1467">
        <f t="shared" si="78"/>
        <v>499125.00000000006</v>
      </c>
      <c r="AM29" s="1467">
        <f t="shared" si="78"/>
        <v>499125.00000000006</v>
      </c>
      <c r="AN29" s="1467">
        <f t="shared" si="78"/>
        <v>499125.00000000006</v>
      </c>
      <c r="AO29" s="1467">
        <f t="shared" si="78"/>
        <v>499125.00000000006</v>
      </c>
      <c r="AP29" s="1468">
        <f t="shared" si="11"/>
        <v>14973750.000000002</v>
      </c>
      <c r="AQ29" s="1466"/>
      <c r="AR29" s="1467">
        <f t="shared" si="12"/>
        <v>14474625.000000002</v>
      </c>
      <c r="AS29" s="1467">
        <f t="shared" si="13"/>
        <v>13975500.000000002</v>
      </c>
      <c r="AT29" s="1467">
        <f t="shared" si="79"/>
        <v>13476375.000000002</v>
      </c>
      <c r="AU29" s="1467">
        <f t="shared" si="80"/>
        <v>12977250.000000002</v>
      </c>
      <c r="AV29" s="1467">
        <f t="shared" si="81"/>
        <v>12478125.000000002</v>
      </c>
      <c r="AW29" s="1467">
        <f t="shared" si="52"/>
        <v>11979000.000000002</v>
      </c>
      <c r="AX29" s="1467">
        <f t="shared" si="53"/>
        <v>11479875.000000002</v>
      </c>
      <c r="AY29" s="1467">
        <f t="shared" si="54"/>
        <v>10980750.000000002</v>
      </c>
      <c r="AZ29" s="1467">
        <f t="shared" si="55"/>
        <v>10481625.000000002</v>
      </c>
      <c r="BA29" s="1467">
        <f t="shared" si="56"/>
        <v>9982500.0000000019</v>
      </c>
      <c r="BB29" s="1467">
        <f t="shared" si="57"/>
        <v>9483375.0000000019</v>
      </c>
      <c r="BC29" s="1467">
        <f t="shared" si="58"/>
        <v>8984250.0000000019</v>
      </c>
      <c r="BD29" s="1467">
        <f t="shared" si="59"/>
        <v>8485125.0000000019</v>
      </c>
      <c r="BE29" s="1467">
        <f t="shared" si="60"/>
        <v>7986000.0000000019</v>
      </c>
      <c r="BF29" s="1467">
        <f t="shared" si="61"/>
        <v>7486875.0000000019</v>
      </c>
      <c r="BG29" s="1467">
        <f t="shared" si="62"/>
        <v>6987750.0000000019</v>
      </c>
      <c r="BH29" s="1467">
        <f t="shared" si="63"/>
        <v>6488625.0000000019</v>
      </c>
      <c r="BI29" s="1467">
        <f t="shared" si="64"/>
        <v>5989500.0000000019</v>
      </c>
      <c r="BJ29" s="1467">
        <f t="shared" si="65"/>
        <v>5490375.0000000019</v>
      </c>
      <c r="BK29" s="1467">
        <f t="shared" si="66"/>
        <v>4991250.0000000019</v>
      </c>
      <c r="BL29" s="1467">
        <f t="shared" si="67"/>
        <v>4492125.0000000019</v>
      </c>
      <c r="BM29" s="1467">
        <f t="shared" si="68"/>
        <v>3993000.0000000019</v>
      </c>
      <c r="BN29" s="1467">
        <f t="shared" si="69"/>
        <v>3493875.0000000019</v>
      </c>
      <c r="BO29" s="1467">
        <f t="shared" si="70"/>
        <v>2994750.0000000019</v>
      </c>
      <c r="BP29" s="1467">
        <f t="shared" si="71"/>
        <v>2495625.0000000019</v>
      </c>
      <c r="BQ29" s="1467">
        <f t="shared" si="72"/>
        <v>1996500.0000000019</v>
      </c>
      <c r="BR29" s="1467">
        <f t="shared" si="73"/>
        <v>1497375.0000000019</v>
      </c>
      <c r="BS29" s="1467">
        <f t="shared" si="74"/>
        <v>998250.00000000186</v>
      </c>
      <c r="BT29" s="1467">
        <f t="shared" si="75"/>
        <v>499125.0000000018</v>
      </c>
      <c r="BU29" s="1467">
        <f t="shared" si="76"/>
        <v>1.7462298274040222E-9</v>
      </c>
      <c r="BV29" s="1466"/>
    </row>
    <row r="30" spans="1:74" x14ac:dyDescent="0.2">
      <c r="A30" s="927" t="str">
        <f t="shared" si="6"/>
        <v>C-Syrup (Sucrosic).Straight-Line</v>
      </c>
      <c r="C30" s="1076" t="str">
        <f t="shared" si="82"/>
        <v>C-Syrup (Sucrosic)</v>
      </c>
      <c r="D30" s="1076" t="str">
        <f>Assumptions!$AH$81</f>
        <v>Straight-Line</v>
      </c>
      <c r="E30" s="1076" t="str">
        <f t="shared" si="77"/>
        <v>Cogeneration Plant</v>
      </c>
      <c r="F30" s="1467">
        <f t="shared" si="77"/>
        <v>7500000</v>
      </c>
      <c r="G30" s="1467">
        <f t="shared" si="7"/>
        <v>9281250</v>
      </c>
      <c r="H30" s="1467">
        <f t="shared" si="8"/>
        <v>10209375</v>
      </c>
      <c r="I30" s="1467">
        <f t="shared" si="9"/>
        <v>10209375</v>
      </c>
      <c r="J30" s="1161">
        <f t="shared" si="83"/>
        <v>3.3333333333333333E-2</v>
      </c>
      <c r="K30" s="1107"/>
      <c r="L30" s="1467">
        <f t="shared" si="10"/>
        <v>340312.5</v>
      </c>
      <c r="M30" s="1467">
        <f t="shared" si="78"/>
        <v>340312.5</v>
      </c>
      <c r="N30" s="1467">
        <f t="shared" si="78"/>
        <v>340312.5</v>
      </c>
      <c r="O30" s="1467">
        <f t="shared" si="78"/>
        <v>340312.5</v>
      </c>
      <c r="P30" s="1467">
        <f t="shared" si="78"/>
        <v>340312.5</v>
      </c>
      <c r="Q30" s="1467">
        <f t="shared" si="78"/>
        <v>340312.5</v>
      </c>
      <c r="R30" s="1467">
        <f t="shared" si="78"/>
        <v>340312.5</v>
      </c>
      <c r="S30" s="1467">
        <f t="shared" si="78"/>
        <v>340312.5</v>
      </c>
      <c r="T30" s="1467">
        <f t="shared" si="78"/>
        <v>340312.5</v>
      </c>
      <c r="U30" s="1467">
        <f t="shared" si="78"/>
        <v>340312.5</v>
      </c>
      <c r="V30" s="1467">
        <f t="shared" si="78"/>
        <v>340312.5</v>
      </c>
      <c r="W30" s="1467">
        <f t="shared" si="78"/>
        <v>340312.5</v>
      </c>
      <c r="X30" s="1467">
        <f t="shared" si="78"/>
        <v>340312.5</v>
      </c>
      <c r="Y30" s="1467">
        <f t="shared" si="78"/>
        <v>340312.5</v>
      </c>
      <c r="Z30" s="1467">
        <f t="shared" si="78"/>
        <v>340312.5</v>
      </c>
      <c r="AA30" s="1467">
        <f t="shared" si="78"/>
        <v>340312.5</v>
      </c>
      <c r="AB30" s="1467">
        <f t="shared" si="78"/>
        <v>340312.5</v>
      </c>
      <c r="AC30" s="1467">
        <f t="shared" si="78"/>
        <v>340312.5</v>
      </c>
      <c r="AD30" s="1467">
        <f t="shared" si="78"/>
        <v>340312.5</v>
      </c>
      <c r="AE30" s="1467">
        <f t="shared" si="78"/>
        <v>340312.5</v>
      </c>
      <c r="AF30" s="1467">
        <f t="shared" si="78"/>
        <v>340312.5</v>
      </c>
      <c r="AG30" s="1467">
        <f t="shared" si="78"/>
        <v>340312.5</v>
      </c>
      <c r="AH30" s="1467">
        <f t="shared" si="78"/>
        <v>340312.5</v>
      </c>
      <c r="AI30" s="1467">
        <f t="shared" si="78"/>
        <v>340312.5</v>
      </c>
      <c r="AJ30" s="1467">
        <f t="shared" si="78"/>
        <v>340312.5</v>
      </c>
      <c r="AK30" s="1467">
        <f t="shared" si="78"/>
        <v>340312.5</v>
      </c>
      <c r="AL30" s="1467">
        <f t="shared" si="78"/>
        <v>340312.5</v>
      </c>
      <c r="AM30" s="1467">
        <f t="shared" si="78"/>
        <v>340312.5</v>
      </c>
      <c r="AN30" s="1467">
        <f t="shared" si="78"/>
        <v>340312.5</v>
      </c>
      <c r="AO30" s="1467">
        <f t="shared" si="78"/>
        <v>340312.5</v>
      </c>
      <c r="AP30" s="1468">
        <f t="shared" ref="AP30:AP31" si="84">SUM(L30:AO30)</f>
        <v>10209375</v>
      </c>
      <c r="AQ30" s="1466"/>
      <c r="AR30" s="1467">
        <f t="shared" ref="AR30:AR31" si="85">I30-L30</f>
        <v>9869062.5</v>
      </c>
      <c r="AS30" s="1467">
        <f t="shared" ref="AS30:AS31" si="86">AR30-M30</f>
        <v>9528750</v>
      </c>
      <c r="AT30" s="1467">
        <f t="shared" ref="AT30:AT31" si="87">AS30-N30</f>
        <v>9188437.5</v>
      </c>
      <c r="AU30" s="1467">
        <f t="shared" ref="AU30:AU31" si="88">AT30-O30</f>
        <v>8848125</v>
      </c>
      <c r="AV30" s="1467">
        <f t="shared" ref="AV30:AV31" si="89">AU30-P30</f>
        <v>8507812.5</v>
      </c>
      <c r="AW30" s="1467">
        <f t="shared" ref="AW30:AW31" si="90">AV30-Q30</f>
        <v>8167500</v>
      </c>
      <c r="AX30" s="1467">
        <f t="shared" ref="AX30:AX31" si="91">AW30-R30</f>
        <v>7827187.5</v>
      </c>
      <c r="AY30" s="1467">
        <f t="shared" ref="AY30:AY31" si="92">AX30-S30</f>
        <v>7486875</v>
      </c>
      <c r="AZ30" s="1467">
        <f t="shared" ref="AZ30:AZ31" si="93">AY30-T30</f>
        <v>7146562.5</v>
      </c>
      <c r="BA30" s="1467">
        <f t="shared" ref="BA30:BA31" si="94">AZ30-U30</f>
        <v>6806250</v>
      </c>
      <c r="BB30" s="1467">
        <f t="shared" ref="BB30:BB31" si="95">BA30-V30</f>
        <v>6465937.5</v>
      </c>
      <c r="BC30" s="1467">
        <f t="shared" ref="BC30:BC31" si="96">BB30-W30</f>
        <v>6125625</v>
      </c>
      <c r="BD30" s="1467">
        <f t="shared" ref="BD30:BD31" si="97">BC30-X30</f>
        <v>5785312.5</v>
      </c>
      <c r="BE30" s="1467">
        <f t="shared" ref="BE30:BE31" si="98">BD30-Y30</f>
        <v>5445000</v>
      </c>
      <c r="BF30" s="1467">
        <f t="shared" ref="BF30:BF31" si="99">BE30-Z30</f>
        <v>5104687.5</v>
      </c>
      <c r="BG30" s="1467">
        <f t="shared" ref="BG30:BG31" si="100">BF30-AA30</f>
        <v>4764375</v>
      </c>
      <c r="BH30" s="1467">
        <f t="shared" ref="BH30:BH31" si="101">BG30-AB30</f>
        <v>4424062.5</v>
      </c>
      <c r="BI30" s="1467">
        <f t="shared" ref="BI30:BI31" si="102">BH30-AC30</f>
        <v>4083750</v>
      </c>
      <c r="BJ30" s="1467">
        <f t="shared" ref="BJ30:BJ31" si="103">BI30-AD30</f>
        <v>3743437.5</v>
      </c>
      <c r="BK30" s="1467">
        <f t="shared" ref="BK30:BK31" si="104">BJ30-AE30</f>
        <v>3403125</v>
      </c>
      <c r="BL30" s="1467">
        <f t="shared" ref="BL30:BL31" si="105">BK30-AF30</f>
        <v>3062812.5</v>
      </c>
      <c r="BM30" s="1467">
        <f t="shared" ref="BM30:BM31" si="106">BL30-AG30</f>
        <v>2722500</v>
      </c>
      <c r="BN30" s="1467">
        <f t="shared" ref="BN30:BN31" si="107">BM30-AH30</f>
        <v>2382187.5</v>
      </c>
      <c r="BO30" s="1467">
        <f t="shared" ref="BO30:BO31" si="108">BN30-AI30</f>
        <v>2041875</v>
      </c>
      <c r="BP30" s="1467">
        <f t="shared" ref="BP30:BP31" si="109">BO30-AJ30</f>
        <v>1701562.5</v>
      </c>
      <c r="BQ30" s="1467">
        <f t="shared" ref="BQ30:BQ31" si="110">BP30-AK30</f>
        <v>1361250</v>
      </c>
      <c r="BR30" s="1467">
        <f t="shared" ref="BR30:BR31" si="111">BQ30-AL30</f>
        <v>1020937.5</v>
      </c>
      <c r="BS30" s="1467">
        <f t="shared" ref="BS30:BS31" si="112">BR30-AM30</f>
        <v>680625</v>
      </c>
      <c r="BT30" s="1467">
        <f t="shared" ref="BT30:BT31" si="113">BS30-AN30</f>
        <v>340312.5</v>
      </c>
      <c r="BU30" s="1467">
        <f t="shared" ref="BU30:BU31" si="114">BT30-AO30</f>
        <v>0</v>
      </c>
      <c r="BV30" s="1466"/>
    </row>
    <row r="31" spans="1:74" x14ac:dyDescent="0.2">
      <c r="A31" s="927" t="str">
        <f t="shared" si="6"/>
        <v>C-Syrup (Sucrosic).Straight-Line</v>
      </c>
      <c r="C31" s="1168" t="str">
        <f t="shared" si="82"/>
        <v>C-Syrup (Sucrosic)</v>
      </c>
      <c r="D31" s="1168" t="str">
        <f>Assumptions!$AH$81</f>
        <v>Straight-Line</v>
      </c>
      <c r="E31" s="1168" t="str">
        <f t="shared" si="77"/>
        <v>Non-Process Buildings</v>
      </c>
      <c r="F31" s="1469">
        <f t="shared" si="77"/>
        <v>5000000</v>
      </c>
      <c r="G31" s="1469">
        <f t="shared" si="7"/>
        <v>6187500</v>
      </c>
      <c r="H31" s="1469">
        <f t="shared" si="8"/>
        <v>6806250.0000000009</v>
      </c>
      <c r="I31" s="1469">
        <f t="shared" si="9"/>
        <v>6806250.0000000009</v>
      </c>
      <c r="J31" s="1473">
        <f t="shared" si="83"/>
        <v>3.3333333333333333E-2</v>
      </c>
      <c r="K31" s="1107"/>
      <c r="L31" s="1467">
        <f t="shared" ref="L31:L32" si="115">$I31*$J31</f>
        <v>226875.00000000003</v>
      </c>
      <c r="M31" s="1467">
        <f t="shared" si="78"/>
        <v>226875.00000000003</v>
      </c>
      <c r="N31" s="1467">
        <f t="shared" si="78"/>
        <v>226875.00000000003</v>
      </c>
      <c r="O31" s="1467">
        <f t="shared" si="78"/>
        <v>226875.00000000003</v>
      </c>
      <c r="P31" s="1467">
        <f t="shared" si="78"/>
        <v>226875.00000000003</v>
      </c>
      <c r="Q31" s="1467">
        <f t="shared" si="78"/>
        <v>226875.00000000003</v>
      </c>
      <c r="R31" s="1467">
        <f t="shared" si="78"/>
        <v>226875.00000000003</v>
      </c>
      <c r="S31" s="1467">
        <f t="shared" si="78"/>
        <v>226875.00000000003</v>
      </c>
      <c r="T31" s="1467">
        <f t="shared" si="78"/>
        <v>226875.00000000003</v>
      </c>
      <c r="U31" s="1467">
        <f t="shared" si="78"/>
        <v>226875.00000000003</v>
      </c>
      <c r="V31" s="1467">
        <f t="shared" si="78"/>
        <v>226875.00000000003</v>
      </c>
      <c r="W31" s="1467">
        <f t="shared" si="78"/>
        <v>226875.00000000003</v>
      </c>
      <c r="X31" s="1467">
        <f t="shared" si="78"/>
        <v>226875.00000000003</v>
      </c>
      <c r="Y31" s="1467">
        <f t="shared" si="78"/>
        <v>226875.00000000003</v>
      </c>
      <c r="Z31" s="1467">
        <f t="shared" si="78"/>
        <v>226875.00000000003</v>
      </c>
      <c r="AA31" s="1467">
        <f t="shared" si="78"/>
        <v>226875.00000000003</v>
      </c>
      <c r="AB31" s="1467">
        <f t="shared" si="78"/>
        <v>226875.00000000003</v>
      </c>
      <c r="AC31" s="1467">
        <f t="shared" si="78"/>
        <v>226875.00000000003</v>
      </c>
      <c r="AD31" s="1467">
        <f t="shared" si="78"/>
        <v>226875.00000000003</v>
      </c>
      <c r="AE31" s="1467">
        <f t="shared" si="78"/>
        <v>226875.00000000003</v>
      </c>
      <c r="AF31" s="1467">
        <f t="shared" si="78"/>
        <v>226875.00000000003</v>
      </c>
      <c r="AG31" s="1467">
        <f t="shared" si="78"/>
        <v>226875.00000000003</v>
      </c>
      <c r="AH31" s="1467">
        <f t="shared" si="78"/>
        <v>226875.00000000003</v>
      </c>
      <c r="AI31" s="1467">
        <f t="shared" si="78"/>
        <v>226875.00000000003</v>
      </c>
      <c r="AJ31" s="1467">
        <f t="shared" si="78"/>
        <v>226875.00000000003</v>
      </c>
      <c r="AK31" s="1467">
        <f t="shared" si="78"/>
        <v>226875.00000000003</v>
      </c>
      <c r="AL31" s="1467">
        <f t="shared" si="78"/>
        <v>226875.00000000003</v>
      </c>
      <c r="AM31" s="1467">
        <f t="shared" si="78"/>
        <v>226875.00000000003</v>
      </c>
      <c r="AN31" s="1467">
        <f t="shared" si="78"/>
        <v>226875.00000000003</v>
      </c>
      <c r="AO31" s="1467">
        <f t="shared" si="78"/>
        <v>226875.00000000003</v>
      </c>
      <c r="AP31" s="1468">
        <f t="shared" si="84"/>
        <v>6806250.0000000009</v>
      </c>
      <c r="AQ31" s="1466"/>
      <c r="AR31" s="1467">
        <f t="shared" si="85"/>
        <v>6579375.0000000009</v>
      </c>
      <c r="AS31" s="1467">
        <f t="shared" si="86"/>
        <v>6352500.0000000009</v>
      </c>
      <c r="AT31" s="1467">
        <f t="shared" si="87"/>
        <v>6125625.0000000009</v>
      </c>
      <c r="AU31" s="1467">
        <f t="shared" si="88"/>
        <v>5898750.0000000009</v>
      </c>
      <c r="AV31" s="1467">
        <f t="shared" si="89"/>
        <v>5671875.0000000009</v>
      </c>
      <c r="AW31" s="1467">
        <f t="shared" si="90"/>
        <v>5445000.0000000009</v>
      </c>
      <c r="AX31" s="1467">
        <f t="shared" si="91"/>
        <v>5218125.0000000009</v>
      </c>
      <c r="AY31" s="1467">
        <f t="shared" si="92"/>
        <v>4991250.0000000009</v>
      </c>
      <c r="AZ31" s="1467">
        <f t="shared" si="93"/>
        <v>4764375.0000000009</v>
      </c>
      <c r="BA31" s="1467">
        <f t="shared" si="94"/>
        <v>4537500.0000000009</v>
      </c>
      <c r="BB31" s="1467">
        <f t="shared" si="95"/>
        <v>4310625.0000000009</v>
      </c>
      <c r="BC31" s="1467">
        <f t="shared" si="96"/>
        <v>4083750.0000000009</v>
      </c>
      <c r="BD31" s="1467">
        <f t="shared" si="97"/>
        <v>3856875.0000000009</v>
      </c>
      <c r="BE31" s="1467">
        <f t="shared" si="98"/>
        <v>3630000.0000000009</v>
      </c>
      <c r="BF31" s="1467">
        <f t="shared" si="99"/>
        <v>3403125.0000000009</v>
      </c>
      <c r="BG31" s="1467">
        <f t="shared" si="100"/>
        <v>3176250.0000000009</v>
      </c>
      <c r="BH31" s="1467">
        <f t="shared" si="101"/>
        <v>2949375.0000000009</v>
      </c>
      <c r="BI31" s="1467">
        <f t="shared" si="102"/>
        <v>2722500.0000000009</v>
      </c>
      <c r="BJ31" s="1467">
        <f t="shared" si="103"/>
        <v>2495625.0000000009</v>
      </c>
      <c r="BK31" s="1467">
        <f t="shared" si="104"/>
        <v>2268750.0000000009</v>
      </c>
      <c r="BL31" s="1467">
        <f t="shared" si="105"/>
        <v>2041875.0000000009</v>
      </c>
      <c r="BM31" s="1467">
        <f t="shared" si="106"/>
        <v>1815000.0000000009</v>
      </c>
      <c r="BN31" s="1467">
        <f t="shared" si="107"/>
        <v>1588125.0000000009</v>
      </c>
      <c r="BO31" s="1467">
        <f t="shared" si="108"/>
        <v>1361250.0000000009</v>
      </c>
      <c r="BP31" s="1467">
        <f t="shared" si="109"/>
        <v>1134375.0000000009</v>
      </c>
      <c r="BQ31" s="1467">
        <f t="shared" si="110"/>
        <v>907500.00000000093</v>
      </c>
      <c r="BR31" s="1467">
        <f t="shared" si="111"/>
        <v>680625.00000000093</v>
      </c>
      <c r="BS31" s="1467">
        <f t="shared" si="112"/>
        <v>453750.00000000093</v>
      </c>
      <c r="BT31" s="1467">
        <f t="shared" si="113"/>
        <v>226875.0000000009</v>
      </c>
      <c r="BU31" s="1467">
        <f t="shared" si="114"/>
        <v>8.7311491370201111E-10</v>
      </c>
      <c r="BV31" s="1466"/>
    </row>
    <row r="32" spans="1:74" x14ac:dyDescent="0.2">
      <c r="B32" s="1470"/>
      <c r="C32" s="1470" t="str">
        <f t="shared" si="82"/>
        <v>C-Syrup (Sucrosic)</v>
      </c>
      <c r="D32" s="1470" t="str">
        <f>Assumptions!$AH$81</f>
        <v>Straight-Line</v>
      </c>
      <c r="E32" s="1470" t="s">
        <v>995</v>
      </c>
      <c r="F32" s="1474"/>
      <c r="G32" s="1471">
        <f>G22</f>
        <v>15000000</v>
      </c>
      <c r="H32" s="1471">
        <f t="shared" ref="H32" si="116">G32*(1+$F$5)</f>
        <v>16500000.000000002</v>
      </c>
      <c r="I32" s="1471">
        <f t="shared" ref="I32" si="117">H32*(1+$F$6)</f>
        <v>16500000.000000002</v>
      </c>
      <c r="J32" s="1475">
        <f t="shared" si="83"/>
        <v>3.3333333333333333E-2</v>
      </c>
      <c r="K32" s="1107"/>
      <c r="L32" s="1467">
        <f t="shared" si="115"/>
        <v>550000</v>
      </c>
      <c r="M32" s="1467">
        <f t="shared" si="78"/>
        <v>550000</v>
      </c>
      <c r="N32" s="1467">
        <f t="shared" si="78"/>
        <v>550000</v>
      </c>
      <c r="O32" s="1467">
        <f t="shared" si="78"/>
        <v>550000</v>
      </c>
      <c r="P32" s="1467">
        <f t="shared" si="78"/>
        <v>550000</v>
      </c>
      <c r="Q32" s="1467">
        <f t="shared" si="78"/>
        <v>550000</v>
      </c>
      <c r="R32" s="1467">
        <f t="shared" si="78"/>
        <v>550000</v>
      </c>
      <c r="S32" s="1467">
        <f t="shared" si="78"/>
        <v>550000</v>
      </c>
      <c r="T32" s="1467">
        <f t="shared" si="78"/>
        <v>550000</v>
      </c>
      <c r="U32" s="1467">
        <f t="shared" si="78"/>
        <v>550000</v>
      </c>
      <c r="V32" s="1467">
        <f t="shared" ref="V32:AO32" si="118">$I32*$J32</f>
        <v>550000</v>
      </c>
      <c r="W32" s="1467">
        <f t="shared" si="118"/>
        <v>550000</v>
      </c>
      <c r="X32" s="1467">
        <f t="shared" si="118"/>
        <v>550000</v>
      </c>
      <c r="Y32" s="1467">
        <f t="shared" si="118"/>
        <v>550000</v>
      </c>
      <c r="Z32" s="1467">
        <f t="shared" si="118"/>
        <v>550000</v>
      </c>
      <c r="AA32" s="1467">
        <f t="shared" si="118"/>
        <v>550000</v>
      </c>
      <c r="AB32" s="1467">
        <f t="shared" si="118"/>
        <v>550000</v>
      </c>
      <c r="AC32" s="1467">
        <f t="shared" si="118"/>
        <v>550000</v>
      </c>
      <c r="AD32" s="1467">
        <f t="shared" si="118"/>
        <v>550000</v>
      </c>
      <c r="AE32" s="1467">
        <f t="shared" si="118"/>
        <v>550000</v>
      </c>
      <c r="AF32" s="1467">
        <f t="shared" si="118"/>
        <v>550000</v>
      </c>
      <c r="AG32" s="1467">
        <f t="shared" si="118"/>
        <v>550000</v>
      </c>
      <c r="AH32" s="1467">
        <f t="shared" si="118"/>
        <v>550000</v>
      </c>
      <c r="AI32" s="1467">
        <f t="shared" si="118"/>
        <v>550000</v>
      </c>
      <c r="AJ32" s="1467">
        <f t="shared" si="118"/>
        <v>550000</v>
      </c>
      <c r="AK32" s="1467">
        <f t="shared" si="118"/>
        <v>550000</v>
      </c>
      <c r="AL32" s="1467">
        <f t="shared" si="118"/>
        <v>550000</v>
      </c>
      <c r="AM32" s="1467">
        <f t="shared" si="118"/>
        <v>550000</v>
      </c>
      <c r="AN32" s="1467">
        <f t="shared" si="118"/>
        <v>550000</v>
      </c>
      <c r="AO32" s="1467">
        <f t="shared" si="118"/>
        <v>550000</v>
      </c>
      <c r="AP32" s="1468">
        <f t="shared" ref="AP32" si="119">SUM(L32:AO32)</f>
        <v>16500000</v>
      </c>
      <c r="AQ32" s="1466"/>
      <c r="AR32" s="1467">
        <f t="shared" ref="AR32" si="120">I32-L32</f>
        <v>15950000.000000002</v>
      </c>
      <c r="AS32" s="1467">
        <f t="shared" ref="AS32" si="121">AR32-M32</f>
        <v>15400000.000000002</v>
      </c>
      <c r="AT32" s="1467">
        <f t="shared" ref="AT32" si="122">AS32-N32</f>
        <v>14850000.000000002</v>
      </c>
      <c r="AU32" s="1467">
        <f t="shared" ref="AU32" si="123">AT32-O32</f>
        <v>14300000.000000002</v>
      </c>
      <c r="AV32" s="1467">
        <f t="shared" ref="AV32" si="124">AU32-P32</f>
        <v>13750000.000000002</v>
      </c>
      <c r="AW32" s="1467">
        <f t="shared" ref="AW32" si="125">AV32-Q32</f>
        <v>13200000.000000002</v>
      </c>
      <c r="AX32" s="1467">
        <f t="shared" ref="AX32" si="126">AW32-R32</f>
        <v>12650000.000000002</v>
      </c>
      <c r="AY32" s="1467">
        <f t="shared" ref="AY32" si="127">AX32-S32</f>
        <v>12100000.000000002</v>
      </c>
      <c r="AZ32" s="1467">
        <f t="shared" ref="AZ32" si="128">AY32-T32</f>
        <v>11550000.000000002</v>
      </c>
      <c r="BA32" s="1467">
        <f t="shared" ref="BA32" si="129">AZ32-U32</f>
        <v>11000000.000000002</v>
      </c>
      <c r="BB32" s="1467">
        <f t="shared" ref="BB32" si="130">BA32-V32</f>
        <v>10450000.000000002</v>
      </c>
      <c r="BC32" s="1467">
        <f t="shared" ref="BC32" si="131">BB32-W32</f>
        <v>9900000.0000000019</v>
      </c>
      <c r="BD32" s="1467">
        <f t="shared" ref="BD32" si="132">BC32-X32</f>
        <v>9350000.0000000019</v>
      </c>
      <c r="BE32" s="1467">
        <f t="shared" ref="BE32" si="133">BD32-Y32</f>
        <v>8800000.0000000019</v>
      </c>
      <c r="BF32" s="1467">
        <f t="shared" ref="BF32" si="134">BE32-Z32</f>
        <v>8250000.0000000019</v>
      </c>
      <c r="BG32" s="1467">
        <f t="shared" ref="BG32" si="135">BF32-AA32</f>
        <v>7700000.0000000019</v>
      </c>
      <c r="BH32" s="1467">
        <f t="shared" ref="BH32" si="136">BG32-AB32</f>
        <v>7150000.0000000019</v>
      </c>
      <c r="BI32" s="1467">
        <f t="shared" ref="BI32" si="137">BH32-AC32</f>
        <v>6600000.0000000019</v>
      </c>
      <c r="BJ32" s="1467">
        <f t="shared" ref="BJ32" si="138">BI32-AD32</f>
        <v>6050000.0000000019</v>
      </c>
      <c r="BK32" s="1467">
        <f t="shared" ref="BK32" si="139">BJ32-AE32</f>
        <v>5500000.0000000019</v>
      </c>
      <c r="BL32" s="1467">
        <f t="shared" ref="BL32" si="140">BK32-AF32</f>
        <v>4950000.0000000019</v>
      </c>
      <c r="BM32" s="1467">
        <f t="shared" ref="BM32" si="141">BL32-AG32</f>
        <v>4400000.0000000019</v>
      </c>
      <c r="BN32" s="1467">
        <f t="shared" ref="BN32" si="142">BM32-AH32</f>
        <v>3850000.0000000019</v>
      </c>
      <c r="BO32" s="1467">
        <f t="shared" ref="BO32" si="143">BN32-AI32</f>
        <v>3300000.0000000019</v>
      </c>
      <c r="BP32" s="1467">
        <f t="shared" ref="BP32" si="144">BO32-AJ32</f>
        <v>2750000.0000000019</v>
      </c>
      <c r="BQ32" s="1467">
        <f t="shared" ref="BQ32" si="145">BP32-AK32</f>
        <v>2200000.0000000019</v>
      </c>
      <c r="BR32" s="1467">
        <f t="shared" ref="BR32" si="146">BQ32-AL32</f>
        <v>1650000.0000000019</v>
      </c>
      <c r="BS32" s="1467">
        <f t="shared" ref="BS32" si="147">BR32-AM32</f>
        <v>1100000.0000000019</v>
      </c>
      <c r="BT32" s="1467">
        <f t="shared" ref="BT32" si="148">BS32-AN32</f>
        <v>550000.00000000186</v>
      </c>
      <c r="BU32" s="1467">
        <f t="shared" ref="BU32" si="149">BT32-AO32</f>
        <v>1.862645149230957E-9</v>
      </c>
      <c r="BV32" s="1466"/>
    </row>
    <row r="33" spans="1:74" x14ac:dyDescent="0.2">
      <c r="B33" s="1297" t="str">
        <f>"Total Depreciation "&amp;C14&amp;" ("&amp;B13&amp;") over 30 years"</f>
        <v>Total Depreciation C-Syrup (Sucrosic) (Accelerated) over 30 years</v>
      </c>
      <c r="C33" s="1107"/>
      <c r="D33" s="1107"/>
      <c r="E33" s="1107"/>
      <c r="F33" s="1107"/>
      <c r="G33" s="1107"/>
      <c r="H33" s="1107"/>
      <c r="I33" s="1107"/>
      <c r="J33" s="1472"/>
      <c r="K33" s="1107"/>
      <c r="L33" s="1468">
        <f>SUM(L14:L22)</f>
        <v>29572125.000000004</v>
      </c>
      <c r="M33" s="1468">
        <f t="shared" ref="M33:AO33" si="150">SUM(M14:M22)</f>
        <v>23657700.000000004</v>
      </c>
      <c r="N33" s="1468">
        <f t="shared" si="150"/>
        <v>18926160</v>
      </c>
      <c r="O33" s="1468">
        <f t="shared" si="150"/>
        <v>15140928.000000002</v>
      </c>
      <c r="P33" s="1468">
        <f t="shared" si="150"/>
        <v>12112742.400000002</v>
      </c>
      <c r="Q33" s="1468">
        <f t="shared" si="150"/>
        <v>9690193.9200000018</v>
      </c>
      <c r="R33" s="1468">
        <f t="shared" si="150"/>
        <v>7752155.1359999999</v>
      </c>
      <c r="S33" s="1468">
        <f t="shared" si="150"/>
        <v>6201724.1088000014</v>
      </c>
      <c r="T33" s="1468">
        <f t="shared" si="150"/>
        <v>4961379.2870400008</v>
      </c>
      <c r="U33" s="1468">
        <f t="shared" si="150"/>
        <v>3969103.4296320002</v>
      </c>
      <c r="V33" s="1468">
        <f t="shared" si="150"/>
        <v>3175282.7437055996</v>
      </c>
      <c r="W33" s="1468">
        <f t="shared" si="150"/>
        <v>2540226.1949644792</v>
      </c>
      <c r="X33" s="1468">
        <f t="shared" si="150"/>
        <v>2032180.955971584</v>
      </c>
      <c r="Y33" s="1468">
        <f t="shared" si="150"/>
        <v>1625744.7647772674</v>
      </c>
      <c r="Z33" s="1468">
        <f t="shared" si="150"/>
        <v>1300595.8118218137</v>
      </c>
      <c r="AA33" s="1468">
        <f t="shared" si="150"/>
        <v>1040476.6494574512</v>
      </c>
      <c r="AB33" s="1468">
        <f t="shared" si="150"/>
        <v>832381.31956596149</v>
      </c>
      <c r="AC33" s="1468">
        <f t="shared" si="150"/>
        <v>665905.05565277033</v>
      </c>
      <c r="AD33" s="1468">
        <f t="shared" si="150"/>
        <v>532724.04452221619</v>
      </c>
      <c r="AE33" s="1468">
        <f t="shared" si="150"/>
        <v>426179.23561777244</v>
      </c>
      <c r="AF33" s="1468">
        <f t="shared" si="150"/>
        <v>340943.38849421853</v>
      </c>
      <c r="AG33" s="1468">
        <f t="shared" si="150"/>
        <v>272754.71079537534</v>
      </c>
      <c r="AH33" s="1468">
        <f t="shared" si="150"/>
        <v>218203.7686363004</v>
      </c>
      <c r="AI33" s="1468">
        <f t="shared" si="150"/>
        <v>174563.01490904053</v>
      </c>
      <c r="AJ33" s="1468">
        <f t="shared" si="150"/>
        <v>139650.41192723176</v>
      </c>
      <c r="AK33" s="1468">
        <f t="shared" si="150"/>
        <v>111720.32954178602</v>
      </c>
      <c r="AL33" s="1468">
        <f t="shared" si="150"/>
        <v>89376.263633429262</v>
      </c>
      <c r="AM33" s="1468">
        <f t="shared" si="150"/>
        <v>71501.010906743628</v>
      </c>
      <c r="AN33" s="1468">
        <f t="shared" si="150"/>
        <v>57200.808725396171</v>
      </c>
      <c r="AO33" s="1468">
        <f t="shared" si="150"/>
        <v>45760.646980317309</v>
      </c>
      <c r="AP33" s="1468">
        <f>SUM(AP14:AP22)</f>
        <v>147677582.41207874</v>
      </c>
      <c r="AQ33" s="1466"/>
      <c r="AR33" s="1468"/>
      <c r="AS33" s="1468"/>
      <c r="AT33" s="1468"/>
      <c r="AU33" s="1468"/>
      <c r="AV33" s="1468"/>
      <c r="AW33" s="1468"/>
      <c r="AX33" s="1468"/>
      <c r="AY33" s="1468"/>
      <c r="AZ33" s="1468"/>
      <c r="BA33" s="1468"/>
      <c r="BB33" s="1468"/>
      <c r="BC33" s="1468"/>
      <c r="BD33" s="1468"/>
      <c r="BE33" s="1468"/>
      <c r="BF33" s="1468"/>
      <c r="BG33" s="1468"/>
      <c r="BH33" s="1468"/>
      <c r="BI33" s="1468"/>
      <c r="BJ33" s="1468"/>
      <c r="BK33" s="1468"/>
      <c r="BL33" s="1468"/>
      <c r="BM33" s="1468"/>
      <c r="BN33" s="1468"/>
      <c r="BO33" s="1468"/>
      <c r="BP33" s="1468"/>
      <c r="BQ33" s="1468"/>
      <c r="BR33" s="1468"/>
      <c r="BS33" s="1468"/>
      <c r="BT33" s="1468"/>
      <c r="BU33" s="1468"/>
      <c r="BV33" s="1466"/>
    </row>
    <row r="34" spans="1:74" x14ac:dyDescent="0.2">
      <c r="B34" s="1297" t="str">
        <f>"Total Depreciation "&amp;C14&amp;" ("&amp;B23&amp;") over 30 years"</f>
        <v>Total Depreciation C-Syrup (Sucrosic) (Straight-Line) over 30 years</v>
      </c>
      <c r="C34" s="1107"/>
      <c r="D34" s="1107"/>
      <c r="E34" s="1107"/>
      <c r="F34" s="1107"/>
      <c r="G34" s="1107">
        <f t="shared" si="7"/>
        <v>0</v>
      </c>
      <c r="H34" s="1107">
        <f t="shared" si="8"/>
        <v>0</v>
      </c>
      <c r="I34" s="1468">
        <f>SUM(I24:I32)</f>
        <v>147860625.00000003</v>
      </c>
      <c r="J34" s="1472">
        <f>IFERROR(INDEX(Assumptions!$AI$82:$AI$164,MATCH(Depreciation!$D34,Assumptions!$AH$81:$AH$163,0)),0)</f>
        <v>0</v>
      </c>
      <c r="K34" s="1107"/>
      <c r="L34" s="1468">
        <f>SUM(L24:L32)</f>
        <v>4928687.5000000009</v>
      </c>
      <c r="M34" s="1468">
        <f t="shared" ref="M34:BU34" si="151">SUM(M24:M32)</f>
        <v>4928687.5000000009</v>
      </c>
      <c r="N34" s="1468">
        <f t="shared" si="151"/>
        <v>4928687.5000000009</v>
      </c>
      <c r="O34" s="1468">
        <f t="shared" si="151"/>
        <v>4928687.5000000009</v>
      </c>
      <c r="P34" s="1468">
        <f t="shared" si="151"/>
        <v>4928687.5000000009</v>
      </c>
      <c r="Q34" s="1468">
        <f t="shared" si="151"/>
        <v>4928687.5000000009</v>
      </c>
      <c r="R34" s="1468">
        <f t="shared" si="151"/>
        <v>4928687.5000000009</v>
      </c>
      <c r="S34" s="1468">
        <f t="shared" si="151"/>
        <v>4928687.5000000009</v>
      </c>
      <c r="T34" s="1468">
        <f t="shared" si="151"/>
        <v>4928687.5000000009</v>
      </c>
      <c r="U34" s="1468">
        <f t="shared" si="151"/>
        <v>4928687.5000000009</v>
      </c>
      <c r="V34" s="1468">
        <f t="shared" si="151"/>
        <v>4928687.5000000009</v>
      </c>
      <c r="W34" s="1468">
        <f t="shared" si="151"/>
        <v>4928687.5000000009</v>
      </c>
      <c r="X34" s="1468">
        <f t="shared" si="151"/>
        <v>4928687.5000000009</v>
      </c>
      <c r="Y34" s="1468">
        <f t="shared" si="151"/>
        <v>4928687.5000000009</v>
      </c>
      <c r="Z34" s="1468">
        <f t="shared" si="151"/>
        <v>4928687.5000000009</v>
      </c>
      <c r="AA34" s="1468">
        <f t="shared" si="151"/>
        <v>4928687.5000000009</v>
      </c>
      <c r="AB34" s="1468">
        <f t="shared" si="151"/>
        <v>4928687.5000000009</v>
      </c>
      <c r="AC34" s="1468">
        <f t="shared" si="151"/>
        <v>4928687.5000000009</v>
      </c>
      <c r="AD34" s="1468">
        <f t="shared" si="151"/>
        <v>4928687.5000000009</v>
      </c>
      <c r="AE34" s="1468">
        <f t="shared" si="151"/>
        <v>4928687.5000000009</v>
      </c>
      <c r="AF34" s="1468">
        <f t="shared" si="151"/>
        <v>4928687.5000000009</v>
      </c>
      <c r="AG34" s="1468">
        <f t="shared" si="151"/>
        <v>4928687.5000000009</v>
      </c>
      <c r="AH34" s="1468">
        <f t="shared" si="151"/>
        <v>4928687.5000000009</v>
      </c>
      <c r="AI34" s="1468">
        <f t="shared" si="151"/>
        <v>4928687.5000000009</v>
      </c>
      <c r="AJ34" s="1468">
        <f t="shared" si="151"/>
        <v>4928687.5000000009</v>
      </c>
      <c r="AK34" s="1468">
        <f t="shared" si="151"/>
        <v>4928687.5000000009</v>
      </c>
      <c r="AL34" s="1468">
        <f t="shared" si="151"/>
        <v>4928687.5000000009</v>
      </c>
      <c r="AM34" s="1468">
        <f t="shared" si="151"/>
        <v>4928687.5000000009</v>
      </c>
      <c r="AN34" s="1468">
        <f t="shared" si="151"/>
        <v>4928687.5000000009</v>
      </c>
      <c r="AO34" s="1468">
        <f t="shared" si="151"/>
        <v>4928687.5000000009</v>
      </c>
      <c r="AP34" s="1468">
        <f t="shared" si="151"/>
        <v>147860625</v>
      </c>
      <c r="AQ34" s="1466">
        <f t="shared" si="151"/>
        <v>0</v>
      </c>
      <c r="AR34" s="1468">
        <f t="shared" si="151"/>
        <v>142931937.50000003</v>
      </c>
      <c r="AS34" s="1468">
        <f t="shared" si="151"/>
        <v>138003250.00000003</v>
      </c>
      <c r="AT34" s="1468">
        <f t="shared" si="151"/>
        <v>133074562.50000001</v>
      </c>
      <c r="AU34" s="1468">
        <f t="shared" si="151"/>
        <v>128145875.00000001</v>
      </c>
      <c r="AV34" s="1468">
        <f t="shared" si="151"/>
        <v>123217187.50000001</v>
      </c>
      <c r="AW34" s="1468">
        <f t="shared" si="151"/>
        <v>118288500.00000001</v>
      </c>
      <c r="AX34" s="1468">
        <f t="shared" si="151"/>
        <v>113359812.50000001</v>
      </c>
      <c r="AY34" s="1468">
        <f t="shared" si="151"/>
        <v>108431125.00000001</v>
      </c>
      <c r="AZ34" s="1468">
        <f t="shared" si="151"/>
        <v>103502437.50000001</v>
      </c>
      <c r="BA34" s="1468">
        <f t="shared" si="151"/>
        <v>98573750.000000015</v>
      </c>
      <c r="BB34" s="1468">
        <f t="shared" si="151"/>
        <v>93645062.500000015</v>
      </c>
      <c r="BC34" s="1468">
        <f t="shared" si="151"/>
        <v>88716375.000000015</v>
      </c>
      <c r="BD34" s="1468">
        <f t="shared" si="151"/>
        <v>83787687.500000015</v>
      </c>
      <c r="BE34" s="1468">
        <f t="shared" si="151"/>
        <v>78859000.000000015</v>
      </c>
      <c r="BF34" s="1468">
        <f t="shared" si="151"/>
        <v>73930312.500000015</v>
      </c>
      <c r="BG34" s="1468">
        <f t="shared" si="151"/>
        <v>69001625.000000015</v>
      </c>
      <c r="BH34" s="1468">
        <f t="shared" si="151"/>
        <v>64072937.500000015</v>
      </c>
      <c r="BI34" s="1468">
        <f t="shared" si="151"/>
        <v>59144250.000000015</v>
      </c>
      <c r="BJ34" s="1468">
        <f t="shared" si="151"/>
        <v>54215562.500000015</v>
      </c>
      <c r="BK34" s="1468">
        <f t="shared" si="151"/>
        <v>49286875.000000015</v>
      </c>
      <c r="BL34" s="1468">
        <f t="shared" si="151"/>
        <v>44358187.500000015</v>
      </c>
      <c r="BM34" s="1468">
        <f t="shared" si="151"/>
        <v>39429500.000000015</v>
      </c>
      <c r="BN34" s="1468">
        <f t="shared" si="151"/>
        <v>34500812.500000015</v>
      </c>
      <c r="BO34" s="1468">
        <f t="shared" si="151"/>
        <v>29572125.000000015</v>
      </c>
      <c r="BP34" s="1468">
        <f t="shared" si="151"/>
        <v>24643437.500000015</v>
      </c>
      <c r="BQ34" s="1468">
        <f t="shared" si="151"/>
        <v>19714750.000000022</v>
      </c>
      <c r="BR34" s="1468">
        <f t="shared" si="151"/>
        <v>14786062.50000002</v>
      </c>
      <c r="BS34" s="1468">
        <f t="shared" si="151"/>
        <v>9857375.0000000186</v>
      </c>
      <c r="BT34" s="1468">
        <f t="shared" si="151"/>
        <v>4928687.5000000177</v>
      </c>
      <c r="BU34" s="1468">
        <f t="shared" si="151"/>
        <v>1.7578713595867157E-8</v>
      </c>
      <c r="BV34" s="1466"/>
    </row>
    <row r="35" spans="1:74" x14ac:dyDescent="0.2">
      <c r="I35" s="922"/>
      <c r="K35" s="922"/>
      <c r="L35" s="1476"/>
      <c r="AQ35" s="1466"/>
      <c r="BV35" s="1466"/>
    </row>
    <row r="36" spans="1:74" x14ac:dyDescent="0.2">
      <c r="K36" s="922"/>
      <c r="AQ36" s="1466"/>
      <c r="BV36" s="1466"/>
    </row>
    <row r="37" spans="1:74" ht="15" x14ac:dyDescent="0.25">
      <c r="B37" s="1477" t="s">
        <v>699</v>
      </c>
      <c r="C37" s="1478"/>
      <c r="D37" s="1478"/>
      <c r="E37" s="1478"/>
      <c r="F37" s="1478"/>
      <c r="G37" s="1478"/>
      <c r="H37" s="1478"/>
      <c r="I37" s="1478"/>
      <c r="J37" s="1478"/>
      <c r="K37" s="1478"/>
      <c r="L37" s="1478"/>
      <c r="M37" s="1478"/>
      <c r="N37" s="1478"/>
      <c r="O37" s="1478"/>
      <c r="P37" s="1478"/>
      <c r="Q37" s="1478"/>
      <c r="R37" s="1478"/>
      <c r="S37" s="1478"/>
      <c r="T37" s="1478"/>
      <c r="U37" s="1478"/>
      <c r="V37" s="1478"/>
      <c r="W37" s="1478"/>
      <c r="X37" s="1478"/>
      <c r="Y37" s="1478"/>
      <c r="Z37" s="1478"/>
      <c r="AA37" s="1478"/>
      <c r="AB37" s="1478"/>
      <c r="AC37" s="1478"/>
      <c r="AD37" s="1478"/>
      <c r="AE37" s="1478"/>
      <c r="AF37" s="1478"/>
      <c r="AG37" s="1478"/>
      <c r="AH37" s="1478"/>
      <c r="AI37" s="1478"/>
      <c r="AJ37" s="1478"/>
      <c r="AK37" s="1478"/>
      <c r="AL37" s="1478"/>
      <c r="AM37" s="1478"/>
      <c r="AN37" s="1478"/>
      <c r="AO37" s="1478"/>
      <c r="AP37" s="1478"/>
      <c r="AQ37" s="1478"/>
      <c r="AR37" s="1478"/>
      <c r="AS37" s="1478"/>
      <c r="AT37" s="1478"/>
      <c r="AU37" s="1478"/>
      <c r="AV37" s="1478"/>
      <c r="AW37" s="1478"/>
      <c r="AX37" s="1478"/>
      <c r="AY37" s="1478"/>
      <c r="AZ37" s="1478"/>
      <c r="BA37" s="1478"/>
      <c r="BB37" s="1478"/>
      <c r="BC37" s="1478"/>
      <c r="BD37" s="1478"/>
      <c r="BE37" s="1478"/>
      <c r="BF37" s="1478"/>
      <c r="BG37" s="1478"/>
      <c r="BH37" s="1478"/>
      <c r="BI37" s="1478"/>
      <c r="BJ37" s="1478"/>
      <c r="BK37" s="1478"/>
      <c r="BL37" s="1478"/>
      <c r="BM37" s="1478"/>
      <c r="BN37" s="1478"/>
      <c r="BO37" s="1478"/>
      <c r="BP37" s="1478"/>
      <c r="BQ37" s="1478"/>
      <c r="BR37" s="1478"/>
      <c r="BS37" s="1478"/>
      <c r="BT37" s="1478"/>
      <c r="BU37" s="1478"/>
      <c r="BV37" s="1478"/>
    </row>
    <row r="38" spans="1:74" x14ac:dyDescent="0.2">
      <c r="B38" s="1297" t="str">
        <f>Assumptions!$AH$82</f>
        <v>Accelerated</v>
      </c>
      <c r="C38" s="1297"/>
      <c r="D38" s="1297"/>
      <c r="E38" s="1297"/>
      <c r="F38" s="1297"/>
      <c r="G38" s="1297"/>
      <c r="H38" s="1297"/>
      <c r="I38" s="1297"/>
      <c r="J38" s="1297"/>
      <c r="K38" s="1107"/>
      <c r="L38" s="1107"/>
      <c r="M38" s="1107"/>
      <c r="N38" s="1107"/>
      <c r="O38" s="1107"/>
      <c r="P38" s="1107"/>
      <c r="Q38" s="1107"/>
      <c r="R38" s="1107"/>
      <c r="S38" s="1107"/>
      <c r="T38" s="1107"/>
      <c r="U38" s="1107"/>
      <c r="V38" s="1107"/>
      <c r="W38" s="1107"/>
      <c r="X38" s="1107"/>
      <c r="Y38" s="1107"/>
      <c r="Z38" s="1107"/>
      <c r="AA38" s="1107"/>
      <c r="AB38" s="1107"/>
      <c r="AC38" s="1107"/>
      <c r="AD38" s="1107"/>
      <c r="AE38" s="1107"/>
      <c r="AF38" s="1107"/>
      <c r="AG38" s="1107"/>
      <c r="AH38" s="1107"/>
      <c r="AI38" s="1107"/>
      <c r="AJ38" s="1107"/>
      <c r="AK38" s="1107"/>
      <c r="AL38" s="1107"/>
      <c r="AM38" s="1107"/>
      <c r="AN38" s="1107"/>
      <c r="AO38" s="1107"/>
      <c r="AP38" s="1297"/>
      <c r="AQ38" s="1478"/>
      <c r="AR38" s="1297"/>
      <c r="AS38" s="1297"/>
      <c r="AT38" s="1297"/>
      <c r="AU38" s="1297"/>
      <c r="AV38" s="1297"/>
      <c r="AW38" s="1297"/>
      <c r="AX38" s="1297"/>
      <c r="AY38" s="1297"/>
      <c r="AZ38" s="1297"/>
      <c r="BA38" s="1297"/>
      <c r="BB38" s="1297"/>
      <c r="BC38" s="1297"/>
      <c r="BD38" s="1297"/>
      <c r="BE38" s="1297"/>
      <c r="BF38" s="1297"/>
      <c r="BG38" s="1297"/>
      <c r="BH38" s="1297"/>
      <c r="BI38" s="1297"/>
      <c r="BJ38" s="1297"/>
      <c r="BK38" s="1297"/>
      <c r="BL38" s="1297"/>
      <c r="BM38" s="1297"/>
      <c r="BN38" s="1297"/>
      <c r="BO38" s="1297"/>
      <c r="BP38" s="1297"/>
      <c r="BQ38" s="1297"/>
      <c r="BR38" s="1297"/>
      <c r="BS38" s="1297"/>
      <c r="BT38" s="1297"/>
      <c r="BU38" s="1297"/>
      <c r="BV38" s="1478"/>
    </row>
    <row r="39" spans="1:74" x14ac:dyDescent="0.2">
      <c r="A39" s="927" t="str">
        <f>C39&amp;"."&amp;D39</f>
        <v>Wheat Integrated (Starch).Accelerated</v>
      </c>
      <c r="B39" s="1076"/>
      <c r="C39" s="1076" t="str">
        <f>B37</f>
        <v>Wheat Integrated (Starch)</v>
      </c>
      <c r="D39" s="1076" t="str">
        <f>Assumptions!$AH$82</f>
        <v>Accelerated</v>
      </c>
      <c r="E39" s="1076" t="str">
        <f>'Wheat Integrated (Starch)'!H250</f>
        <v>Stockpile</v>
      </c>
      <c r="F39" s="1467">
        <f>SUM('Wheat Integrated (Starch)'!J250:K250)*1000000</f>
        <v>0</v>
      </c>
      <c r="G39" s="1467">
        <f>F39*(1+$F$4)</f>
        <v>0</v>
      </c>
      <c r="H39" s="1467">
        <f>G39*(1+$F$5)</f>
        <v>0</v>
      </c>
      <c r="I39" s="1467">
        <f>H39*(1+$F$6)</f>
        <v>0</v>
      </c>
      <c r="J39" s="1076">
        <f>Assumptions!$N$55</f>
        <v>0.2</v>
      </c>
      <c r="K39" s="1107"/>
      <c r="L39" s="1467">
        <f>$I39*$J39</f>
        <v>0</v>
      </c>
      <c r="M39" s="1467">
        <f>($I39-SUM($L39:L39))*$J39</f>
        <v>0</v>
      </c>
      <c r="N39" s="1467">
        <f>($I39-SUM($L39:M39))*$J39</f>
        <v>0</v>
      </c>
      <c r="O39" s="1467">
        <f>($I39-SUM($L39:N39))*$J39</f>
        <v>0</v>
      </c>
      <c r="P39" s="1467">
        <f>($I39-SUM($L39:O39))*$J39</f>
        <v>0</v>
      </c>
      <c r="Q39" s="1467">
        <f>($I39-SUM($L39:P39))*$J39</f>
        <v>0</v>
      </c>
      <c r="R39" s="1467">
        <f>($I39-SUM($L39:Q39))*$J39</f>
        <v>0</v>
      </c>
      <c r="S39" s="1467">
        <f>($I39-SUM($L39:R39))*$J39</f>
        <v>0</v>
      </c>
      <c r="T39" s="1467">
        <f>($I39-SUM($L39:S39))*$J39</f>
        <v>0</v>
      </c>
      <c r="U39" s="1467">
        <f>($I39-SUM($L39:T39))*$J39</f>
        <v>0</v>
      </c>
      <c r="V39" s="1467">
        <f>($I39-SUM($L39:U39))*$J39</f>
        <v>0</v>
      </c>
      <c r="W39" s="1467">
        <f>($I39-SUM($L39:V39))*$J39</f>
        <v>0</v>
      </c>
      <c r="X39" s="1467">
        <f>($I39-SUM($L39:W39))*$J39</f>
        <v>0</v>
      </c>
      <c r="Y39" s="1467">
        <f>($I39-SUM($L39:X39))*$J39</f>
        <v>0</v>
      </c>
      <c r="Z39" s="1467">
        <f>($I39-SUM($L39:Y39))*$J39</f>
        <v>0</v>
      </c>
      <c r="AA39" s="1467">
        <f>($I39-SUM($L39:Z39))*$J39</f>
        <v>0</v>
      </c>
      <c r="AB39" s="1467">
        <f>($I39-SUM($L39:AA39))*$J39</f>
        <v>0</v>
      </c>
      <c r="AC39" s="1467">
        <f>($I39-SUM($L39:AB39))*$J39</f>
        <v>0</v>
      </c>
      <c r="AD39" s="1467">
        <f>($I39-SUM($L39:AC39))*$J39</f>
        <v>0</v>
      </c>
      <c r="AE39" s="1467">
        <f>($I39-SUM($L39:AD39))*$J39</f>
        <v>0</v>
      </c>
      <c r="AF39" s="1467">
        <f>($I39-SUM($L39:AE39))*$J39</f>
        <v>0</v>
      </c>
      <c r="AG39" s="1467">
        <f>($I39-SUM($L39:AF39))*$J39</f>
        <v>0</v>
      </c>
      <c r="AH39" s="1467">
        <f>($I39-SUM($L39:AG39))*$J39</f>
        <v>0</v>
      </c>
      <c r="AI39" s="1467">
        <f>($I39-SUM($L39:AH39))*$J39</f>
        <v>0</v>
      </c>
      <c r="AJ39" s="1467">
        <f>($I39-SUM($L39:AI39))*$J39</f>
        <v>0</v>
      </c>
      <c r="AK39" s="1467">
        <f>($I39-SUM($L39:AJ39))*$J39</f>
        <v>0</v>
      </c>
      <c r="AL39" s="1467">
        <f>($I39-SUM($L39:AK39))*$J39</f>
        <v>0</v>
      </c>
      <c r="AM39" s="1467">
        <f>($I39-SUM($L39:AL39))*$J39</f>
        <v>0</v>
      </c>
      <c r="AN39" s="1467">
        <f>($I39-SUM($L39:AM39))*$J39</f>
        <v>0</v>
      </c>
      <c r="AO39" s="1467">
        <f>($I39-SUM($L39:AN39))*$J39</f>
        <v>0</v>
      </c>
      <c r="AP39" s="1468">
        <f>SUM(L39:AO39)</f>
        <v>0</v>
      </c>
      <c r="AQ39" s="1478"/>
      <c r="AR39" s="1467">
        <f>I39-L39</f>
        <v>0</v>
      </c>
      <c r="AS39" s="1467">
        <f>AR39-M39</f>
        <v>0</v>
      </c>
      <c r="AT39" s="1467">
        <f t="shared" ref="AT39:BU52" si="152">AS39-N39</f>
        <v>0</v>
      </c>
      <c r="AU39" s="1467">
        <f t="shared" si="152"/>
        <v>0</v>
      </c>
      <c r="AV39" s="1467">
        <f t="shared" si="152"/>
        <v>0</v>
      </c>
      <c r="AW39" s="1467">
        <f t="shared" si="152"/>
        <v>0</v>
      </c>
      <c r="AX39" s="1467">
        <f t="shared" si="152"/>
        <v>0</v>
      </c>
      <c r="AY39" s="1467">
        <f t="shared" si="152"/>
        <v>0</v>
      </c>
      <c r="AZ39" s="1467">
        <f t="shared" si="152"/>
        <v>0</v>
      </c>
      <c r="BA39" s="1467">
        <f t="shared" si="152"/>
        <v>0</v>
      </c>
      <c r="BB39" s="1467">
        <f t="shared" si="152"/>
        <v>0</v>
      </c>
      <c r="BC39" s="1467">
        <f t="shared" si="152"/>
        <v>0</v>
      </c>
      <c r="BD39" s="1467">
        <f t="shared" si="152"/>
        <v>0</v>
      </c>
      <c r="BE39" s="1467">
        <f t="shared" si="152"/>
        <v>0</v>
      </c>
      <c r="BF39" s="1467">
        <f t="shared" si="152"/>
        <v>0</v>
      </c>
      <c r="BG39" s="1467">
        <f t="shared" si="152"/>
        <v>0</v>
      </c>
      <c r="BH39" s="1467">
        <f t="shared" si="152"/>
        <v>0</v>
      </c>
      <c r="BI39" s="1467">
        <f t="shared" si="152"/>
        <v>0</v>
      </c>
      <c r="BJ39" s="1467">
        <f t="shared" si="152"/>
        <v>0</v>
      </c>
      <c r="BK39" s="1467">
        <f t="shared" si="152"/>
        <v>0</v>
      </c>
      <c r="BL39" s="1467">
        <f t="shared" si="152"/>
        <v>0</v>
      </c>
      <c r="BM39" s="1467">
        <f t="shared" si="152"/>
        <v>0</v>
      </c>
      <c r="BN39" s="1467">
        <f t="shared" si="152"/>
        <v>0</v>
      </c>
      <c r="BO39" s="1467">
        <f t="shared" si="152"/>
        <v>0</v>
      </c>
      <c r="BP39" s="1467">
        <f t="shared" si="152"/>
        <v>0</v>
      </c>
      <c r="BQ39" s="1467">
        <f t="shared" si="152"/>
        <v>0</v>
      </c>
      <c r="BR39" s="1467">
        <f t="shared" si="152"/>
        <v>0</v>
      </c>
      <c r="BS39" s="1467">
        <f t="shared" si="152"/>
        <v>0</v>
      </c>
      <c r="BT39" s="1467">
        <f t="shared" si="152"/>
        <v>0</v>
      </c>
      <c r="BU39" s="1467">
        <f t="shared" si="152"/>
        <v>0</v>
      </c>
      <c r="BV39" s="1478"/>
    </row>
    <row r="40" spans="1:74" x14ac:dyDescent="0.2">
      <c r="A40" s="927" t="str">
        <f t="shared" ref="A40:A58" si="153">C40&amp;"."&amp;D40</f>
        <v>Wheat Integrated (Starch).Accelerated</v>
      </c>
      <c r="B40" s="1076"/>
      <c r="C40" s="1076" t="str">
        <f>C39</f>
        <v>Wheat Integrated (Starch)</v>
      </c>
      <c r="D40" s="1076" t="str">
        <f>Assumptions!$AH$82</f>
        <v>Accelerated</v>
      </c>
      <c r="E40" s="1076" t="str">
        <f>'Wheat Integrated (Starch)'!H251</f>
        <v>Dry Mill</v>
      </c>
      <c r="F40" s="1467">
        <f>SUM('Wheat Integrated (Starch)'!J251:K251)*1000000</f>
        <v>0</v>
      </c>
      <c r="G40" s="1467">
        <f t="shared" ref="G40:G64" si="154">F40*(1+$F$4)</f>
        <v>0</v>
      </c>
      <c r="H40" s="1467">
        <f t="shared" ref="H40:H65" si="155">G40*(1+$F$5)</f>
        <v>0</v>
      </c>
      <c r="I40" s="1467">
        <f t="shared" ref="I40:I65" si="156">H40*(1+$F$6)</f>
        <v>0</v>
      </c>
      <c r="J40" s="1076">
        <f>J39</f>
        <v>0.2</v>
      </c>
      <c r="K40" s="1107"/>
      <c r="L40" s="1467">
        <f t="shared" ref="L40:AA59" si="157">$I40*$J40</f>
        <v>0</v>
      </c>
      <c r="M40" s="1467">
        <f>($I40-SUM($L40:L40))*$J40</f>
        <v>0</v>
      </c>
      <c r="N40" s="1467">
        <f>($I40-SUM($L40:M40))*$J40</f>
        <v>0</v>
      </c>
      <c r="O40" s="1467">
        <f>($I40-SUM($L40:N40))*$J40</f>
        <v>0</v>
      </c>
      <c r="P40" s="1467">
        <f>($I40-SUM($L40:O40))*$J40</f>
        <v>0</v>
      </c>
      <c r="Q40" s="1467">
        <f>($I40-SUM($L40:P40))*$J40</f>
        <v>0</v>
      </c>
      <c r="R40" s="1467">
        <f>($I40-SUM($L40:Q40))*$J40</f>
        <v>0</v>
      </c>
      <c r="S40" s="1467">
        <f>($I40-SUM($L40:R40))*$J40</f>
        <v>0</v>
      </c>
      <c r="T40" s="1467">
        <f>($I40-SUM($L40:S40))*$J40</f>
        <v>0</v>
      </c>
      <c r="U40" s="1467">
        <f>($I40-SUM($L40:T40))*$J40</f>
        <v>0</v>
      </c>
      <c r="V40" s="1467">
        <f>($I40-SUM($L40:U40))*$J40</f>
        <v>0</v>
      </c>
      <c r="W40" s="1467">
        <f>($I40-SUM($L40:V40))*$J40</f>
        <v>0</v>
      </c>
      <c r="X40" s="1467">
        <f>($I40-SUM($L40:W40))*$J40</f>
        <v>0</v>
      </c>
      <c r="Y40" s="1467">
        <f>($I40-SUM($L40:X40))*$J40</f>
        <v>0</v>
      </c>
      <c r="Z40" s="1467">
        <f>($I40-SUM($L40:Y40))*$J40</f>
        <v>0</v>
      </c>
      <c r="AA40" s="1467">
        <f>($I40-SUM($L40:Z40))*$J40</f>
        <v>0</v>
      </c>
      <c r="AB40" s="1467">
        <f>($I40-SUM($L40:AA40))*$J40</f>
        <v>0</v>
      </c>
      <c r="AC40" s="1467">
        <f>($I40-SUM($L40:AB40))*$J40</f>
        <v>0</v>
      </c>
      <c r="AD40" s="1467">
        <f>($I40-SUM($L40:AC40))*$J40</f>
        <v>0</v>
      </c>
      <c r="AE40" s="1467">
        <f>($I40-SUM($L40:AD40))*$J40</f>
        <v>0</v>
      </c>
      <c r="AF40" s="1467">
        <f>($I40-SUM($L40:AE40))*$J40</f>
        <v>0</v>
      </c>
      <c r="AG40" s="1467">
        <f>($I40-SUM($L40:AF40))*$J40</f>
        <v>0</v>
      </c>
      <c r="AH40" s="1467">
        <f>($I40-SUM($L40:AG40))*$J40</f>
        <v>0</v>
      </c>
      <c r="AI40" s="1467">
        <f>($I40-SUM($L40:AH40))*$J40</f>
        <v>0</v>
      </c>
      <c r="AJ40" s="1467">
        <f>($I40-SUM($L40:AI40))*$J40</f>
        <v>0</v>
      </c>
      <c r="AK40" s="1467">
        <f>($I40-SUM($L40:AJ40))*$J40</f>
        <v>0</v>
      </c>
      <c r="AL40" s="1467">
        <f>($I40-SUM($L40:AK40))*$J40</f>
        <v>0</v>
      </c>
      <c r="AM40" s="1467">
        <f>($I40-SUM($L40:AL40))*$J40</f>
        <v>0</v>
      </c>
      <c r="AN40" s="1467">
        <f>($I40-SUM($L40:AM40))*$J40</f>
        <v>0</v>
      </c>
      <c r="AO40" s="1467">
        <f>($I40-SUM($L40:AN40))*$J40</f>
        <v>0</v>
      </c>
      <c r="AP40" s="1468">
        <f t="shared" ref="AP40:AP58" si="158">SUM(L40:AO40)</f>
        <v>0</v>
      </c>
      <c r="AQ40" s="1478"/>
      <c r="AR40" s="1467">
        <f t="shared" ref="AR40:AR58" si="159">I40-L40</f>
        <v>0</v>
      </c>
      <c r="AS40" s="1467">
        <f t="shared" ref="AS40:AS58" si="160">AR40-M40</f>
        <v>0</v>
      </c>
      <c r="AT40" s="1467">
        <f t="shared" si="152"/>
        <v>0</v>
      </c>
      <c r="AU40" s="1467">
        <f t="shared" si="152"/>
        <v>0</v>
      </c>
      <c r="AV40" s="1467">
        <f t="shared" si="152"/>
        <v>0</v>
      </c>
      <c r="AW40" s="1467">
        <f t="shared" si="152"/>
        <v>0</v>
      </c>
      <c r="AX40" s="1467">
        <f t="shared" si="152"/>
        <v>0</v>
      </c>
      <c r="AY40" s="1467">
        <f t="shared" si="152"/>
        <v>0</v>
      </c>
      <c r="AZ40" s="1467">
        <f t="shared" si="152"/>
        <v>0</v>
      </c>
      <c r="BA40" s="1467">
        <f t="shared" si="152"/>
        <v>0</v>
      </c>
      <c r="BB40" s="1467">
        <f t="shared" si="152"/>
        <v>0</v>
      </c>
      <c r="BC40" s="1467">
        <f t="shared" si="152"/>
        <v>0</v>
      </c>
      <c r="BD40" s="1467">
        <f t="shared" si="152"/>
        <v>0</v>
      </c>
      <c r="BE40" s="1467">
        <f t="shared" si="152"/>
        <v>0</v>
      </c>
      <c r="BF40" s="1467">
        <f t="shared" si="152"/>
        <v>0</v>
      </c>
      <c r="BG40" s="1467">
        <f t="shared" si="152"/>
        <v>0</v>
      </c>
      <c r="BH40" s="1467">
        <f t="shared" si="152"/>
        <v>0</v>
      </c>
      <c r="BI40" s="1467">
        <f t="shared" si="152"/>
        <v>0</v>
      </c>
      <c r="BJ40" s="1467">
        <f t="shared" si="152"/>
        <v>0</v>
      </c>
      <c r="BK40" s="1467">
        <f t="shared" si="152"/>
        <v>0</v>
      </c>
      <c r="BL40" s="1467">
        <f t="shared" si="152"/>
        <v>0</v>
      </c>
      <c r="BM40" s="1467">
        <f t="shared" si="152"/>
        <v>0</v>
      </c>
      <c r="BN40" s="1467">
        <f t="shared" si="152"/>
        <v>0</v>
      </c>
      <c r="BO40" s="1467">
        <f t="shared" si="152"/>
        <v>0</v>
      </c>
      <c r="BP40" s="1467">
        <f t="shared" si="152"/>
        <v>0</v>
      </c>
      <c r="BQ40" s="1467">
        <f t="shared" si="152"/>
        <v>0</v>
      </c>
      <c r="BR40" s="1467">
        <f t="shared" si="152"/>
        <v>0</v>
      </c>
      <c r="BS40" s="1467">
        <f t="shared" si="152"/>
        <v>0</v>
      </c>
      <c r="BT40" s="1467">
        <f t="shared" si="152"/>
        <v>0</v>
      </c>
      <c r="BU40" s="1467">
        <f t="shared" si="152"/>
        <v>0</v>
      </c>
      <c r="BV40" s="1478"/>
    </row>
    <row r="41" spans="1:74" x14ac:dyDescent="0.2">
      <c r="A41" s="927" t="str">
        <f t="shared" si="153"/>
        <v>Wheat Integrated (Starch).Accelerated</v>
      </c>
      <c r="B41" s="1076"/>
      <c r="C41" s="1076" t="str">
        <f t="shared" ref="C41:C51" si="161">C40</f>
        <v>Wheat Integrated (Starch)</v>
      </c>
      <c r="D41" s="1076" t="str">
        <f>Assumptions!$AH$82</f>
        <v>Accelerated</v>
      </c>
      <c r="E41" s="1076" t="str">
        <f>'Wheat Integrated (Starch)'!H252</f>
        <v>Wet Mill and gluten handling</v>
      </c>
      <c r="F41" s="1467">
        <f>SUM('Wheat Integrated (Starch)'!J252:K252)*1000000</f>
        <v>0</v>
      </c>
      <c r="G41" s="1467">
        <f t="shared" si="154"/>
        <v>0</v>
      </c>
      <c r="H41" s="1467">
        <f t="shared" si="155"/>
        <v>0</v>
      </c>
      <c r="I41" s="1467">
        <f t="shared" si="156"/>
        <v>0</v>
      </c>
      <c r="J41" s="1076">
        <f t="shared" ref="J41:J51" si="162">J40</f>
        <v>0.2</v>
      </c>
      <c r="K41" s="1107"/>
      <c r="L41" s="1467">
        <f t="shared" si="157"/>
        <v>0</v>
      </c>
      <c r="M41" s="1467">
        <f>($I41-SUM($L41:L41))*$J41</f>
        <v>0</v>
      </c>
      <c r="N41" s="1467">
        <f>($I41-SUM($L41:M41))*$J41</f>
        <v>0</v>
      </c>
      <c r="O41" s="1467">
        <f>($I41-SUM($L41:N41))*$J41</f>
        <v>0</v>
      </c>
      <c r="P41" s="1467">
        <f>($I41-SUM($L41:O41))*$J41</f>
        <v>0</v>
      </c>
      <c r="Q41" s="1467">
        <f>($I41-SUM($L41:P41))*$J41</f>
        <v>0</v>
      </c>
      <c r="R41" s="1467">
        <f>($I41-SUM($L41:Q41))*$J41</f>
        <v>0</v>
      </c>
      <c r="S41" s="1467">
        <f>($I41-SUM($L41:R41))*$J41</f>
        <v>0</v>
      </c>
      <c r="T41" s="1467">
        <f>($I41-SUM($L41:S41))*$J41</f>
        <v>0</v>
      </c>
      <c r="U41" s="1467">
        <f>($I41-SUM($L41:T41))*$J41</f>
        <v>0</v>
      </c>
      <c r="V41" s="1467">
        <f>($I41-SUM($L41:U41))*$J41</f>
        <v>0</v>
      </c>
      <c r="W41" s="1467">
        <f>($I41-SUM($L41:V41))*$J41</f>
        <v>0</v>
      </c>
      <c r="X41" s="1467">
        <f>($I41-SUM($L41:W41))*$J41</f>
        <v>0</v>
      </c>
      <c r="Y41" s="1467">
        <f>($I41-SUM($L41:X41))*$J41</f>
        <v>0</v>
      </c>
      <c r="Z41" s="1467">
        <f>($I41-SUM($L41:Y41))*$J41</f>
        <v>0</v>
      </c>
      <c r="AA41" s="1467">
        <f>($I41-SUM($L41:Z41))*$J41</f>
        <v>0</v>
      </c>
      <c r="AB41" s="1467">
        <f>($I41-SUM($L41:AA41))*$J41</f>
        <v>0</v>
      </c>
      <c r="AC41" s="1467">
        <f>($I41-SUM($L41:AB41))*$J41</f>
        <v>0</v>
      </c>
      <c r="AD41" s="1467">
        <f>($I41-SUM($L41:AC41))*$J41</f>
        <v>0</v>
      </c>
      <c r="AE41" s="1467">
        <f>($I41-SUM($L41:AD41))*$J41</f>
        <v>0</v>
      </c>
      <c r="AF41" s="1467">
        <f>($I41-SUM($L41:AE41))*$J41</f>
        <v>0</v>
      </c>
      <c r="AG41" s="1467">
        <f>($I41-SUM($L41:AF41))*$J41</f>
        <v>0</v>
      </c>
      <c r="AH41" s="1467">
        <f>($I41-SUM($L41:AG41))*$J41</f>
        <v>0</v>
      </c>
      <c r="AI41" s="1467">
        <f>($I41-SUM($L41:AH41))*$J41</f>
        <v>0</v>
      </c>
      <c r="AJ41" s="1467">
        <f>($I41-SUM($L41:AI41))*$J41</f>
        <v>0</v>
      </c>
      <c r="AK41" s="1467">
        <f>($I41-SUM($L41:AJ41))*$J41</f>
        <v>0</v>
      </c>
      <c r="AL41" s="1467">
        <f>($I41-SUM($L41:AK41))*$J41</f>
        <v>0</v>
      </c>
      <c r="AM41" s="1467">
        <f>($I41-SUM($L41:AL41))*$J41</f>
        <v>0</v>
      </c>
      <c r="AN41" s="1467">
        <f>($I41-SUM($L41:AM41))*$J41</f>
        <v>0</v>
      </c>
      <c r="AO41" s="1467">
        <f>($I41-SUM($L41:AN41))*$J41</f>
        <v>0</v>
      </c>
      <c r="AP41" s="1468">
        <f t="shared" si="158"/>
        <v>0</v>
      </c>
      <c r="AQ41" s="1478"/>
      <c r="AR41" s="1467">
        <f t="shared" si="159"/>
        <v>0</v>
      </c>
      <c r="AS41" s="1467">
        <f t="shared" si="160"/>
        <v>0</v>
      </c>
      <c r="AT41" s="1467">
        <f t="shared" si="152"/>
        <v>0</v>
      </c>
      <c r="AU41" s="1467">
        <f t="shared" si="152"/>
        <v>0</v>
      </c>
      <c r="AV41" s="1467">
        <f t="shared" si="152"/>
        <v>0</v>
      </c>
      <c r="AW41" s="1467">
        <f t="shared" si="152"/>
        <v>0</v>
      </c>
      <c r="AX41" s="1467">
        <f t="shared" si="152"/>
        <v>0</v>
      </c>
      <c r="AY41" s="1467">
        <f t="shared" si="152"/>
        <v>0</v>
      </c>
      <c r="AZ41" s="1467">
        <f t="shared" si="152"/>
        <v>0</v>
      </c>
      <c r="BA41" s="1467">
        <f t="shared" si="152"/>
        <v>0</v>
      </c>
      <c r="BB41" s="1467">
        <f t="shared" si="152"/>
        <v>0</v>
      </c>
      <c r="BC41" s="1467">
        <f t="shared" si="152"/>
        <v>0</v>
      </c>
      <c r="BD41" s="1467">
        <f t="shared" si="152"/>
        <v>0</v>
      </c>
      <c r="BE41" s="1467">
        <f t="shared" si="152"/>
        <v>0</v>
      </c>
      <c r="BF41" s="1467">
        <f t="shared" si="152"/>
        <v>0</v>
      </c>
      <c r="BG41" s="1467">
        <f t="shared" si="152"/>
        <v>0</v>
      </c>
      <c r="BH41" s="1467">
        <f t="shared" si="152"/>
        <v>0</v>
      </c>
      <c r="BI41" s="1467">
        <f t="shared" si="152"/>
        <v>0</v>
      </c>
      <c r="BJ41" s="1467">
        <f t="shared" si="152"/>
        <v>0</v>
      </c>
      <c r="BK41" s="1467">
        <f t="shared" si="152"/>
        <v>0</v>
      </c>
      <c r="BL41" s="1467">
        <f t="shared" si="152"/>
        <v>0</v>
      </c>
      <c r="BM41" s="1467">
        <f t="shared" si="152"/>
        <v>0</v>
      </c>
      <c r="BN41" s="1467">
        <f t="shared" si="152"/>
        <v>0</v>
      </c>
      <c r="BO41" s="1467">
        <f t="shared" si="152"/>
        <v>0</v>
      </c>
      <c r="BP41" s="1467">
        <f t="shared" si="152"/>
        <v>0</v>
      </c>
      <c r="BQ41" s="1467">
        <f t="shared" si="152"/>
        <v>0</v>
      </c>
      <c r="BR41" s="1467">
        <f t="shared" si="152"/>
        <v>0</v>
      </c>
      <c r="BS41" s="1467">
        <f t="shared" si="152"/>
        <v>0</v>
      </c>
      <c r="BT41" s="1467">
        <f t="shared" si="152"/>
        <v>0</v>
      </c>
      <c r="BU41" s="1467">
        <f t="shared" si="152"/>
        <v>0</v>
      </c>
      <c r="BV41" s="1478"/>
    </row>
    <row r="42" spans="1:74" x14ac:dyDescent="0.2">
      <c r="A42" s="927" t="str">
        <f t="shared" si="153"/>
        <v>Wheat Integrated (Starch).Accelerated</v>
      </c>
      <c r="B42" s="1076"/>
      <c r="C42" s="1076" t="str">
        <f t="shared" si="161"/>
        <v>Wheat Integrated (Starch)</v>
      </c>
      <c r="D42" s="1076" t="str">
        <f>Assumptions!$AH$82</f>
        <v>Accelerated</v>
      </c>
      <c r="E42" s="1076" t="str">
        <f>'Wheat Integrated (Starch)'!H253</f>
        <v>Liquefaction and saccharification</v>
      </c>
      <c r="F42" s="1467">
        <f>SUM('Wheat Integrated (Starch)'!J253:K253)*1000000</f>
        <v>8000000</v>
      </c>
      <c r="G42" s="1467">
        <f t="shared" si="154"/>
        <v>9900000</v>
      </c>
      <c r="H42" s="1467">
        <f t="shared" si="155"/>
        <v>10890000</v>
      </c>
      <c r="I42" s="1467">
        <f t="shared" si="156"/>
        <v>10890000</v>
      </c>
      <c r="J42" s="1076">
        <f t="shared" si="162"/>
        <v>0.2</v>
      </c>
      <c r="K42" s="1107"/>
      <c r="L42" s="1467">
        <f t="shared" si="157"/>
        <v>2178000</v>
      </c>
      <c r="M42" s="1467">
        <f>($I42-SUM($L42:L42))*$J42</f>
        <v>1742400</v>
      </c>
      <c r="N42" s="1467">
        <f>($I42-SUM($L42:M42))*$J42</f>
        <v>1393920</v>
      </c>
      <c r="O42" s="1467">
        <f>($I42-SUM($L42:N42))*$J42</f>
        <v>1115136</v>
      </c>
      <c r="P42" s="1467">
        <f>($I42-SUM($L42:O42))*$J42</f>
        <v>892108.80000000005</v>
      </c>
      <c r="Q42" s="1467">
        <f>($I42-SUM($L42:P42))*$J42</f>
        <v>713687.04000000004</v>
      </c>
      <c r="R42" s="1467">
        <f>($I42-SUM($L42:Q42))*$J42</f>
        <v>570949.6320000001</v>
      </c>
      <c r="S42" s="1467">
        <f>($I42-SUM($L42:R42))*$J42</f>
        <v>456759.70560000022</v>
      </c>
      <c r="T42" s="1467">
        <f>($I42-SUM($L42:S42))*$J42</f>
        <v>365407.76448000001</v>
      </c>
      <c r="U42" s="1467">
        <f>($I42-SUM($L42:T42))*$J42</f>
        <v>292326.21158399992</v>
      </c>
      <c r="V42" s="1467">
        <f>($I42-SUM($L42:U42))*$J42</f>
        <v>233860.96926719995</v>
      </c>
      <c r="W42" s="1467">
        <f>($I42-SUM($L42:V42))*$J42</f>
        <v>187088.77541375981</v>
      </c>
      <c r="X42" s="1467">
        <f>($I42-SUM($L42:W42))*$J42</f>
        <v>149671.02033100798</v>
      </c>
      <c r="Y42" s="1467">
        <f>($I42-SUM($L42:X42))*$J42</f>
        <v>119736.81626480632</v>
      </c>
      <c r="Z42" s="1467">
        <f>($I42-SUM($L42:Y42))*$J42</f>
        <v>95789.453011845064</v>
      </c>
      <c r="AA42" s="1467">
        <f>($I42-SUM($L42:Z42))*$J42</f>
        <v>76631.562409476188</v>
      </c>
      <c r="AB42" s="1467">
        <f>($I42-SUM($L42:AA42))*$J42</f>
        <v>61305.249927581106</v>
      </c>
      <c r="AC42" s="1467">
        <f>($I42-SUM($L42:AB42))*$J42</f>
        <v>49044.199942065032</v>
      </c>
      <c r="AD42" s="1467">
        <f>($I42-SUM($L42:AC42))*$J42</f>
        <v>39235.359953651954</v>
      </c>
      <c r="AE42" s="1467">
        <f>($I42-SUM($L42:AD42))*$J42</f>
        <v>31388.28796292171</v>
      </c>
      <c r="AF42" s="1467">
        <f>($I42-SUM($L42:AE42))*$J42</f>
        <v>25110.630370337516</v>
      </c>
      <c r="AG42" s="1467">
        <f>($I42-SUM($L42:AF42))*$J42</f>
        <v>20088.504296270014</v>
      </c>
      <c r="AH42" s="1467">
        <f>($I42-SUM($L42:AG42))*$J42</f>
        <v>16070.80343701616</v>
      </c>
      <c r="AI42" s="1467">
        <f>($I42-SUM($L42:AH42))*$J42</f>
        <v>12856.64274961278</v>
      </c>
      <c r="AJ42" s="1467">
        <f>($I42-SUM($L42:AI42))*$J42</f>
        <v>10285.314199690149</v>
      </c>
      <c r="AK42" s="1467">
        <f>($I42-SUM($L42:AJ42))*$J42</f>
        <v>8228.2513597521938</v>
      </c>
      <c r="AL42" s="1467">
        <f>($I42-SUM($L42:AK42))*$J42</f>
        <v>6582.6010878019042</v>
      </c>
      <c r="AM42" s="1467">
        <f>($I42-SUM($L42:AL42))*$J42</f>
        <v>5266.0808702416725</v>
      </c>
      <c r="AN42" s="1467">
        <f>($I42-SUM($L42:AM42))*$J42</f>
        <v>4212.8646961934865</v>
      </c>
      <c r="AO42" s="1467">
        <f>($I42-SUM($L42:AN42))*$J42</f>
        <v>3370.2917569547894</v>
      </c>
      <c r="AP42" s="1468">
        <f t="shared" si="158"/>
        <v>10876518.83297218</v>
      </c>
      <c r="AQ42" s="1478"/>
      <c r="AR42" s="1467">
        <f t="shared" si="159"/>
        <v>8712000</v>
      </c>
      <c r="AS42" s="1467">
        <f t="shared" si="160"/>
        <v>6969600</v>
      </c>
      <c r="AT42" s="1467">
        <f t="shared" si="152"/>
        <v>5575680</v>
      </c>
      <c r="AU42" s="1467">
        <f t="shared" si="152"/>
        <v>4460544</v>
      </c>
      <c r="AV42" s="1467">
        <f t="shared" si="152"/>
        <v>3568435.2000000002</v>
      </c>
      <c r="AW42" s="1467">
        <f t="shared" si="152"/>
        <v>2854748.1600000001</v>
      </c>
      <c r="AX42" s="1467">
        <f t="shared" si="152"/>
        <v>2283798.5279999999</v>
      </c>
      <c r="AY42" s="1467">
        <f t="shared" si="152"/>
        <v>1827038.8223999997</v>
      </c>
      <c r="AZ42" s="1467">
        <f t="shared" si="152"/>
        <v>1461631.0579199996</v>
      </c>
      <c r="BA42" s="1467">
        <f t="shared" si="152"/>
        <v>1169304.8463359997</v>
      </c>
      <c r="BB42" s="1467">
        <f t="shared" si="152"/>
        <v>935443.87706879969</v>
      </c>
      <c r="BC42" s="1467">
        <f t="shared" si="152"/>
        <v>748355.10165503994</v>
      </c>
      <c r="BD42" s="1467">
        <f t="shared" si="152"/>
        <v>598684.08132403193</v>
      </c>
      <c r="BE42" s="1467">
        <f t="shared" si="152"/>
        <v>478947.26505922561</v>
      </c>
      <c r="BF42" s="1467">
        <f t="shared" si="152"/>
        <v>383157.81204738055</v>
      </c>
      <c r="BG42" s="1467">
        <f t="shared" si="152"/>
        <v>306526.24963790434</v>
      </c>
      <c r="BH42" s="1467">
        <f t="shared" si="152"/>
        <v>245220.99971032323</v>
      </c>
      <c r="BI42" s="1467">
        <f t="shared" si="152"/>
        <v>196176.79976825821</v>
      </c>
      <c r="BJ42" s="1467">
        <f t="shared" si="152"/>
        <v>156941.43981460624</v>
      </c>
      <c r="BK42" s="1467">
        <f t="shared" si="152"/>
        <v>125553.15185168454</v>
      </c>
      <c r="BL42" s="1467">
        <f t="shared" si="152"/>
        <v>100442.52148134702</v>
      </c>
      <c r="BM42" s="1467">
        <f t="shared" si="152"/>
        <v>80354.017185077013</v>
      </c>
      <c r="BN42" s="1467">
        <f t="shared" si="152"/>
        <v>64283.213748060851</v>
      </c>
      <c r="BO42" s="1467">
        <f t="shared" si="152"/>
        <v>51426.570998448071</v>
      </c>
      <c r="BP42" s="1467">
        <f t="shared" si="152"/>
        <v>41141.256798757924</v>
      </c>
      <c r="BQ42" s="1467">
        <f t="shared" si="152"/>
        <v>32913.005439005734</v>
      </c>
      <c r="BR42" s="1467">
        <f t="shared" si="152"/>
        <v>26330.40435120383</v>
      </c>
      <c r="BS42" s="1467">
        <f t="shared" si="152"/>
        <v>21064.323480962157</v>
      </c>
      <c r="BT42" s="1467">
        <f t="shared" si="152"/>
        <v>16851.458784768671</v>
      </c>
      <c r="BU42" s="1467">
        <f t="shared" si="152"/>
        <v>13481.167027813881</v>
      </c>
      <c r="BV42" s="1478"/>
    </row>
    <row r="43" spans="1:74" x14ac:dyDescent="0.2">
      <c r="A43" s="927" t="str">
        <f t="shared" si="153"/>
        <v>Wheat Integrated (Starch).Accelerated</v>
      </c>
      <c r="B43" s="1076"/>
      <c r="C43" s="1076" t="str">
        <f t="shared" si="161"/>
        <v>Wheat Integrated (Starch)</v>
      </c>
      <c r="D43" s="1076" t="str">
        <f>Assumptions!$AH$82</f>
        <v>Accelerated</v>
      </c>
      <c r="E43" s="1076" t="str">
        <f>'Wheat Integrated (Starch)'!H254</f>
        <v>Fermentation Plant</v>
      </c>
      <c r="F43" s="1467">
        <f>SUM('Wheat Integrated (Starch)'!J254:K254)*1000000</f>
        <v>18000000</v>
      </c>
      <c r="G43" s="1467">
        <f t="shared" si="154"/>
        <v>22275000</v>
      </c>
      <c r="H43" s="1467">
        <f t="shared" si="155"/>
        <v>24502500.000000004</v>
      </c>
      <c r="I43" s="1467">
        <f t="shared" si="156"/>
        <v>24502500.000000004</v>
      </c>
      <c r="J43" s="1076">
        <f t="shared" si="162"/>
        <v>0.2</v>
      </c>
      <c r="K43" s="1107"/>
      <c r="L43" s="1467">
        <f t="shared" si="157"/>
        <v>4900500.0000000009</v>
      </c>
      <c r="M43" s="1467">
        <f>($I43-SUM($L43:L43))*$J43</f>
        <v>3920400.0000000009</v>
      </c>
      <c r="N43" s="1467">
        <f>($I43-SUM($L43:M43))*$J43</f>
        <v>3136320.0000000005</v>
      </c>
      <c r="O43" s="1467">
        <f>($I43-SUM($L43:N43))*$J43</f>
        <v>2509056.0000000005</v>
      </c>
      <c r="P43" s="1467">
        <f>($I43-SUM($L43:O43))*$J43</f>
        <v>2007244.8000000005</v>
      </c>
      <c r="Q43" s="1467">
        <f>($I43-SUM($L43:P43))*$J43</f>
        <v>1605795.8400000003</v>
      </c>
      <c r="R43" s="1467">
        <f>($I43-SUM($L43:Q43))*$J43</f>
        <v>1284636.672</v>
      </c>
      <c r="S43" s="1467">
        <f>($I43-SUM($L43:R43))*$J43</f>
        <v>1027709.3376000002</v>
      </c>
      <c r="T43" s="1467">
        <f>($I43-SUM($L43:S43))*$J43</f>
        <v>822167.47008000023</v>
      </c>
      <c r="U43" s="1467">
        <f>($I43-SUM($L43:T43))*$J43</f>
        <v>657733.97606400028</v>
      </c>
      <c r="V43" s="1467">
        <f>($I43-SUM($L43:U43))*$J43</f>
        <v>526187.18085120025</v>
      </c>
      <c r="W43" s="1467">
        <f>($I43-SUM($L43:V43))*$J43</f>
        <v>420949.74468096049</v>
      </c>
      <c r="X43" s="1467">
        <f>($I43-SUM($L43:W43))*$J43</f>
        <v>336759.79574476858</v>
      </c>
      <c r="Y43" s="1467">
        <f>($I43-SUM($L43:X43))*$J43</f>
        <v>269407.83659581468</v>
      </c>
      <c r="Z43" s="1467">
        <f>($I43-SUM($L43:Y43))*$J43</f>
        <v>215526.26927665176</v>
      </c>
      <c r="AA43" s="1467">
        <f>($I43-SUM($L43:Z43))*$J43</f>
        <v>172421.01542132127</v>
      </c>
      <c r="AB43" s="1467">
        <f>($I43-SUM($L43:AA43))*$J43</f>
        <v>137936.81233705729</v>
      </c>
      <c r="AC43" s="1467">
        <f>($I43-SUM($L43:AB43))*$J43</f>
        <v>110349.44986964614</v>
      </c>
      <c r="AD43" s="1467">
        <f>($I43-SUM($L43:AC43))*$J43</f>
        <v>88279.559895716608</v>
      </c>
      <c r="AE43" s="1467">
        <f>($I43-SUM($L43:AD43))*$J43</f>
        <v>70623.647916573289</v>
      </c>
      <c r="AF43" s="1467">
        <f>($I43-SUM($L43:AE43))*$J43</f>
        <v>56498.91833325848</v>
      </c>
      <c r="AG43" s="1467">
        <f>($I43-SUM($L43:AF43))*$J43</f>
        <v>45199.134666606784</v>
      </c>
      <c r="AH43" s="1467">
        <f>($I43-SUM($L43:AG43))*$J43</f>
        <v>36159.30773328543</v>
      </c>
      <c r="AI43" s="1467">
        <f>($I43-SUM($L43:AH43))*$J43</f>
        <v>28927.446186628193</v>
      </c>
      <c r="AJ43" s="1467">
        <f>($I43-SUM($L43:AI43))*$J43</f>
        <v>23141.956949302556</v>
      </c>
      <c r="AK43" s="1467">
        <f>($I43-SUM($L43:AJ43))*$J43</f>
        <v>18513.565559442341</v>
      </c>
      <c r="AL43" s="1467">
        <f>($I43-SUM($L43:AK43))*$J43</f>
        <v>14810.852447553725</v>
      </c>
      <c r="AM43" s="1467">
        <f>($I43-SUM($L43:AL43))*$J43</f>
        <v>11848.681958042831</v>
      </c>
      <c r="AN43" s="1467">
        <f>($I43-SUM($L43:AM43))*$J43</f>
        <v>9478.9455664344132</v>
      </c>
      <c r="AO43" s="1467">
        <f>($I43-SUM($L43:AN43))*$J43</f>
        <v>7583.1564531475306</v>
      </c>
      <c r="AP43" s="1468">
        <f t="shared" si="158"/>
        <v>24472167.374187414</v>
      </c>
      <c r="AQ43" s="1478"/>
      <c r="AR43" s="1467">
        <f t="shared" si="159"/>
        <v>19602000.000000004</v>
      </c>
      <c r="AS43" s="1467">
        <f t="shared" si="160"/>
        <v>15681600.000000004</v>
      </c>
      <c r="AT43" s="1467">
        <f t="shared" si="152"/>
        <v>12545280.000000004</v>
      </c>
      <c r="AU43" s="1467">
        <f t="shared" si="152"/>
        <v>10036224.000000004</v>
      </c>
      <c r="AV43" s="1467">
        <f t="shared" si="152"/>
        <v>8028979.200000003</v>
      </c>
      <c r="AW43" s="1467">
        <f t="shared" si="152"/>
        <v>6423183.3600000031</v>
      </c>
      <c r="AX43" s="1467">
        <f t="shared" si="152"/>
        <v>5138546.6880000029</v>
      </c>
      <c r="AY43" s="1467">
        <f t="shared" si="152"/>
        <v>4110837.3504000027</v>
      </c>
      <c r="AZ43" s="1467">
        <f t="shared" si="152"/>
        <v>3288669.8803200023</v>
      </c>
      <c r="BA43" s="1467">
        <f t="shared" si="152"/>
        <v>2630935.904256002</v>
      </c>
      <c r="BB43" s="1467">
        <f t="shared" si="152"/>
        <v>2104748.7234048019</v>
      </c>
      <c r="BC43" s="1467">
        <f t="shared" si="152"/>
        <v>1683798.9787238415</v>
      </c>
      <c r="BD43" s="1467">
        <f t="shared" si="152"/>
        <v>1347039.1829790729</v>
      </c>
      <c r="BE43" s="1467">
        <f t="shared" si="152"/>
        <v>1077631.3463832582</v>
      </c>
      <c r="BF43" s="1467">
        <f t="shared" si="152"/>
        <v>862105.07710660645</v>
      </c>
      <c r="BG43" s="1467">
        <f t="shared" si="152"/>
        <v>689684.06168528518</v>
      </c>
      <c r="BH43" s="1467">
        <f t="shared" si="152"/>
        <v>551747.24934822787</v>
      </c>
      <c r="BI43" s="1467">
        <f t="shared" si="152"/>
        <v>441397.79947858176</v>
      </c>
      <c r="BJ43" s="1467">
        <f t="shared" si="152"/>
        <v>353118.23958286515</v>
      </c>
      <c r="BK43" s="1467">
        <f t="shared" si="152"/>
        <v>282494.59166629188</v>
      </c>
      <c r="BL43" s="1467">
        <f t="shared" si="152"/>
        <v>225995.6733330334</v>
      </c>
      <c r="BM43" s="1467">
        <f t="shared" si="152"/>
        <v>180796.53866642661</v>
      </c>
      <c r="BN43" s="1467">
        <f t="shared" si="152"/>
        <v>144637.2309331412</v>
      </c>
      <c r="BO43" s="1467">
        <f t="shared" si="152"/>
        <v>115709.784746513</v>
      </c>
      <c r="BP43" s="1467">
        <f t="shared" si="152"/>
        <v>92567.827797210455</v>
      </c>
      <c r="BQ43" s="1467">
        <f t="shared" si="152"/>
        <v>74054.262237768111</v>
      </c>
      <c r="BR43" s="1467">
        <f t="shared" si="152"/>
        <v>59243.409790214384</v>
      </c>
      <c r="BS43" s="1467">
        <f t="shared" si="152"/>
        <v>47394.727832171557</v>
      </c>
      <c r="BT43" s="1467">
        <f t="shared" si="152"/>
        <v>37915.782265737143</v>
      </c>
      <c r="BU43" s="1467">
        <f t="shared" si="152"/>
        <v>30332.625812589613</v>
      </c>
      <c r="BV43" s="1478"/>
    </row>
    <row r="44" spans="1:74" x14ac:dyDescent="0.2">
      <c r="A44" s="927" t="str">
        <f t="shared" si="153"/>
        <v>Wheat Integrated (Starch).Accelerated</v>
      </c>
      <c r="B44" s="1076"/>
      <c r="C44" s="1076" t="str">
        <f t="shared" si="161"/>
        <v>Wheat Integrated (Starch)</v>
      </c>
      <c r="D44" s="1076" t="str">
        <f>Assumptions!$AH$82</f>
        <v>Accelerated</v>
      </c>
      <c r="E44" s="1076" t="str">
        <f>'Wheat Integrated (Starch)'!H255</f>
        <v>Distillation, Rectification and Dehydration</v>
      </c>
      <c r="F44" s="1467">
        <f>SUM('Wheat Integrated (Starch)'!J255:K255)*1000000</f>
        <v>23000000</v>
      </c>
      <c r="G44" s="1467">
        <f t="shared" si="154"/>
        <v>28462500</v>
      </c>
      <c r="H44" s="1467">
        <f t="shared" si="155"/>
        <v>31308750.000000004</v>
      </c>
      <c r="I44" s="1467">
        <f t="shared" si="156"/>
        <v>31308750.000000004</v>
      </c>
      <c r="J44" s="1076">
        <f t="shared" si="162"/>
        <v>0.2</v>
      </c>
      <c r="K44" s="1107"/>
      <c r="L44" s="1467">
        <f t="shared" si="157"/>
        <v>6261750.0000000009</v>
      </c>
      <c r="M44" s="1467">
        <f>($I44-SUM($L44:L44))*$J44</f>
        <v>5009400.0000000009</v>
      </c>
      <c r="N44" s="1467">
        <f>($I44-SUM($L44:M44))*$J44</f>
        <v>4007520</v>
      </c>
      <c r="O44" s="1467">
        <f>($I44-SUM($L44:N44))*$J44</f>
        <v>3206016.0000000005</v>
      </c>
      <c r="P44" s="1467">
        <f>($I44-SUM($L44:O44))*$J44</f>
        <v>2564812.8000000003</v>
      </c>
      <c r="Q44" s="1467">
        <f>($I44-SUM($L44:P44))*$J44</f>
        <v>2051850.24</v>
      </c>
      <c r="R44" s="1467">
        <f>($I44-SUM($L44:Q44))*$J44</f>
        <v>1641480.1920000003</v>
      </c>
      <c r="S44" s="1467">
        <f>($I44-SUM($L44:R44))*$J44</f>
        <v>1313184.1535999998</v>
      </c>
      <c r="T44" s="1467">
        <f>($I44-SUM($L44:S44))*$J44</f>
        <v>1050547.3228799999</v>
      </c>
      <c r="U44" s="1467">
        <f>($I44-SUM($L44:T44))*$J44</f>
        <v>840437.85830399999</v>
      </c>
      <c r="V44" s="1467">
        <f>($I44-SUM($L44:U44))*$J44</f>
        <v>672350.28664319962</v>
      </c>
      <c r="W44" s="1467">
        <f>($I44-SUM($L44:V44))*$J44</f>
        <v>537880.22931455972</v>
      </c>
      <c r="X44" s="1467">
        <f>($I44-SUM($L44:W44))*$J44</f>
        <v>430304.1834516481</v>
      </c>
      <c r="Y44" s="1467">
        <f>($I44-SUM($L44:X44))*$J44</f>
        <v>344243.34676131833</v>
      </c>
      <c r="Z44" s="1467">
        <f>($I44-SUM($L44:Y44))*$J44</f>
        <v>275394.67740905436</v>
      </c>
      <c r="AA44" s="1467">
        <f>($I44-SUM($L44:Z44))*$J44</f>
        <v>220315.74192724377</v>
      </c>
      <c r="AB44" s="1467">
        <f>($I44-SUM($L44:AA44))*$J44</f>
        <v>176252.59354179504</v>
      </c>
      <c r="AC44" s="1467">
        <f>($I44-SUM($L44:AB44))*$J44</f>
        <v>141002.07483343632</v>
      </c>
      <c r="AD44" s="1467">
        <f>($I44-SUM($L44:AC44))*$J44</f>
        <v>112801.65986674876</v>
      </c>
      <c r="AE44" s="1467">
        <f>($I44-SUM($L44:AD44))*$J44</f>
        <v>90241.327893398702</v>
      </c>
      <c r="AF44" s="1467">
        <f>($I44-SUM($L44:AE44))*$J44</f>
        <v>72193.062314718962</v>
      </c>
      <c r="AG44" s="1467">
        <f>($I44-SUM($L44:AF44))*$J44</f>
        <v>57754.449851775171</v>
      </c>
      <c r="AH44" s="1467">
        <f>($I44-SUM($L44:AG44))*$J44</f>
        <v>46203.559881420435</v>
      </c>
      <c r="AI44" s="1467">
        <f>($I44-SUM($L44:AH44))*$J44</f>
        <v>36962.847905136645</v>
      </c>
      <c r="AJ44" s="1467">
        <f>($I44-SUM($L44:AI44))*$J44</f>
        <v>29570.278324109317</v>
      </c>
      <c r="AK44" s="1467">
        <f>($I44-SUM($L44:AJ44))*$J44</f>
        <v>23656.222659287603</v>
      </c>
      <c r="AL44" s="1467">
        <f>($I44-SUM($L44:AK44))*$J44</f>
        <v>18924.978127430379</v>
      </c>
      <c r="AM44" s="1467">
        <f>($I44-SUM($L44:AL44))*$J44</f>
        <v>15139.982501944156</v>
      </c>
      <c r="AN44" s="1467">
        <f>($I44-SUM($L44:AM44))*$J44</f>
        <v>12111.986001555622</v>
      </c>
      <c r="AO44" s="1467">
        <f>($I44-SUM($L44:AN44))*$J44</f>
        <v>9689.5888012446467</v>
      </c>
      <c r="AP44" s="1468">
        <f t="shared" si="158"/>
        <v>31269991.644795027</v>
      </c>
      <c r="AQ44" s="1478"/>
      <c r="AR44" s="1467">
        <f t="shared" si="159"/>
        <v>25047000.000000004</v>
      </c>
      <c r="AS44" s="1467">
        <f t="shared" si="160"/>
        <v>20037600.000000004</v>
      </c>
      <c r="AT44" s="1467">
        <f t="shared" si="152"/>
        <v>16030080.000000004</v>
      </c>
      <c r="AU44" s="1467">
        <f t="shared" si="152"/>
        <v>12824064.000000004</v>
      </c>
      <c r="AV44" s="1467">
        <f t="shared" si="152"/>
        <v>10259251.200000003</v>
      </c>
      <c r="AW44" s="1467">
        <f t="shared" si="152"/>
        <v>8207400.9600000028</v>
      </c>
      <c r="AX44" s="1467">
        <f t="shared" si="152"/>
        <v>6565920.768000003</v>
      </c>
      <c r="AY44" s="1467">
        <f t="shared" si="152"/>
        <v>5252736.6144000031</v>
      </c>
      <c r="AZ44" s="1467">
        <f t="shared" si="152"/>
        <v>4202189.2915200032</v>
      </c>
      <c r="BA44" s="1467">
        <f t="shared" si="152"/>
        <v>3361751.4332160032</v>
      </c>
      <c r="BB44" s="1467">
        <f t="shared" si="152"/>
        <v>2689401.1465728036</v>
      </c>
      <c r="BC44" s="1467">
        <f t="shared" si="152"/>
        <v>2151520.917258244</v>
      </c>
      <c r="BD44" s="1467">
        <f t="shared" si="152"/>
        <v>1721216.7338065959</v>
      </c>
      <c r="BE44" s="1467">
        <f t="shared" si="152"/>
        <v>1376973.3870452775</v>
      </c>
      <c r="BF44" s="1467">
        <f t="shared" si="152"/>
        <v>1101578.709636223</v>
      </c>
      <c r="BG44" s="1467">
        <f t="shared" si="152"/>
        <v>881262.96770897927</v>
      </c>
      <c r="BH44" s="1467">
        <f t="shared" si="152"/>
        <v>705010.37416718423</v>
      </c>
      <c r="BI44" s="1467">
        <f t="shared" si="152"/>
        <v>564008.29933374794</v>
      </c>
      <c r="BJ44" s="1467">
        <f t="shared" si="152"/>
        <v>451206.63946699922</v>
      </c>
      <c r="BK44" s="1467">
        <f t="shared" si="152"/>
        <v>360965.31157360051</v>
      </c>
      <c r="BL44" s="1467">
        <f t="shared" si="152"/>
        <v>288772.24925888155</v>
      </c>
      <c r="BM44" s="1467">
        <f t="shared" si="152"/>
        <v>231017.79940710639</v>
      </c>
      <c r="BN44" s="1467">
        <f t="shared" si="152"/>
        <v>184814.23952568596</v>
      </c>
      <c r="BO44" s="1467">
        <f t="shared" si="152"/>
        <v>147851.39162054932</v>
      </c>
      <c r="BP44" s="1467">
        <f t="shared" si="152"/>
        <v>118281.11329644</v>
      </c>
      <c r="BQ44" s="1467">
        <f t="shared" si="152"/>
        <v>94624.890637152392</v>
      </c>
      <c r="BR44" s="1467">
        <f t="shared" si="152"/>
        <v>75699.912509722009</v>
      </c>
      <c r="BS44" s="1467">
        <f t="shared" si="152"/>
        <v>60559.930007777853</v>
      </c>
      <c r="BT44" s="1467">
        <f t="shared" si="152"/>
        <v>48447.944006222227</v>
      </c>
      <c r="BU44" s="1467">
        <f t="shared" si="152"/>
        <v>38758.355204977583</v>
      </c>
      <c r="BV44" s="1478"/>
    </row>
    <row r="45" spans="1:74" x14ac:dyDescent="0.2">
      <c r="A45" s="927" t="str">
        <f t="shared" ref="A45:A50" si="163">C45&amp;"."&amp;D45</f>
        <v>Wheat Integrated (Starch).Accelerated</v>
      </c>
      <c r="B45" s="1076"/>
      <c r="C45" s="1076" t="str">
        <f t="shared" si="161"/>
        <v>Wheat Integrated (Starch)</v>
      </c>
      <c r="D45" s="1076" t="str">
        <f>Assumptions!$AH$82</f>
        <v>Accelerated</v>
      </c>
      <c r="E45" s="1076" t="str">
        <f>'Wheat Integrated (Starch)'!H256</f>
        <v>Alcohol Storage</v>
      </c>
      <c r="F45" s="1467">
        <f>SUM('Wheat Integrated (Starch)'!J256:K256)*1000000</f>
        <v>5000000</v>
      </c>
      <c r="G45" s="1467">
        <f t="shared" si="154"/>
        <v>6187500</v>
      </c>
      <c r="H45" s="1467">
        <f t="shared" si="155"/>
        <v>6806250.0000000009</v>
      </c>
      <c r="I45" s="1467">
        <f t="shared" si="156"/>
        <v>6806250.0000000009</v>
      </c>
      <c r="J45" s="1076">
        <f t="shared" si="162"/>
        <v>0.2</v>
      </c>
      <c r="K45" s="1107"/>
      <c r="L45" s="1467">
        <f t="shared" si="157"/>
        <v>1361250.0000000002</v>
      </c>
      <c r="M45" s="1467">
        <f>($I45-SUM($L45:L45))*$J45</f>
        <v>1089000.0000000002</v>
      </c>
      <c r="N45" s="1467">
        <f>($I45-SUM($L45:M45))*$J45</f>
        <v>871200</v>
      </c>
      <c r="O45" s="1467">
        <f>($I45-SUM($L45:N45))*$J45</f>
        <v>696960.00000000012</v>
      </c>
      <c r="P45" s="1467">
        <f>($I45-SUM($L45:O45))*$J45</f>
        <v>557568.00000000012</v>
      </c>
      <c r="Q45" s="1467">
        <f>($I45-SUM($L45:P45))*$J45</f>
        <v>446054.40000000002</v>
      </c>
      <c r="R45" s="1467">
        <f>($I45-SUM($L45:Q45))*$J45</f>
        <v>356843.51999999996</v>
      </c>
      <c r="S45" s="1467">
        <f>($I45-SUM($L45:R45))*$J45</f>
        <v>285474.81600000005</v>
      </c>
      <c r="T45" s="1467">
        <f>($I45-SUM($L45:S45))*$J45</f>
        <v>228379.85280000011</v>
      </c>
      <c r="U45" s="1467">
        <f>($I45-SUM($L45:T45))*$J45</f>
        <v>182703.88224000001</v>
      </c>
      <c r="V45" s="1467">
        <f>($I45-SUM($L45:U45))*$J45</f>
        <v>146163.10579199996</v>
      </c>
      <c r="W45" s="1467">
        <f>($I45-SUM($L45:V45))*$J45</f>
        <v>116930.48463359998</v>
      </c>
      <c r="X45" s="1467">
        <f>($I45-SUM($L45:W45))*$J45</f>
        <v>93544.387706879905</v>
      </c>
      <c r="Y45" s="1467">
        <f>($I45-SUM($L45:X45))*$J45</f>
        <v>74835.510165503991</v>
      </c>
      <c r="Z45" s="1467">
        <f>($I45-SUM($L45:Y45))*$J45</f>
        <v>59868.408132403158</v>
      </c>
      <c r="AA45" s="1467">
        <f>($I45-SUM($L45:Z45))*$J45</f>
        <v>47894.726505922532</v>
      </c>
      <c r="AB45" s="1467">
        <f>($I45-SUM($L45:AA45))*$J45</f>
        <v>38315.781204738094</v>
      </c>
      <c r="AC45" s="1467">
        <f>($I45-SUM($L45:AB45))*$J45</f>
        <v>30652.624963790553</v>
      </c>
      <c r="AD45" s="1467">
        <f>($I45-SUM($L45:AC45))*$J45</f>
        <v>24522.099971032516</v>
      </c>
      <c r="AE45" s="1467">
        <f>($I45-SUM($L45:AD45))*$J45</f>
        <v>19617.679976825977</v>
      </c>
      <c r="AF45" s="1467">
        <f>($I45-SUM($L45:AE45))*$J45</f>
        <v>15694.143981460855</v>
      </c>
      <c r="AG45" s="1467">
        <f>($I45-SUM($L45:AF45))*$J45</f>
        <v>12555.315185168758</v>
      </c>
      <c r="AH45" s="1467">
        <f>($I45-SUM($L45:AG45))*$J45</f>
        <v>10044.252148135007</v>
      </c>
      <c r="AI45" s="1467">
        <f>($I45-SUM($L45:AH45))*$J45</f>
        <v>8035.4017185080802</v>
      </c>
      <c r="AJ45" s="1467">
        <f>($I45-SUM($L45:AI45))*$J45</f>
        <v>6428.3213748063899</v>
      </c>
      <c r="AK45" s="1467">
        <f>($I45-SUM($L45:AJ45))*$J45</f>
        <v>5142.6570998450743</v>
      </c>
      <c r="AL45" s="1467">
        <f>($I45-SUM($L45:AK45))*$J45</f>
        <v>4114.1256798760969</v>
      </c>
      <c r="AM45" s="1467">
        <f>($I45-SUM($L45:AL45))*$J45</f>
        <v>3291.3005439009521</v>
      </c>
      <c r="AN45" s="1467">
        <f>($I45-SUM($L45:AM45))*$J45</f>
        <v>2633.0404351208363</v>
      </c>
      <c r="AO45" s="1467">
        <f>($I45-SUM($L45:AN45))*$J45</f>
        <v>2106.4323480967432</v>
      </c>
      <c r="AP45" s="1468">
        <f t="shared" ref="AP45:AP50" si="164">SUM(L45:AO45)</f>
        <v>6797824.270607614</v>
      </c>
      <c r="AQ45" s="1478"/>
      <c r="AR45" s="1467">
        <f t="shared" ref="AR45:AR50" si="165">I45-L45</f>
        <v>5445000.0000000009</v>
      </c>
      <c r="AS45" s="1467">
        <f t="shared" ref="AS45:BU50" si="166">AR45-M45</f>
        <v>4356000.0000000009</v>
      </c>
      <c r="AT45" s="1467">
        <f t="shared" si="166"/>
        <v>3484800.0000000009</v>
      </c>
      <c r="AU45" s="1467">
        <f t="shared" si="166"/>
        <v>2787840.0000000009</v>
      </c>
      <c r="AV45" s="1467">
        <f t="shared" si="166"/>
        <v>2230272.0000000009</v>
      </c>
      <c r="AW45" s="1467">
        <f t="shared" si="166"/>
        <v>1784217.600000001</v>
      </c>
      <c r="AX45" s="1467">
        <f t="shared" si="166"/>
        <v>1427374.080000001</v>
      </c>
      <c r="AY45" s="1467">
        <f t="shared" si="166"/>
        <v>1141899.2640000009</v>
      </c>
      <c r="AZ45" s="1467">
        <f t="shared" si="166"/>
        <v>913519.41120000079</v>
      </c>
      <c r="BA45" s="1467">
        <f t="shared" si="166"/>
        <v>730815.52896000072</v>
      </c>
      <c r="BB45" s="1467">
        <f t="shared" si="166"/>
        <v>584652.42316800077</v>
      </c>
      <c r="BC45" s="1467">
        <f t="shared" si="166"/>
        <v>467721.93853440078</v>
      </c>
      <c r="BD45" s="1467">
        <f t="shared" si="166"/>
        <v>374177.5508275209</v>
      </c>
      <c r="BE45" s="1467">
        <f t="shared" si="166"/>
        <v>299342.04066201689</v>
      </c>
      <c r="BF45" s="1467">
        <f t="shared" si="166"/>
        <v>239473.63252961374</v>
      </c>
      <c r="BG45" s="1467">
        <f t="shared" si="166"/>
        <v>191578.9060236912</v>
      </c>
      <c r="BH45" s="1467">
        <f t="shared" si="166"/>
        <v>153263.1248189531</v>
      </c>
      <c r="BI45" s="1467">
        <f t="shared" si="166"/>
        <v>122610.49985516255</v>
      </c>
      <c r="BJ45" s="1467">
        <f t="shared" si="166"/>
        <v>98088.399884130034</v>
      </c>
      <c r="BK45" s="1467">
        <f t="shared" si="166"/>
        <v>78470.719907304054</v>
      </c>
      <c r="BL45" s="1467">
        <f t="shared" si="166"/>
        <v>62776.575925843201</v>
      </c>
      <c r="BM45" s="1467">
        <f t="shared" si="166"/>
        <v>50221.260740674443</v>
      </c>
      <c r="BN45" s="1467">
        <f t="shared" si="166"/>
        <v>40177.008592539438</v>
      </c>
      <c r="BO45" s="1467">
        <f t="shared" si="166"/>
        <v>32141.606874031357</v>
      </c>
      <c r="BP45" s="1467">
        <f t="shared" si="166"/>
        <v>25713.285499224967</v>
      </c>
      <c r="BQ45" s="1467">
        <f t="shared" si="166"/>
        <v>20570.628399379893</v>
      </c>
      <c r="BR45" s="1467">
        <f t="shared" si="166"/>
        <v>16456.502719503798</v>
      </c>
      <c r="BS45" s="1467">
        <f t="shared" si="166"/>
        <v>13165.202175602846</v>
      </c>
      <c r="BT45" s="1467">
        <f t="shared" si="166"/>
        <v>10532.16174048201</v>
      </c>
      <c r="BU45" s="1467">
        <f t="shared" si="166"/>
        <v>8425.7293923852667</v>
      </c>
      <c r="BV45" s="1478"/>
    </row>
    <row r="46" spans="1:74" x14ac:dyDescent="0.2">
      <c r="A46" s="927" t="str">
        <f t="shared" si="163"/>
        <v>Wheat Integrated (Starch).Accelerated</v>
      </c>
      <c r="B46" s="1076"/>
      <c r="C46" s="1076" t="str">
        <f t="shared" si="161"/>
        <v>Wheat Integrated (Starch)</v>
      </c>
      <c r="D46" s="1076" t="str">
        <f>Assumptions!$AH$82</f>
        <v>Accelerated</v>
      </c>
      <c r="E46" s="1076" t="str">
        <f>'Wheat Integrated (Starch)'!H257</f>
        <v>WDGS drying plant</v>
      </c>
      <c r="F46" s="1467">
        <f>SUM('Wheat Integrated (Starch)'!J257:K257)*1000000</f>
        <v>14000000</v>
      </c>
      <c r="G46" s="1467">
        <f t="shared" si="154"/>
        <v>17325000</v>
      </c>
      <c r="H46" s="1467">
        <f t="shared" si="155"/>
        <v>19057500</v>
      </c>
      <c r="I46" s="1467">
        <f t="shared" si="156"/>
        <v>19057500</v>
      </c>
      <c r="J46" s="1076">
        <f t="shared" si="162"/>
        <v>0.2</v>
      </c>
      <c r="K46" s="1107"/>
      <c r="L46" s="1467">
        <f t="shared" si="157"/>
        <v>3811500</v>
      </c>
      <c r="M46" s="1467">
        <f>($I46-SUM($L46:L46))*$J46</f>
        <v>3049200</v>
      </c>
      <c r="N46" s="1467">
        <f>($I46-SUM($L46:M46))*$J46</f>
        <v>2439360</v>
      </c>
      <c r="O46" s="1467">
        <f>($I46-SUM($L46:N46))*$J46</f>
        <v>1951488</v>
      </c>
      <c r="P46" s="1467">
        <f>($I46-SUM($L46:O46))*$J46</f>
        <v>1561190.4000000001</v>
      </c>
      <c r="Q46" s="1467">
        <f>($I46-SUM($L46:P46))*$J46</f>
        <v>1248952.3200000001</v>
      </c>
      <c r="R46" s="1467">
        <f>($I46-SUM($L46:Q46))*$J46</f>
        <v>999161.85599999991</v>
      </c>
      <c r="S46" s="1467">
        <f>($I46-SUM($L46:R46))*$J46</f>
        <v>799329.48479999974</v>
      </c>
      <c r="T46" s="1467">
        <f>($I46-SUM($L46:S46))*$J46</f>
        <v>639463.58783999982</v>
      </c>
      <c r="U46" s="1467">
        <f>($I46-SUM($L46:T46))*$J46</f>
        <v>511570.8702719998</v>
      </c>
      <c r="V46" s="1467">
        <f>($I46-SUM($L46:U46))*$J46</f>
        <v>409256.69621759956</v>
      </c>
      <c r="W46" s="1467">
        <f>($I46-SUM($L46:V46))*$J46</f>
        <v>327405.35697407951</v>
      </c>
      <c r="X46" s="1467">
        <f>($I46-SUM($L46:W46))*$J46</f>
        <v>261924.28557926344</v>
      </c>
      <c r="Y46" s="1467">
        <f>($I46-SUM($L46:X46))*$J46</f>
        <v>209539.42846341059</v>
      </c>
      <c r="Z46" s="1467">
        <f>($I46-SUM($L46:Y46))*$J46</f>
        <v>167631.54277072847</v>
      </c>
      <c r="AA46" s="1467">
        <f>($I46-SUM($L46:Z46))*$J46</f>
        <v>134105.23421658279</v>
      </c>
      <c r="AB46" s="1467">
        <f>($I46-SUM($L46:AA46))*$J46</f>
        <v>107284.18737326638</v>
      </c>
      <c r="AC46" s="1467">
        <f>($I46-SUM($L46:AB46))*$J46</f>
        <v>85827.349898613247</v>
      </c>
      <c r="AD46" s="1467">
        <f>($I46-SUM($L46:AC46))*$J46</f>
        <v>68661.879918890452</v>
      </c>
      <c r="AE46" s="1467">
        <f>($I46-SUM($L46:AD46))*$J46</f>
        <v>54929.503935112065</v>
      </c>
      <c r="AF46" s="1467">
        <f>($I46-SUM($L46:AE46))*$J46</f>
        <v>43943.603148089351</v>
      </c>
      <c r="AG46" s="1467">
        <f>($I46-SUM($L46:AF46))*$J46</f>
        <v>35154.882518471779</v>
      </c>
      <c r="AH46" s="1467">
        <f>($I46-SUM($L46:AG46))*$J46</f>
        <v>28123.90601477772</v>
      </c>
      <c r="AI46" s="1467">
        <f>($I46-SUM($L46:AH46))*$J46</f>
        <v>22499.124811822177</v>
      </c>
      <c r="AJ46" s="1467">
        <f>($I46-SUM($L46:AI46))*$J46</f>
        <v>17999.299849458039</v>
      </c>
      <c r="AK46" s="1467">
        <f>($I46-SUM($L46:AJ46))*$J46</f>
        <v>14399.439879566431</v>
      </c>
      <c r="AL46" s="1467">
        <f>($I46-SUM($L46:AK46))*$J46</f>
        <v>11519.551903653146</v>
      </c>
      <c r="AM46" s="1467">
        <f>($I46-SUM($L46:AL46))*$J46</f>
        <v>9215.6415229223676</v>
      </c>
      <c r="AN46" s="1467">
        <f>($I46-SUM($L46:AM46))*$J46</f>
        <v>7372.5132183380429</v>
      </c>
      <c r="AO46" s="1467">
        <f>($I46-SUM($L46:AN46))*$J46</f>
        <v>5898.0105746701365</v>
      </c>
      <c r="AP46" s="1468">
        <f t="shared" si="164"/>
        <v>19033907.957701318</v>
      </c>
      <c r="AQ46" s="1478"/>
      <c r="AR46" s="1467">
        <f t="shared" si="165"/>
        <v>15246000</v>
      </c>
      <c r="AS46" s="1467">
        <f t="shared" si="166"/>
        <v>12196800</v>
      </c>
      <c r="AT46" s="1467">
        <f t="shared" si="166"/>
        <v>9757440</v>
      </c>
      <c r="AU46" s="1467">
        <f t="shared" si="166"/>
        <v>7805952</v>
      </c>
      <c r="AV46" s="1467">
        <f t="shared" si="166"/>
        <v>6244761.5999999996</v>
      </c>
      <c r="AW46" s="1467">
        <f t="shared" si="166"/>
        <v>4995809.2799999993</v>
      </c>
      <c r="AX46" s="1467">
        <f t="shared" si="166"/>
        <v>3996647.4239999996</v>
      </c>
      <c r="AY46" s="1467">
        <f t="shared" si="166"/>
        <v>3197317.9391999999</v>
      </c>
      <c r="AZ46" s="1467">
        <f t="shared" si="166"/>
        <v>2557854.3513600002</v>
      </c>
      <c r="BA46" s="1467">
        <f t="shared" si="166"/>
        <v>2046283.4810880003</v>
      </c>
      <c r="BB46" s="1467">
        <f t="shared" si="166"/>
        <v>1637026.7848704008</v>
      </c>
      <c r="BC46" s="1467">
        <f t="shared" si="166"/>
        <v>1309621.4278963213</v>
      </c>
      <c r="BD46" s="1467">
        <f t="shared" si="166"/>
        <v>1047697.1423170578</v>
      </c>
      <c r="BE46" s="1467">
        <f t="shared" si="166"/>
        <v>838157.71385364723</v>
      </c>
      <c r="BF46" s="1467">
        <f t="shared" si="166"/>
        <v>670526.17108291877</v>
      </c>
      <c r="BG46" s="1467">
        <f t="shared" si="166"/>
        <v>536420.93686633604</v>
      </c>
      <c r="BH46" s="1467">
        <f t="shared" si="166"/>
        <v>429136.74949306966</v>
      </c>
      <c r="BI46" s="1467">
        <f t="shared" si="166"/>
        <v>343309.39959445642</v>
      </c>
      <c r="BJ46" s="1467">
        <f t="shared" si="166"/>
        <v>274647.519675566</v>
      </c>
      <c r="BK46" s="1467">
        <f t="shared" si="166"/>
        <v>219718.01574045393</v>
      </c>
      <c r="BL46" s="1467">
        <f t="shared" si="166"/>
        <v>175774.41259236459</v>
      </c>
      <c r="BM46" s="1467">
        <f t="shared" si="166"/>
        <v>140619.53007389282</v>
      </c>
      <c r="BN46" s="1467">
        <f t="shared" si="166"/>
        <v>112495.6240591151</v>
      </c>
      <c r="BO46" s="1467">
        <f t="shared" si="166"/>
        <v>89996.49924729293</v>
      </c>
      <c r="BP46" s="1467">
        <f t="shared" si="166"/>
        <v>71997.199397834891</v>
      </c>
      <c r="BQ46" s="1467">
        <f t="shared" si="166"/>
        <v>57597.75951826846</v>
      </c>
      <c r="BR46" s="1467">
        <f t="shared" si="166"/>
        <v>46078.207614615312</v>
      </c>
      <c r="BS46" s="1467">
        <f t="shared" si="166"/>
        <v>36862.566091692948</v>
      </c>
      <c r="BT46" s="1467">
        <f t="shared" si="166"/>
        <v>29490.052873354907</v>
      </c>
      <c r="BU46" s="1467">
        <f t="shared" si="166"/>
        <v>23592.04229868477</v>
      </c>
      <c r="BV46" s="1478"/>
    </row>
    <row r="47" spans="1:74" x14ac:dyDescent="0.2">
      <c r="A47" s="927" t="str">
        <f t="shared" si="163"/>
        <v>Wheat Integrated (Starch).Accelerated</v>
      </c>
      <c r="B47" s="1076"/>
      <c r="C47" s="1076" t="str">
        <f t="shared" si="161"/>
        <v>Wheat Integrated (Starch)</v>
      </c>
      <c r="D47" s="1076" t="str">
        <f>Assumptions!$AH$82</f>
        <v>Accelerated</v>
      </c>
      <c r="E47" s="1076" t="str">
        <f>'Wheat Integrated (Starch)'!H258</f>
        <v>Stockfeed plant - bran, germ, DDGS</v>
      </c>
      <c r="F47" s="1467">
        <f>SUM('Wheat Integrated (Starch)'!J258:K258)*1000000</f>
        <v>0</v>
      </c>
      <c r="G47" s="1467">
        <f t="shared" si="154"/>
        <v>0</v>
      </c>
      <c r="H47" s="1467">
        <f t="shared" si="155"/>
        <v>0</v>
      </c>
      <c r="I47" s="1467">
        <f t="shared" si="156"/>
        <v>0</v>
      </c>
      <c r="J47" s="1076">
        <f t="shared" si="162"/>
        <v>0.2</v>
      </c>
      <c r="K47" s="1107"/>
      <c r="L47" s="1467">
        <f t="shared" si="157"/>
        <v>0</v>
      </c>
      <c r="M47" s="1467">
        <f>($I47-SUM($L47:L47))*$J47</f>
        <v>0</v>
      </c>
      <c r="N47" s="1467">
        <f>($I47-SUM($L47:M47))*$J47</f>
        <v>0</v>
      </c>
      <c r="O47" s="1467">
        <f>($I47-SUM($L47:N47))*$J47</f>
        <v>0</v>
      </c>
      <c r="P47" s="1467">
        <f>($I47-SUM($L47:O47))*$J47</f>
        <v>0</v>
      </c>
      <c r="Q47" s="1467">
        <f>($I47-SUM($L47:P47))*$J47</f>
        <v>0</v>
      </c>
      <c r="R47" s="1467">
        <f>($I47-SUM($L47:Q47))*$J47</f>
        <v>0</v>
      </c>
      <c r="S47" s="1467">
        <f>($I47-SUM($L47:R47))*$J47</f>
        <v>0</v>
      </c>
      <c r="T47" s="1467">
        <f>($I47-SUM($L47:S47))*$J47</f>
        <v>0</v>
      </c>
      <c r="U47" s="1467">
        <f>($I47-SUM($L47:T47))*$J47</f>
        <v>0</v>
      </c>
      <c r="V47" s="1467">
        <f>($I47-SUM($L47:U47))*$J47</f>
        <v>0</v>
      </c>
      <c r="W47" s="1467">
        <f>($I47-SUM($L47:V47))*$J47</f>
        <v>0</v>
      </c>
      <c r="X47" s="1467">
        <f>($I47-SUM($L47:W47))*$J47</f>
        <v>0</v>
      </c>
      <c r="Y47" s="1467">
        <f>($I47-SUM($L47:X47))*$J47</f>
        <v>0</v>
      </c>
      <c r="Z47" s="1467">
        <f>($I47-SUM($L47:Y47))*$J47</f>
        <v>0</v>
      </c>
      <c r="AA47" s="1467">
        <f>($I47-SUM($L47:Z47))*$J47</f>
        <v>0</v>
      </c>
      <c r="AB47" s="1467">
        <f>($I47-SUM($L47:AA47))*$J47</f>
        <v>0</v>
      </c>
      <c r="AC47" s="1467">
        <f>($I47-SUM($L47:AB47))*$J47</f>
        <v>0</v>
      </c>
      <c r="AD47" s="1467">
        <f>($I47-SUM($L47:AC47))*$J47</f>
        <v>0</v>
      </c>
      <c r="AE47" s="1467">
        <f>($I47-SUM($L47:AD47))*$J47</f>
        <v>0</v>
      </c>
      <c r="AF47" s="1467">
        <f>($I47-SUM($L47:AE47))*$J47</f>
        <v>0</v>
      </c>
      <c r="AG47" s="1467">
        <f>($I47-SUM($L47:AF47))*$J47</f>
        <v>0</v>
      </c>
      <c r="AH47" s="1467">
        <f>($I47-SUM($L47:AG47))*$J47</f>
        <v>0</v>
      </c>
      <c r="AI47" s="1467">
        <f>($I47-SUM($L47:AH47))*$J47</f>
        <v>0</v>
      </c>
      <c r="AJ47" s="1467">
        <f>($I47-SUM($L47:AI47))*$J47</f>
        <v>0</v>
      </c>
      <c r="AK47" s="1467">
        <f>($I47-SUM($L47:AJ47))*$J47</f>
        <v>0</v>
      </c>
      <c r="AL47" s="1467">
        <f>($I47-SUM($L47:AK47))*$J47</f>
        <v>0</v>
      </c>
      <c r="AM47" s="1467">
        <f>($I47-SUM($L47:AL47))*$J47</f>
        <v>0</v>
      </c>
      <c r="AN47" s="1467">
        <f>($I47-SUM($L47:AM47))*$J47</f>
        <v>0</v>
      </c>
      <c r="AO47" s="1467">
        <f>($I47-SUM($L47:AN47))*$J47</f>
        <v>0</v>
      </c>
      <c r="AP47" s="1468">
        <f t="shared" si="164"/>
        <v>0</v>
      </c>
      <c r="AQ47" s="1478"/>
      <c r="AR47" s="1467">
        <f t="shared" si="165"/>
        <v>0</v>
      </c>
      <c r="AS47" s="1467">
        <f t="shared" si="166"/>
        <v>0</v>
      </c>
      <c r="AT47" s="1467">
        <f t="shared" si="166"/>
        <v>0</v>
      </c>
      <c r="AU47" s="1467">
        <f t="shared" si="166"/>
        <v>0</v>
      </c>
      <c r="AV47" s="1467">
        <f t="shared" si="166"/>
        <v>0</v>
      </c>
      <c r="AW47" s="1467">
        <f t="shared" si="166"/>
        <v>0</v>
      </c>
      <c r="AX47" s="1467">
        <f t="shared" si="166"/>
        <v>0</v>
      </c>
      <c r="AY47" s="1467">
        <f t="shared" si="166"/>
        <v>0</v>
      </c>
      <c r="AZ47" s="1467">
        <f t="shared" si="166"/>
        <v>0</v>
      </c>
      <c r="BA47" s="1467">
        <f t="shared" si="166"/>
        <v>0</v>
      </c>
      <c r="BB47" s="1467">
        <f t="shared" si="166"/>
        <v>0</v>
      </c>
      <c r="BC47" s="1467">
        <f t="shared" si="166"/>
        <v>0</v>
      </c>
      <c r="BD47" s="1467">
        <f t="shared" si="166"/>
        <v>0</v>
      </c>
      <c r="BE47" s="1467">
        <f t="shared" si="166"/>
        <v>0</v>
      </c>
      <c r="BF47" s="1467">
        <f t="shared" si="166"/>
        <v>0</v>
      </c>
      <c r="BG47" s="1467">
        <f t="shared" si="166"/>
        <v>0</v>
      </c>
      <c r="BH47" s="1467">
        <f t="shared" si="166"/>
        <v>0</v>
      </c>
      <c r="BI47" s="1467">
        <f t="shared" si="166"/>
        <v>0</v>
      </c>
      <c r="BJ47" s="1467">
        <f t="shared" si="166"/>
        <v>0</v>
      </c>
      <c r="BK47" s="1467">
        <f t="shared" si="166"/>
        <v>0</v>
      </c>
      <c r="BL47" s="1467">
        <f t="shared" si="166"/>
        <v>0</v>
      </c>
      <c r="BM47" s="1467">
        <f t="shared" si="166"/>
        <v>0</v>
      </c>
      <c r="BN47" s="1467">
        <f t="shared" si="166"/>
        <v>0</v>
      </c>
      <c r="BO47" s="1467">
        <f t="shared" si="166"/>
        <v>0</v>
      </c>
      <c r="BP47" s="1467">
        <f t="shared" si="166"/>
        <v>0</v>
      </c>
      <c r="BQ47" s="1467">
        <f t="shared" si="166"/>
        <v>0</v>
      </c>
      <c r="BR47" s="1467">
        <f t="shared" si="166"/>
        <v>0</v>
      </c>
      <c r="BS47" s="1467">
        <f t="shared" si="166"/>
        <v>0</v>
      </c>
      <c r="BT47" s="1467">
        <f t="shared" si="166"/>
        <v>0</v>
      </c>
      <c r="BU47" s="1467">
        <f t="shared" si="166"/>
        <v>0</v>
      </c>
      <c r="BV47" s="1478"/>
    </row>
    <row r="48" spans="1:74" x14ac:dyDescent="0.2">
      <c r="A48" s="927" t="str">
        <f t="shared" si="163"/>
        <v>Wheat Integrated (Starch).Accelerated</v>
      </c>
      <c r="B48" s="1076"/>
      <c r="C48" s="1076" t="str">
        <f t="shared" si="161"/>
        <v>Wheat Integrated (Starch)</v>
      </c>
      <c r="D48" s="1076" t="str">
        <f>Assumptions!$AH$82</f>
        <v>Accelerated</v>
      </c>
      <c r="E48" s="1076" t="str">
        <f>'Wheat Integrated (Starch)'!H259</f>
        <v>Biogas Plant</v>
      </c>
      <c r="F48" s="1467">
        <f>SUM('Wheat Integrated (Starch)'!J259:K259)*1000000</f>
        <v>13000000</v>
      </c>
      <c r="G48" s="1467">
        <f t="shared" si="154"/>
        <v>16087500</v>
      </c>
      <c r="H48" s="1467">
        <f t="shared" si="155"/>
        <v>17696250</v>
      </c>
      <c r="I48" s="1467">
        <f t="shared" si="156"/>
        <v>17696250</v>
      </c>
      <c r="J48" s="1076">
        <f t="shared" si="162"/>
        <v>0.2</v>
      </c>
      <c r="K48" s="1107"/>
      <c r="L48" s="1467">
        <f t="shared" si="157"/>
        <v>3539250</v>
      </c>
      <c r="M48" s="1467">
        <f>($I48-SUM($L48:L48))*$J48</f>
        <v>2831400</v>
      </c>
      <c r="N48" s="1467">
        <f>($I48-SUM($L48:M48))*$J48</f>
        <v>2265120</v>
      </c>
      <c r="O48" s="1467">
        <f>($I48-SUM($L48:N48))*$J48</f>
        <v>1812096</v>
      </c>
      <c r="P48" s="1467">
        <f>($I48-SUM($L48:O48))*$J48</f>
        <v>1449676.8</v>
      </c>
      <c r="Q48" s="1467">
        <f>($I48-SUM($L48:P48))*$J48</f>
        <v>1159741.4399999999</v>
      </c>
      <c r="R48" s="1467">
        <f>($I48-SUM($L48:Q48))*$J48</f>
        <v>927793.152</v>
      </c>
      <c r="S48" s="1467">
        <f>($I48-SUM($L48:R48))*$J48</f>
        <v>742234.52159999986</v>
      </c>
      <c r="T48" s="1467">
        <f>($I48-SUM($L48:S48))*$J48</f>
        <v>593787.61727999977</v>
      </c>
      <c r="U48" s="1467">
        <f>($I48-SUM($L48:T48))*$J48</f>
        <v>475030.09382399992</v>
      </c>
      <c r="V48" s="1467">
        <f>($I48-SUM($L48:U48))*$J48</f>
        <v>380024.07505920011</v>
      </c>
      <c r="W48" s="1467">
        <f>($I48-SUM($L48:V48))*$J48</f>
        <v>304019.26004736015</v>
      </c>
      <c r="X48" s="1467">
        <f>($I48-SUM($L48:W48))*$J48</f>
        <v>243215.40803788826</v>
      </c>
      <c r="Y48" s="1467">
        <f>($I48-SUM($L48:X48))*$J48</f>
        <v>194572.3264303107</v>
      </c>
      <c r="Z48" s="1467">
        <f>($I48-SUM($L48:Y48))*$J48</f>
        <v>155657.8611442484</v>
      </c>
      <c r="AA48" s="1467">
        <f>($I48-SUM($L48:Z48))*$J48</f>
        <v>124526.28891539872</v>
      </c>
      <c r="AB48" s="1467">
        <f>($I48-SUM($L48:AA48))*$J48</f>
        <v>99621.031132318836</v>
      </c>
      <c r="AC48" s="1467">
        <f>($I48-SUM($L48:AB48))*$J48</f>
        <v>79696.824905855217</v>
      </c>
      <c r="AD48" s="1467">
        <f>($I48-SUM($L48:AC48))*$J48</f>
        <v>63757.459924684466</v>
      </c>
      <c r="AE48" s="1467">
        <f>($I48-SUM($L48:AD48))*$J48</f>
        <v>51005.967939747876</v>
      </c>
      <c r="AF48" s="1467">
        <f>($I48-SUM($L48:AE48))*$J48</f>
        <v>40804.774351797998</v>
      </c>
      <c r="AG48" s="1467">
        <f>($I48-SUM($L48:AF48))*$J48</f>
        <v>32643.819481438401</v>
      </c>
      <c r="AH48" s="1467">
        <f>($I48-SUM($L48:AG48))*$J48</f>
        <v>26115.055585150421</v>
      </c>
      <c r="AI48" s="1467">
        <f>($I48-SUM($L48:AH48))*$J48</f>
        <v>20892.044468120486</v>
      </c>
      <c r="AJ48" s="1467">
        <f>($I48-SUM($L48:AI48))*$J48</f>
        <v>16713.635574496537</v>
      </c>
      <c r="AK48" s="1467">
        <f>($I48-SUM($L48:AJ48))*$J48</f>
        <v>13370.908459597082</v>
      </c>
      <c r="AL48" s="1467">
        <f>($I48-SUM($L48:AK48))*$J48</f>
        <v>10696.726767677814</v>
      </c>
      <c r="AM48" s="1467">
        <f>($I48-SUM($L48:AL48))*$J48</f>
        <v>8557.3814141422517</v>
      </c>
      <c r="AN48" s="1467">
        <f>($I48-SUM($L48:AM48))*$J48</f>
        <v>6845.9051313139498</v>
      </c>
      <c r="AO48" s="1467">
        <f>($I48-SUM($L48:AN48))*$J48</f>
        <v>5476.7241050511602</v>
      </c>
      <c r="AP48" s="1468">
        <f t="shared" si="164"/>
        <v>17674343.103579797</v>
      </c>
      <c r="AQ48" s="1478"/>
      <c r="AR48" s="1467">
        <f t="shared" si="165"/>
        <v>14157000</v>
      </c>
      <c r="AS48" s="1467">
        <f t="shared" si="166"/>
        <v>11325600</v>
      </c>
      <c r="AT48" s="1467">
        <f t="shared" si="166"/>
        <v>9060480</v>
      </c>
      <c r="AU48" s="1467">
        <f t="shared" si="166"/>
        <v>7248384</v>
      </c>
      <c r="AV48" s="1467">
        <f t="shared" si="166"/>
        <v>5798707.2000000002</v>
      </c>
      <c r="AW48" s="1467">
        <f t="shared" si="166"/>
        <v>4638965.7599999998</v>
      </c>
      <c r="AX48" s="1467">
        <f t="shared" si="166"/>
        <v>3711172.608</v>
      </c>
      <c r="AY48" s="1467">
        <f t="shared" si="166"/>
        <v>2968938.0864000004</v>
      </c>
      <c r="AZ48" s="1467">
        <f t="shared" si="166"/>
        <v>2375150.4691200005</v>
      </c>
      <c r="BA48" s="1467">
        <f t="shared" si="166"/>
        <v>1900120.3752960006</v>
      </c>
      <c r="BB48" s="1467">
        <f t="shared" si="166"/>
        <v>1520096.3002368005</v>
      </c>
      <c r="BC48" s="1467">
        <f t="shared" si="166"/>
        <v>1216077.0401894404</v>
      </c>
      <c r="BD48" s="1467">
        <f t="shared" si="166"/>
        <v>972861.63215155213</v>
      </c>
      <c r="BE48" s="1467">
        <f t="shared" si="166"/>
        <v>778289.3057212414</v>
      </c>
      <c r="BF48" s="1467">
        <f t="shared" si="166"/>
        <v>622631.444576993</v>
      </c>
      <c r="BG48" s="1467">
        <f t="shared" si="166"/>
        <v>498105.1556615943</v>
      </c>
      <c r="BH48" s="1467">
        <f t="shared" si="166"/>
        <v>398484.12452927546</v>
      </c>
      <c r="BI48" s="1467">
        <f t="shared" si="166"/>
        <v>318787.29962342023</v>
      </c>
      <c r="BJ48" s="1467">
        <f t="shared" si="166"/>
        <v>255029.83969873577</v>
      </c>
      <c r="BK48" s="1467">
        <f t="shared" si="166"/>
        <v>204023.87175898789</v>
      </c>
      <c r="BL48" s="1467">
        <f t="shared" si="166"/>
        <v>163219.0974071899</v>
      </c>
      <c r="BM48" s="1467">
        <f t="shared" si="166"/>
        <v>130575.27792575149</v>
      </c>
      <c r="BN48" s="1467">
        <f t="shared" si="166"/>
        <v>104460.22234060107</v>
      </c>
      <c r="BO48" s="1467">
        <f t="shared" si="166"/>
        <v>83568.177872480592</v>
      </c>
      <c r="BP48" s="1467">
        <f t="shared" si="166"/>
        <v>66854.542297984051</v>
      </c>
      <c r="BQ48" s="1467">
        <f t="shared" si="166"/>
        <v>53483.633838386973</v>
      </c>
      <c r="BR48" s="1467">
        <f t="shared" si="166"/>
        <v>42786.90707070916</v>
      </c>
      <c r="BS48" s="1467">
        <f t="shared" si="166"/>
        <v>34229.525656566911</v>
      </c>
      <c r="BT48" s="1467">
        <f t="shared" si="166"/>
        <v>27383.620525252962</v>
      </c>
      <c r="BU48" s="1467">
        <f t="shared" si="166"/>
        <v>21906.896420201803</v>
      </c>
      <c r="BV48" s="1478"/>
    </row>
    <row r="49" spans="1:74" x14ac:dyDescent="0.2">
      <c r="A49" s="927" t="str">
        <f t="shared" si="163"/>
        <v>Wheat Integrated (Starch).Accelerated</v>
      </c>
      <c r="B49" s="1076"/>
      <c r="C49" s="1076" t="str">
        <f t="shared" si="161"/>
        <v>Wheat Integrated (Starch)</v>
      </c>
      <c r="D49" s="1076" t="str">
        <f>Assumptions!$AH$82</f>
        <v>Accelerated</v>
      </c>
      <c r="E49" s="1076" t="str">
        <f>'Wheat Integrated (Starch)'!H260</f>
        <v>Cogeneration Plant</v>
      </c>
      <c r="F49" s="1467">
        <f>SUM('Wheat Integrated (Starch)'!J260:K260)*1000000</f>
        <v>10000000</v>
      </c>
      <c r="G49" s="1467">
        <f t="shared" si="154"/>
        <v>12375000</v>
      </c>
      <c r="H49" s="1467">
        <f t="shared" si="155"/>
        <v>13612500.000000002</v>
      </c>
      <c r="I49" s="1467">
        <f t="shared" si="156"/>
        <v>13612500.000000002</v>
      </c>
      <c r="J49" s="1076">
        <f t="shared" si="162"/>
        <v>0.2</v>
      </c>
      <c r="K49" s="1107"/>
      <c r="L49" s="1467">
        <f t="shared" si="157"/>
        <v>2722500.0000000005</v>
      </c>
      <c r="M49" s="1467">
        <f>($I49-SUM($L49:L49))*$J49</f>
        <v>2178000.0000000005</v>
      </c>
      <c r="N49" s="1467">
        <f>($I49-SUM($L49:M49))*$J49</f>
        <v>1742400</v>
      </c>
      <c r="O49" s="1467">
        <f>($I49-SUM($L49:N49))*$J49</f>
        <v>1393920.0000000002</v>
      </c>
      <c r="P49" s="1467">
        <f>($I49-SUM($L49:O49))*$J49</f>
        <v>1115136.0000000002</v>
      </c>
      <c r="Q49" s="1467">
        <f>($I49-SUM($L49:P49))*$J49</f>
        <v>892108.80000000005</v>
      </c>
      <c r="R49" s="1467">
        <f>($I49-SUM($L49:Q49))*$J49</f>
        <v>713687.03999999992</v>
      </c>
      <c r="S49" s="1467">
        <f>($I49-SUM($L49:R49))*$J49</f>
        <v>570949.6320000001</v>
      </c>
      <c r="T49" s="1467">
        <f>($I49-SUM($L49:S49))*$J49</f>
        <v>456759.70560000022</v>
      </c>
      <c r="U49" s="1467">
        <f>($I49-SUM($L49:T49))*$J49</f>
        <v>365407.76448000001</v>
      </c>
      <c r="V49" s="1467">
        <f>($I49-SUM($L49:U49))*$J49</f>
        <v>292326.21158399992</v>
      </c>
      <c r="W49" s="1467">
        <f>($I49-SUM($L49:V49))*$J49</f>
        <v>233860.96926719995</v>
      </c>
      <c r="X49" s="1467">
        <f>($I49-SUM($L49:W49))*$J49</f>
        <v>187088.77541375981</v>
      </c>
      <c r="Y49" s="1467">
        <f>($I49-SUM($L49:X49))*$J49</f>
        <v>149671.02033100798</v>
      </c>
      <c r="Z49" s="1467">
        <f>($I49-SUM($L49:Y49))*$J49</f>
        <v>119736.81626480632</v>
      </c>
      <c r="AA49" s="1467">
        <f>($I49-SUM($L49:Z49))*$J49</f>
        <v>95789.453011845064</v>
      </c>
      <c r="AB49" s="1467">
        <f>($I49-SUM($L49:AA49))*$J49</f>
        <v>76631.562409476188</v>
      </c>
      <c r="AC49" s="1467">
        <f>($I49-SUM($L49:AB49))*$J49</f>
        <v>61305.249927581106</v>
      </c>
      <c r="AD49" s="1467">
        <f>($I49-SUM($L49:AC49))*$J49</f>
        <v>49044.199942065032</v>
      </c>
      <c r="AE49" s="1467">
        <f>($I49-SUM($L49:AD49))*$J49</f>
        <v>39235.359953651954</v>
      </c>
      <c r="AF49" s="1467">
        <f>($I49-SUM($L49:AE49))*$J49</f>
        <v>31388.28796292171</v>
      </c>
      <c r="AG49" s="1467">
        <f>($I49-SUM($L49:AF49))*$J49</f>
        <v>25110.630370337516</v>
      </c>
      <c r="AH49" s="1467">
        <f>($I49-SUM($L49:AG49))*$J49</f>
        <v>20088.504296270014</v>
      </c>
      <c r="AI49" s="1467">
        <f>($I49-SUM($L49:AH49))*$J49</f>
        <v>16070.80343701616</v>
      </c>
      <c r="AJ49" s="1467">
        <f>($I49-SUM($L49:AI49))*$J49</f>
        <v>12856.64274961278</v>
      </c>
      <c r="AK49" s="1467">
        <f>($I49-SUM($L49:AJ49))*$J49</f>
        <v>10285.314199690149</v>
      </c>
      <c r="AL49" s="1467">
        <f>($I49-SUM($L49:AK49))*$J49</f>
        <v>8228.2513597521938</v>
      </c>
      <c r="AM49" s="1467">
        <f>($I49-SUM($L49:AL49))*$J49</f>
        <v>6582.6010878019042</v>
      </c>
      <c r="AN49" s="1467">
        <f>($I49-SUM($L49:AM49))*$J49</f>
        <v>5266.0808702416725</v>
      </c>
      <c r="AO49" s="1467">
        <f>($I49-SUM($L49:AN49))*$J49</f>
        <v>4212.8646961934865</v>
      </c>
      <c r="AP49" s="1468">
        <f t="shared" si="164"/>
        <v>13595648.541215228</v>
      </c>
      <c r="AQ49" s="1478"/>
      <c r="AR49" s="1467">
        <f t="shared" si="165"/>
        <v>10890000.000000002</v>
      </c>
      <c r="AS49" s="1467">
        <f t="shared" si="166"/>
        <v>8712000.0000000019</v>
      </c>
      <c r="AT49" s="1467">
        <f t="shared" si="166"/>
        <v>6969600.0000000019</v>
      </c>
      <c r="AU49" s="1467">
        <f t="shared" si="166"/>
        <v>5575680.0000000019</v>
      </c>
      <c r="AV49" s="1467">
        <f t="shared" si="166"/>
        <v>4460544.0000000019</v>
      </c>
      <c r="AW49" s="1467">
        <f t="shared" si="166"/>
        <v>3568435.200000002</v>
      </c>
      <c r="AX49" s="1467">
        <f t="shared" si="166"/>
        <v>2854748.160000002</v>
      </c>
      <c r="AY49" s="1467">
        <f t="shared" si="166"/>
        <v>2283798.5280000018</v>
      </c>
      <c r="AZ49" s="1467">
        <f t="shared" si="166"/>
        <v>1827038.8224000016</v>
      </c>
      <c r="BA49" s="1467">
        <f t="shared" si="166"/>
        <v>1461631.0579200014</v>
      </c>
      <c r="BB49" s="1467">
        <f t="shared" si="166"/>
        <v>1169304.8463360015</v>
      </c>
      <c r="BC49" s="1467">
        <f t="shared" si="166"/>
        <v>935443.87706880155</v>
      </c>
      <c r="BD49" s="1467">
        <f t="shared" si="166"/>
        <v>748355.1016550418</v>
      </c>
      <c r="BE49" s="1467">
        <f t="shared" si="166"/>
        <v>598684.08132403379</v>
      </c>
      <c r="BF49" s="1467">
        <f t="shared" si="166"/>
        <v>478947.26505922747</v>
      </c>
      <c r="BG49" s="1467">
        <f t="shared" si="166"/>
        <v>383157.81204738241</v>
      </c>
      <c r="BH49" s="1467">
        <f t="shared" si="166"/>
        <v>306526.24963790621</v>
      </c>
      <c r="BI49" s="1467">
        <f t="shared" si="166"/>
        <v>245220.99971032509</v>
      </c>
      <c r="BJ49" s="1467">
        <f t="shared" si="166"/>
        <v>196176.79976826007</v>
      </c>
      <c r="BK49" s="1467">
        <f t="shared" si="166"/>
        <v>156941.43981460811</v>
      </c>
      <c r="BL49" s="1467">
        <f t="shared" si="166"/>
        <v>125553.1518516864</v>
      </c>
      <c r="BM49" s="1467">
        <f t="shared" si="166"/>
        <v>100442.52148134889</v>
      </c>
      <c r="BN49" s="1467">
        <f t="shared" si="166"/>
        <v>80354.017185078876</v>
      </c>
      <c r="BO49" s="1467">
        <f t="shared" si="166"/>
        <v>64283.213748062713</v>
      </c>
      <c r="BP49" s="1467">
        <f t="shared" si="166"/>
        <v>51426.570998449934</v>
      </c>
      <c r="BQ49" s="1467">
        <f t="shared" si="166"/>
        <v>41141.256798759787</v>
      </c>
      <c r="BR49" s="1467">
        <f t="shared" si="166"/>
        <v>32913.005439007597</v>
      </c>
      <c r="BS49" s="1467">
        <f t="shared" si="166"/>
        <v>26330.404351205692</v>
      </c>
      <c r="BT49" s="1467">
        <f t="shared" si="166"/>
        <v>21064.32348096402</v>
      </c>
      <c r="BU49" s="1467">
        <f t="shared" si="166"/>
        <v>16851.458784770533</v>
      </c>
      <c r="BV49" s="1478"/>
    </row>
    <row r="50" spans="1:74" x14ac:dyDescent="0.2">
      <c r="A50" s="927" t="str">
        <f t="shared" si="163"/>
        <v>Wheat Integrated (Starch).Accelerated</v>
      </c>
      <c r="B50" s="1076"/>
      <c r="C50" s="1168" t="str">
        <f t="shared" si="161"/>
        <v>Wheat Integrated (Starch)</v>
      </c>
      <c r="D50" s="1168" t="str">
        <f>Assumptions!$AH$82</f>
        <v>Accelerated</v>
      </c>
      <c r="E50" s="1168" t="str">
        <f>'Wheat Integrated (Starch)'!H261</f>
        <v>Non-process buildings</v>
      </c>
      <c r="F50" s="1469">
        <f>SUM('Wheat Integrated (Starch)'!J261:K261)*1000000</f>
        <v>5000000</v>
      </c>
      <c r="G50" s="1469">
        <f t="shared" si="154"/>
        <v>6187500</v>
      </c>
      <c r="H50" s="1469">
        <f t="shared" si="155"/>
        <v>6806250.0000000009</v>
      </c>
      <c r="I50" s="1469">
        <f t="shared" si="156"/>
        <v>6806250.0000000009</v>
      </c>
      <c r="J50" s="1168">
        <f t="shared" si="162"/>
        <v>0.2</v>
      </c>
      <c r="K50" s="1107"/>
      <c r="L50" s="1467">
        <f t="shared" si="157"/>
        <v>1361250.0000000002</v>
      </c>
      <c r="M50" s="1467">
        <f>($I50-SUM($L50:L50))*$J50</f>
        <v>1089000.0000000002</v>
      </c>
      <c r="N50" s="1467">
        <f>($I50-SUM($L50:M50))*$J50</f>
        <v>871200</v>
      </c>
      <c r="O50" s="1467">
        <f>($I50-SUM($L50:N50))*$J50</f>
        <v>696960.00000000012</v>
      </c>
      <c r="P50" s="1467">
        <f>($I50-SUM($L50:O50))*$J50</f>
        <v>557568.00000000012</v>
      </c>
      <c r="Q50" s="1467">
        <f>($I50-SUM($L50:P50))*$J50</f>
        <v>446054.40000000002</v>
      </c>
      <c r="R50" s="1467">
        <f>($I50-SUM($L50:Q50))*$J50</f>
        <v>356843.51999999996</v>
      </c>
      <c r="S50" s="1467">
        <f>($I50-SUM($L50:R50))*$J50</f>
        <v>285474.81600000005</v>
      </c>
      <c r="T50" s="1467">
        <f>($I50-SUM($L50:S50))*$J50</f>
        <v>228379.85280000011</v>
      </c>
      <c r="U50" s="1467">
        <f>($I50-SUM($L50:T50))*$J50</f>
        <v>182703.88224000001</v>
      </c>
      <c r="V50" s="1467">
        <f>($I50-SUM($L50:U50))*$J50</f>
        <v>146163.10579199996</v>
      </c>
      <c r="W50" s="1467">
        <f>($I50-SUM($L50:V50))*$J50</f>
        <v>116930.48463359998</v>
      </c>
      <c r="X50" s="1467">
        <f>($I50-SUM($L50:W50))*$J50</f>
        <v>93544.387706879905</v>
      </c>
      <c r="Y50" s="1467">
        <f>($I50-SUM($L50:X50))*$J50</f>
        <v>74835.510165503991</v>
      </c>
      <c r="Z50" s="1467">
        <f>($I50-SUM($L50:Y50))*$J50</f>
        <v>59868.408132403158</v>
      </c>
      <c r="AA50" s="1467">
        <f>($I50-SUM($L50:Z50))*$J50</f>
        <v>47894.726505922532</v>
      </c>
      <c r="AB50" s="1467">
        <f>($I50-SUM($L50:AA50))*$J50</f>
        <v>38315.781204738094</v>
      </c>
      <c r="AC50" s="1467">
        <f>($I50-SUM($L50:AB50))*$J50</f>
        <v>30652.624963790553</v>
      </c>
      <c r="AD50" s="1467">
        <f>($I50-SUM($L50:AC50))*$J50</f>
        <v>24522.099971032516</v>
      </c>
      <c r="AE50" s="1467">
        <f>($I50-SUM($L50:AD50))*$J50</f>
        <v>19617.679976825977</v>
      </c>
      <c r="AF50" s="1467">
        <f>($I50-SUM($L50:AE50))*$J50</f>
        <v>15694.143981460855</v>
      </c>
      <c r="AG50" s="1467">
        <f>($I50-SUM($L50:AF50))*$J50</f>
        <v>12555.315185168758</v>
      </c>
      <c r="AH50" s="1467">
        <f>($I50-SUM($L50:AG50))*$J50</f>
        <v>10044.252148135007</v>
      </c>
      <c r="AI50" s="1467">
        <f>($I50-SUM($L50:AH50))*$J50</f>
        <v>8035.4017185080802</v>
      </c>
      <c r="AJ50" s="1467">
        <f>($I50-SUM($L50:AI50))*$J50</f>
        <v>6428.3213748063899</v>
      </c>
      <c r="AK50" s="1467">
        <f>($I50-SUM($L50:AJ50))*$J50</f>
        <v>5142.6570998450743</v>
      </c>
      <c r="AL50" s="1467">
        <f>($I50-SUM($L50:AK50))*$J50</f>
        <v>4114.1256798760969</v>
      </c>
      <c r="AM50" s="1467">
        <f>($I50-SUM($L50:AL50))*$J50</f>
        <v>3291.3005439009521</v>
      </c>
      <c r="AN50" s="1467">
        <f>($I50-SUM($L50:AM50))*$J50</f>
        <v>2633.0404351208363</v>
      </c>
      <c r="AO50" s="1467">
        <f>($I50-SUM($L50:AN50))*$J50</f>
        <v>2106.4323480967432</v>
      </c>
      <c r="AP50" s="1468">
        <f t="shared" si="164"/>
        <v>6797824.270607614</v>
      </c>
      <c r="AQ50" s="1478"/>
      <c r="AR50" s="1467">
        <f t="shared" si="165"/>
        <v>5445000.0000000009</v>
      </c>
      <c r="AS50" s="1467">
        <f t="shared" si="166"/>
        <v>4356000.0000000009</v>
      </c>
      <c r="AT50" s="1467">
        <f t="shared" si="166"/>
        <v>3484800.0000000009</v>
      </c>
      <c r="AU50" s="1467">
        <f t="shared" si="166"/>
        <v>2787840.0000000009</v>
      </c>
      <c r="AV50" s="1467">
        <f t="shared" si="166"/>
        <v>2230272.0000000009</v>
      </c>
      <c r="AW50" s="1467">
        <f t="shared" si="166"/>
        <v>1784217.600000001</v>
      </c>
      <c r="AX50" s="1467">
        <f t="shared" si="166"/>
        <v>1427374.080000001</v>
      </c>
      <c r="AY50" s="1467">
        <f t="shared" si="166"/>
        <v>1141899.2640000009</v>
      </c>
      <c r="AZ50" s="1467">
        <f t="shared" si="166"/>
        <v>913519.41120000079</v>
      </c>
      <c r="BA50" s="1467">
        <f t="shared" si="166"/>
        <v>730815.52896000072</v>
      </c>
      <c r="BB50" s="1467">
        <f t="shared" si="166"/>
        <v>584652.42316800077</v>
      </c>
      <c r="BC50" s="1467">
        <f t="shared" si="166"/>
        <v>467721.93853440078</v>
      </c>
      <c r="BD50" s="1467">
        <f t="shared" si="166"/>
        <v>374177.5508275209</v>
      </c>
      <c r="BE50" s="1467">
        <f t="shared" si="166"/>
        <v>299342.04066201689</v>
      </c>
      <c r="BF50" s="1467">
        <f t="shared" si="166"/>
        <v>239473.63252961374</v>
      </c>
      <c r="BG50" s="1467">
        <f t="shared" si="166"/>
        <v>191578.9060236912</v>
      </c>
      <c r="BH50" s="1467">
        <f t="shared" si="166"/>
        <v>153263.1248189531</v>
      </c>
      <c r="BI50" s="1467">
        <f t="shared" si="166"/>
        <v>122610.49985516255</v>
      </c>
      <c r="BJ50" s="1467">
        <f t="shared" si="166"/>
        <v>98088.399884130034</v>
      </c>
      <c r="BK50" s="1467">
        <f t="shared" si="166"/>
        <v>78470.719907304054</v>
      </c>
      <c r="BL50" s="1467">
        <f t="shared" si="166"/>
        <v>62776.575925843201</v>
      </c>
      <c r="BM50" s="1467">
        <f t="shared" si="166"/>
        <v>50221.260740674443</v>
      </c>
      <c r="BN50" s="1467">
        <f t="shared" si="166"/>
        <v>40177.008592539438</v>
      </c>
      <c r="BO50" s="1467">
        <f t="shared" si="166"/>
        <v>32141.606874031357</v>
      </c>
      <c r="BP50" s="1467">
        <f t="shared" si="166"/>
        <v>25713.285499224967</v>
      </c>
      <c r="BQ50" s="1467">
        <f t="shared" si="166"/>
        <v>20570.628399379893</v>
      </c>
      <c r="BR50" s="1467">
        <f t="shared" si="166"/>
        <v>16456.502719503798</v>
      </c>
      <c r="BS50" s="1467">
        <f t="shared" si="166"/>
        <v>13165.202175602846</v>
      </c>
      <c r="BT50" s="1467">
        <f t="shared" si="166"/>
        <v>10532.16174048201</v>
      </c>
      <c r="BU50" s="1467">
        <f t="shared" si="166"/>
        <v>8425.7293923852667</v>
      </c>
      <c r="BV50" s="1478"/>
    </row>
    <row r="51" spans="1:74" x14ac:dyDescent="0.2">
      <c r="A51" s="927" t="str">
        <f t="shared" si="153"/>
        <v>Wheat Integrated (Starch).Accelerated</v>
      </c>
      <c r="C51" s="1470" t="str">
        <f t="shared" si="161"/>
        <v>Wheat Integrated (Starch)</v>
      </c>
      <c r="D51" s="1470" t="str">
        <f>Assumptions!$AH$82</f>
        <v>Accelerated</v>
      </c>
      <c r="E51" s="1470" t="s">
        <v>995</v>
      </c>
      <c r="F51" s="1470"/>
      <c r="G51" s="1471">
        <f>SUM('Wheat Integrated (Starch)'!J264:K265)*10^6</f>
        <v>15000000</v>
      </c>
      <c r="H51" s="1471">
        <f t="shared" si="155"/>
        <v>16500000.000000002</v>
      </c>
      <c r="I51" s="1471">
        <f t="shared" si="156"/>
        <v>16500000.000000002</v>
      </c>
      <c r="J51" s="1475">
        <f t="shared" si="162"/>
        <v>0.2</v>
      </c>
      <c r="K51" s="1107"/>
      <c r="L51" s="1467">
        <f t="shared" si="157"/>
        <v>3300000.0000000005</v>
      </c>
      <c r="M51" s="1467">
        <f>($I51-SUM($L51:L51))*$J51</f>
        <v>2640000.0000000005</v>
      </c>
      <c r="N51" s="1467">
        <f>($I51-SUM($L51:M51))*$J51</f>
        <v>2112000</v>
      </c>
      <c r="O51" s="1467">
        <f>($I51-SUM($L51:N51))*$J51</f>
        <v>1689600</v>
      </c>
      <c r="P51" s="1467">
        <f>($I51-SUM($L51:O51))*$J51</f>
        <v>1351680.0000000005</v>
      </c>
      <c r="Q51" s="1467">
        <f>($I51-SUM($L51:P51))*$J51</f>
        <v>1081344.0000000005</v>
      </c>
      <c r="R51" s="1467">
        <f>($I51-SUM($L51:Q51))*$J51</f>
        <v>865075.20000000042</v>
      </c>
      <c r="S51" s="1467">
        <f>($I51-SUM($L51:R51))*$J51</f>
        <v>692060.16000000015</v>
      </c>
      <c r="T51" s="1467">
        <f>($I51-SUM($L51:S51))*$J51</f>
        <v>553648.12800000014</v>
      </c>
      <c r="U51" s="1467">
        <f>($I51-SUM($L51:T51))*$J51</f>
        <v>442918.50240000006</v>
      </c>
      <c r="V51" s="1467">
        <f>($I51-SUM($L51:U51))*$J51</f>
        <v>354334.80192000011</v>
      </c>
      <c r="W51" s="1467">
        <f>($I51-SUM($L51:V51))*$J51</f>
        <v>283467.84153600002</v>
      </c>
      <c r="X51" s="1467">
        <f>($I51-SUM($L51:W51))*$J51</f>
        <v>226774.27322879992</v>
      </c>
      <c r="Y51" s="1467">
        <f>($I51-SUM($L51:X51))*$J51</f>
        <v>181419.41858303995</v>
      </c>
      <c r="Z51" s="1467">
        <f>($I51-SUM($L51:Y51))*$J51</f>
        <v>145135.53486643211</v>
      </c>
      <c r="AA51" s="1467">
        <f>($I51-SUM($L51:Z51))*$J51</f>
        <v>116108.42789314577</v>
      </c>
      <c r="AB51" s="1467">
        <f>($I51-SUM($L51:AA51))*$J51</f>
        <v>92886.742314516756</v>
      </c>
      <c r="AC51" s="1467">
        <f>($I51-SUM($L51:AB51))*$J51</f>
        <v>74309.393851613262</v>
      </c>
      <c r="AD51" s="1467">
        <f>($I51-SUM($L51:AC51))*$J51</f>
        <v>59447.515081290534</v>
      </c>
      <c r="AE51" s="1467">
        <f>($I51-SUM($L51:AD51))*$J51</f>
        <v>47558.012065032497</v>
      </c>
      <c r="AF51" s="1467">
        <f>($I51-SUM($L51:AE51))*$J51</f>
        <v>38046.409652025999</v>
      </c>
      <c r="AG51" s="1467">
        <f>($I51-SUM($L51:AF51))*$J51</f>
        <v>30437.127721620724</v>
      </c>
      <c r="AH51" s="1467">
        <f>($I51-SUM($L51:AG51))*$J51</f>
        <v>24349.702177296582</v>
      </c>
      <c r="AI51" s="1467">
        <f>($I51-SUM($L51:AH51))*$J51</f>
        <v>19479.761741837116</v>
      </c>
      <c r="AJ51" s="1467">
        <f>($I51-SUM($L51:AI51))*$J51</f>
        <v>15583.809393469617</v>
      </c>
      <c r="AK51" s="1467">
        <f>($I51-SUM($L51:AJ51))*$J51</f>
        <v>12467.047514775768</v>
      </c>
      <c r="AL51" s="1467">
        <f>($I51-SUM($L51:AK51))*$J51</f>
        <v>9973.6380118206143</v>
      </c>
      <c r="AM51" s="1467">
        <f>($I51-SUM($L51:AL51))*$J51</f>
        <v>7978.9104094564918</v>
      </c>
      <c r="AN51" s="1467">
        <f>($I51-SUM($L51:AM51))*$J51</f>
        <v>6383.1283275652677</v>
      </c>
      <c r="AO51" s="1467">
        <f>($I51-SUM($L51:AN51))*$J51</f>
        <v>5106.5026620522149</v>
      </c>
      <c r="AP51" s="1468">
        <f t="shared" ref="AP51" si="167">SUM(L51:AO51)</f>
        <v>16479573.989351792</v>
      </c>
      <c r="AQ51" s="1478"/>
      <c r="AR51" s="1467">
        <f t="shared" ref="AR51" si="168">I51-L51</f>
        <v>13200000.000000002</v>
      </c>
      <c r="AS51" s="1467">
        <f t="shared" ref="AS51" si="169">AR51-M51</f>
        <v>10560000.000000002</v>
      </c>
      <c r="AT51" s="1467">
        <f t="shared" ref="AT51" si="170">AS51-N51</f>
        <v>8448000.0000000019</v>
      </c>
      <c r="AU51" s="1467">
        <f t="shared" ref="AU51" si="171">AT51-O51</f>
        <v>6758400.0000000019</v>
      </c>
      <c r="AV51" s="1467">
        <f t="shared" ref="AV51" si="172">AU51-P51</f>
        <v>5406720.0000000019</v>
      </c>
      <c r="AW51" s="1467">
        <f t="shared" ref="AW51" si="173">AV51-Q51</f>
        <v>4325376.0000000019</v>
      </c>
      <c r="AX51" s="1467">
        <f t="shared" ref="AX51" si="174">AW51-R51</f>
        <v>3460300.8000000017</v>
      </c>
      <c r="AY51" s="1467">
        <f t="shared" ref="AY51" si="175">AX51-S51</f>
        <v>2768240.6400000015</v>
      </c>
      <c r="AZ51" s="1467">
        <f t="shared" ref="AZ51" si="176">AY51-T51</f>
        <v>2214592.5120000015</v>
      </c>
      <c r="BA51" s="1467">
        <f t="shared" ref="BA51" si="177">AZ51-U51</f>
        <v>1771674.0096000014</v>
      </c>
      <c r="BB51" s="1467">
        <f t="shared" ref="BB51" si="178">BA51-V51</f>
        <v>1417339.2076800014</v>
      </c>
      <c r="BC51" s="1467">
        <f t="shared" ref="BC51" si="179">BB51-W51</f>
        <v>1133871.3661440015</v>
      </c>
      <c r="BD51" s="1467">
        <f t="shared" ref="BD51" si="180">BC51-X51</f>
        <v>907097.09291520156</v>
      </c>
      <c r="BE51" s="1467">
        <f t="shared" ref="BE51" si="181">BD51-Y51</f>
        <v>725677.67433216167</v>
      </c>
      <c r="BF51" s="1467">
        <f t="shared" ref="BF51" si="182">BE51-Z51</f>
        <v>580542.13946572959</v>
      </c>
      <c r="BG51" s="1467">
        <f t="shared" ref="BG51" si="183">BF51-AA51</f>
        <v>464433.71157258382</v>
      </c>
      <c r="BH51" s="1467">
        <f t="shared" ref="BH51" si="184">BG51-AB51</f>
        <v>371546.96925806708</v>
      </c>
      <c r="BI51" s="1467">
        <f t="shared" ref="BI51" si="185">BH51-AC51</f>
        <v>297237.57540645381</v>
      </c>
      <c r="BJ51" s="1467">
        <f t="shared" ref="BJ51" si="186">BI51-AD51</f>
        <v>237790.06032516327</v>
      </c>
      <c r="BK51" s="1467">
        <f t="shared" ref="BK51" si="187">BJ51-AE51</f>
        <v>190232.04826013077</v>
      </c>
      <c r="BL51" s="1467">
        <f t="shared" ref="BL51" si="188">BK51-AF51</f>
        <v>152185.63860810478</v>
      </c>
      <c r="BM51" s="1467">
        <f t="shared" ref="BM51" si="189">BL51-AG51</f>
        <v>121748.51088648406</v>
      </c>
      <c r="BN51" s="1467">
        <f t="shared" ref="BN51" si="190">BM51-AH51</f>
        <v>97398.808709187477</v>
      </c>
      <c r="BO51" s="1467">
        <f t="shared" ref="BO51" si="191">BN51-AI51</f>
        <v>77919.046967350354</v>
      </c>
      <c r="BP51" s="1467">
        <f t="shared" ref="BP51" si="192">BO51-AJ51</f>
        <v>62335.237573880739</v>
      </c>
      <c r="BQ51" s="1467">
        <f t="shared" ref="BQ51" si="193">BP51-AK51</f>
        <v>49868.190059104971</v>
      </c>
      <c r="BR51" s="1467">
        <f t="shared" ref="BR51" si="194">BQ51-AL51</f>
        <v>39894.552047284356</v>
      </c>
      <c r="BS51" s="1467">
        <f t="shared" ref="BS51" si="195">BR51-AM51</f>
        <v>31915.641637827866</v>
      </c>
      <c r="BT51" s="1467">
        <f t="shared" ref="BT51" si="196">BS51-AN51</f>
        <v>25532.513310262599</v>
      </c>
      <c r="BU51" s="1467">
        <f t="shared" ref="BU51" si="197">BT51-AO51</f>
        <v>20426.010648210384</v>
      </c>
      <c r="BV51" s="1478"/>
    </row>
    <row r="52" spans="1:74" x14ac:dyDescent="0.2">
      <c r="A52" s="927" t="str">
        <f t="shared" si="153"/>
        <v>.</v>
      </c>
      <c r="B52" s="1297" t="str">
        <f>Assumptions!$AH$81</f>
        <v>Straight-Line</v>
      </c>
      <c r="C52" s="1107"/>
      <c r="D52" s="1107"/>
      <c r="E52" s="1107"/>
      <c r="F52" s="1107"/>
      <c r="G52" s="1107">
        <f t="shared" si="154"/>
        <v>0</v>
      </c>
      <c r="H52" s="1107">
        <f t="shared" si="155"/>
        <v>0</v>
      </c>
      <c r="I52" s="1107">
        <f t="shared" si="156"/>
        <v>0</v>
      </c>
      <c r="J52" s="1472">
        <f>IFERROR(INDEX(Assumptions!$AI$82:$AI$164,MATCH(Depreciation!$D52,Assumptions!$AH$81:$AH$163,0)),0)</f>
        <v>0</v>
      </c>
      <c r="K52" s="1107"/>
      <c r="L52" s="1107">
        <f t="shared" si="157"/>
        <v>0</v>
      </c>
      <c r="M52" s="1107">
        <f t="shared" ref="M52" si="198">L52*$J52</f>
        <v>0</v>
      </c>
      <c r="N52" s="1107"/>
      <c r="O52" s="1107"/>
      <c r="P52" s="1107"/>
      <c r="Q52" s="1107"/>
      <c r="R52" s="1107"/>
      <c r="S52" s="1107"/>
      <c r="T52" s="1107"/>
      <c r="U52" s="1107"/>
      <c r="V52" s="1107"/>
      <c r="W52" s="1107"/>
      <c r="X52" s="1107"/>
      <c r="Y52" s="1107"/>
      <c r="Z52" s="1107"/>
      <c r="AA52" s="1107"/>
      <c r="AB52" s="1107"/>
      <c r="AC52" s="1107"/>
      <c r="AD52" s="1107"/>
      <c r="AE52" s="1107"/>
      <c r="AF52" s="1107"/>
      <c r="AG52" s="1107"/>
      <c r="AH52" s="1107"/>
      <c r="AI52" s="1107"/>
      <c r="AJ52" s="1107"/>
      <c r="AK52" s="1107"/>
      <c r="AL52" s="1107"/>
      <c r="AM52" s="1107"/>
      <c r="AN52" s="1107"/>
      <c r="AO52" s="1107"/>
      <c r="AP52" s="1107">
        <f t="shared" si="158"/>
        <v>0</v>
      </c>
      <c r="AQ52" s="1478"/>
      <c r="AR52" s="1297">
        <f t="shared" si="159"/>
        <v>0</v>
      </c>
      <c r="AS52" s="1297">
        <f t="shared" si="160"/>
        <v>0</v>
      </c>
      <c r="AT52" s="1297">
        <f t="shared" si="152"/>
        <v>0</v>
      </c>
      <c r="AU52" s="1297">
        <f t="shared" si="152"/>
        <v>0</v>
      </c>
      <c r="AV52" s="1297">
        <f t="shared" si="152"/>
        <v>0</v>
      </c>
      <c r="AW52" s="1297">
        <f t="shared" ref="AW52:AW58" si="199">AV52-Q52</f>
        <v>0</v>
      </c>
      <c r="AX52" s="1297">
        <f t="shared" ref="AX52:AX58" si="200">AW52-R52</f>
        <v>0</v>
      </c>
      <c r="AY52" s="1297">
        <f t="shared" ref="AY52:AY58" si="201">AX52-S52</f>
        <v>0</v>
      </c>
      <c r="AZ52" s="1297">
        <f t="shared" ref="AZ52:AZ58" si="202">AY52-T52</f>
        <v>0</v>
      </c>
      <c r="BA52" s="1297">
        <f t="shared" ref="BA52:BA58" si="203">AZ52-U52</f>
        <v>0</v>
      </c>
      <c r="BB52" s="1297">
        <f t="shared" ref="BB52:BB58" si="204">BA52-V52</f>
        <v>0</v>
      </c>
      <c r="BC52" s="1297">
        <f t="shared" ref="BC52:BC58" si="205">BB52-W52</f>
        <v>0</v>
      </c>
      <c r="BD52" s="1297">
        <f t="shared" ref="BD52:BD58" si="206">BC52-X52</f>
        <v>0</v>
      </c>
      <c r="BE52" s="1297">
        <f t="shared" ref="BE52:BE58" si="207">BD52-Y52</f>
        <v>0</v>
      </c>
      <c r="BF52" s="1297">
        <f t="shared" ref="BF52:BF58" si="208">BE52-Z52</f>
        <v>0</v>
      </c>
      <c r="BG52" s="1297">
        <f t="shared" ref="BG52:BG58" si="209">BF52-AA52</f>
        <v>0</v>
      </c>
      <c r="BH52" s="1297">
        <f t="shared" ref="BH52:BH58" si="210">BG52-AB52</f>
        <v>0</v>
      </c>
      <c r="BI52" s="1297">
        <f t="shared" ref="BI52:BI58" si="211">BH52-AC52</f>
        <v>0</v>
      </c>
      <c r="BJ52" s="1297">
        <f t="shared" ref="BJ52:BJ58" si="212">BI52-AD52</f>
        <v>0</v>
      </c>
      <c r="BK52" s="1297">
        <f t="shared" ref="BK52:BK58" si="213">BJ52-AE52</f>
        <v>0</v>
      </c>
      <c r="BL52" s="1297">
        <f t="shared" ref="BL52:BL58" si="214">BK52-AF52</f>
        <v>0</v>
      </c>
      <c r="BM52" s="1297">
        <f t="shared" ref="BM52:BM58" si="215">BL52-AG52</f>
        <v>0</v>
      </c>
      <c r="BN52" s="1297">
        <f t="shared" ref="BN52:BN58" si="216">BM52-AH52</f>
        <v>0</v>
      </c>
      <c r="BO52" s="1297">
        <f t="shared" ref="BO52:BO58" si="217">BN52-AI52</f>
        <v>0</v>
      </c>
      <c r="BP52" s="1297">
        <f t="shared" ref="BP52:BP58" si="218">BO52-AJ52</f>
        <v>0</v>
      </c>
      <c r="BQ52" s="1297">
        <f t="shared" ref="BQ52:BQ58" si="219">BP52-AK52</f>
        <v>0</v>
      </c>
      <c r="BR52" s="1297">
        <f t="shared" ref="BR52:BR58" si="220">BQ52-AL52</f>
        <v>0</v>
      </c>
      <c r="BS52" s="1297">
        <f t="shared" ref="BS52:BS58" si="221">BR52-AM52</f>
        <v>0</v>
      </c>
      <c r="BT52" s="1297">
        <f t="shared" ref="BT52:BT58" si="222">BS52-AN52</f>
        <v>0</v>
      </c>
      <c r="BU52" s="1297">
        <f t="shared" ref="BU52:BU58" si="223">BT52-AO52</f>
        <v>0</v>
      </c>
      <c r="BV52" s="1478"/>
    </row>
    <row r="53" spans="1:74" x14ac:dyDescent="0.2">
      <c r="A53" s="927" t="str">
        <f t="shared" si="153"/>
        <v>Wheat Integrated (Starch).Straight-Line</v>
      </c>
      <c r="B53" s="1076"/>
      <c r="C53" s="1076" t="str">
        <f>C39</f>
        <v>Wheat Integrated (Starch)</v>
      </c>
      <c r="D53" s="1076" t="str">
        <f>Assumptions!$AH$81</f>
        <v>Straight-Line</v>
      </c>
      <c r="E53" s="1076" t="str">
        <f t="shared" ref="E53:F60" si="224">E39</f>
        <v>Stockpile</v>
      </c>
      <c r="F53" s="1467">
        <f t="shared" si="224"/>
        <v>0</v>
      </c>
      <c r="G53" s="1467">
        <f t="shared" si="154"/>
        <v>0</v>
      </c>
      <c r="H53" s="1467">
        <f t="shared" si="155"/>
        <v>0</v>
      </c>
      <c r="I53" s="1467">
        <f t="shared" si="156"/>
        <v>0</v>
      </c>
      <c r="J53" s="1161">
        <f>Assumptions!$N$53</f>
        <v>3.3333333333333333E-2</v>
      </c>
      <c r="K53" s="1107"/>
      <c r="L53" s="1467">
        <f t="shared" si="157"/>
        <v>0</v>
      </c>
      <c r="M53" s="1467">
        <f t="shared" si="157"/>
        <v>0</v>
      </c>
      <c r="N53" s="1467">
        <f t="shared" si="157"/>
        <v>0</v>
      </c>
      <c r="O53" s="1467">
        <f t="shared" si="157"/>
        <v>0</v>
      </c>
      <c r="P53" s="1467">
        <f t="shared" si="157"/>
        <v>0</v>
      </c>
      <c r="Q53" s="1467">
        <f t="shared" si="157"/>
        <v>0</v>
      </c>
      <c r="R53" s="1467">
        <f t="shared" si="157"/>
        <v>0</v>
      </c>
      <c r="S53" s="1467">
        <f t="shared" si="157"/>
        <v>0</v>
      </c>
      <c r="T53" s="1467">
        <f t="shared" si="157"/>
        <v>0</v>
      </c>
      <c r="U53" s="1467">
        <f t="shared" si="157"/>
        <v>0</v>
      </c>
      <c r="V53" s="1467">
        <f t="shared" si="157"/>
        <v>0</v>
      </c>
      <c r="W53" s="1467">
        <f t="shared" si="157"/>
        <v>0</v>
      </c>
      <c r="X53" s="1467">
        <f t="shared" si="157"/>
        <v>0</v>
      </c>
      <c r="Y53" s="1467">
        <f t="shared" si="157"/>
        <v>0</v>
      </c>
      <c r="Z53" s="1467">
        <f t="shared" si="157"/>
        <v>0</v>
      </c>
      <c r="AA53" s="1467">
        <f t="shared" si="157"/>
        <v>0</v>
      </c>
      <c r="AB53" s="1467">
        <f t="shared" ref="AB53:AO65" si="225">$I53*$J53</f>
        <v>0</v>
      </c>
      <c r="AC53" s="1467">
        <f t="shared" si="225"/>
        <v>0</v>
      </c>
      <c r="AD53" s="1467">
        <f t="shared" si="225"/>
        <v>0</v>
      </c>
      <c r="AE53" s="1467">
        <f t="shared" si="225"/>
        <v>0</v>
      </c>
      <c r="AF53" s="1467">
        <f t="shared" si="225"/>
        <v>0</v>
      </c>
      <c r="AG53" s="1467">
        <f t="shared" si="225"/>
        <v>0</v>
      </c>
      <c r="AH53" s="1467">
        <f t="shared" si="225"/>
        <v>0</v>
      </c>
      <c r="AI53" s="1467">
        <f t="shared" si="225"/>
        <v>0</v>
      </c>
      <c r="AJ53" s="1467">
        <f t="shared" si="225"/>
        <v>0</v>
      </c>
      <c r="AK53" s="1467">
        <f t="shared" si="225"/>
        <v>0</v>
      </c>
      <c r="AL53" s="1467">
        <f t="shared" si="225"/>
        <v>0</v>
      </c>
      <c r="AM53" s="1467">
        <f t="shared" si="225"/>
        <v>0</v>
      </c>
      <c r="AN53" s="1467">
        <f t="shared" si="225"/>
        <v>0</v>
      </c>
      <c r="AO53" s="1467">
        <f t="shared" si="225"/>
        <v>0</v>
      </c>
      <c r="AP53" s="1468">
        <f t="shared" si="158"/>
        <v>0</v>
      </c>
      <c r="AQ53" s="1478"/>
      <c r="AR53" s="1467">
        <f t="shared" si="159"/>
        <v>0</v>
      </c>
      <c r="AS53" s="1467">
        <f t="shared" si="160"/>
        <v>0</v>
      </c>
      <c r="AT53" s="1467">
        <f t="shared" ref="AT53:AT58" si="226">AS53-N53</f>
        <v>0</v>
      </c>
      <c r="AU53" s="1467">
        <f t="shared" ref="AU53:AU58" si="227">AT53-O53</f>
        <v>0</v>
      </c>
      <c r="AV53" s="1467">
        <f t="shared" ref="AV53:AV58" si="228">AU53-P53</f>
        <v>0</v>
      </c>
      <c r="AW53" s="1467">
        <f t="shared" si="199"/>
        <v>0</v>
      </c>
      <c r="AX53" s="1467">
        <f t="shared" si="200"/>
        <v>0</v>
      </c>
      <c r="AY53" s="1467">
        <f t="shared" si="201"/>
        <v>0</v>
      </c>
      <c r="AZ53" s="1467">
        <f t="shared" si="202"/>
        <v>0</v>
      </c>
      <c r="BA53" s="1467">
        <f t="shared" si="203"/>
        <v>0</v>
      </c>
      <c r="BB53" s="1467">
        <f t="shared" si="204"/>
        <v>0</v>
      </c>
      <c r="BC53" s="1467">
        <f t="shared" si="205"/>
        <v>0</v>
      </c>
      <c r="BD53" s="1467">
        <f t="shared" si="206"/>
        <v>0</v>
      </c>
      <c r="BE53" s="1467">
        <f t="shared" si="207"/>
        <v>0</v>
      </c>
      <c r="BF53" s="1467">
        <f t="shared" si="208"/>
        <v>0</v>
      </c>
      <c r="BG53" s="1467">
        <f t="shared" si="209"/>
        <v>0</v>
      </c>
      <c r="BH53" s="1467">
        <f t="shared" si="210"/>
        <v>0</v>
      </c>
      <c r="BI53" s="1467">
        <f t="shared" si="211"/>
        <v>0</v>
      </c>
      <c r="BJ53" s="1467">
        <f t="shared" si="212"/>
        <v>0</v>
      </c>
      <c r="BK53" s="1467">
        <f t="shared" si="213"/>
        <v>0</v>
      </c>
      <c r="BL53" s="1467">
        <f t="shared" si="214"/>
        <v>0</v>
      </c>
      <c r="BM53" s="1467">
        <f t="shared" si="215"/>
        <v>0</v>
      </c>
      <c r="BN53" s="1467">
        <f t="shared" si="216"/>
        <v>0</v>
      </c>
      <c r="BO53" s="1467">
        <f t="shared" si="217"/>
        <v>0</v>
      </c>
      <c r="BP53" s="1467">
        <f t="shared" si="218"/>
        <v>0</v>
      </c>
      <c r="BQ53" s="1467">
        <f t="shared" si="219"/>
        <v>0</v>
      </c>
      <c r="BR53" s="1467">
        <f t="shared" si="220"/>
        <v>0</v>
      </c>
      <c r="BS53" s="1467">
        <f t="shared" si="221"/>
        <v>0</v>
      </c>
      <c r="BT53" s="1467">
        <f t="shared" si="222"/>
        <v>0</v>
      </c>
      <c r="BU53" s="1467">
        <f t="shared" si="223"/>
        <v>0</v>
      </c>
      <c r="BV53" s="1478"/>
    </row>
    <row r="54" spans="1:74" x14ac:dyDescent="0.2">
      <c r="A54" s="927" t="str">
        <f t="shared" si="153"/>
        <v>Wheat Integrated (Starch).Straight-Line</v>
      </c>
      <c r="B54" s="1076"/>
      <c r="C54" s="1076" t="str">
        <f t="shared" ref="C54:C65" si="229">C40</f>
        <v>Wheat Integrated (Starch)</v>
      </c>
      <c r="D54" s="1076" t="str">
        <f>Assumptions!$AH$81</f>
        <v>Straight-Line</v>
      </c>
      <c r="E54" s="1076" t="str">
        <f t="shared" si="224"/>
        <v>Dry Mill</v>
      </c>
      <c r="F54" s="1467">
        <f t="shared" si="224"/>
        <v>0</v>
      </c>
      <c r="G54" s="1467">
        <f t="shared" si="154"/>
        <v>0</v>
      </c>
      <c r="H54" s="1467">
        <f t="shared" si="155"/>
        <v>0</v>
      </c>
      <c r="I54" s="1467">
        <f t="shared" si="156"/>
        <v>0</v>
      </c>
      <c r="J54" s="1161">
        <f>J53</f>
        <v>3.3333333333333333E-2</v>
      </c>
      <c r="K54" s="1107"/>
      <c r="L54" s="1467">
        <f t="shared" si="157"/>
        <v>0</v>
      </c>
      <c r="M54" s="1467">
        <f t="shared" si="157"/>
        <v>0</v>
      </c>
      <c r="N54" s="1467">
        <f t="shared" si="157"/>
        <v>0</v>
      </c>
      <c r="O54" s="1467">
        <f t="shared" si="157"/>
        <v>0</v>
      </c>
      <c r="P54" s="1467">
        <f t="shared" si="157"/>
        <v>0</v>
      </c>
      <c r="Q54" s="1467">
        <f t="shared" si="157"/>
        <v>0</v>
      </c>
      <c r="R54" s="1467">
        <f t="shared" si="157"/>
        <v>0</v>
      </c>
      <c r="S54" s="1467">
        <f t="shared" si="157"/>
        <v>0</v>
      </c>
      <c r="T54" s="1467">
        <f t="shared" si="157"/>
        <v>0</v>
      </c>
      <c r="U54" s="1467">
        <f t="shared" si="157"/>
        <v>0</v>
      </c>
      <c r="V54" s="1467">
        <f t="shared" si="157"/>
        <v>0</v>
      </c>
      <c r="W54" s="1467">
        <f t="shared" si="157"/>
        <v>0</v>
      </c>
      <c r="X54" s="1467">
        <f t="shared" si="157"/>
        <v>0</v>
      </c>
      <c r="Y54" s="1467">
        <f t="shared" si="157"/>
        <v>0</v>
      </c>
      <c r="Z54" s="1467">
        <f t="shared" si="157"/>
        <v>0</v>
      </c>
      <c r="AA54" s="1467">
        <f t="shared" si="157"/>
        <v>0</v>
      </c>
      <c r="AB54" s="1467">
        <f t="shared" si="225"/>
        <v>0</v>
      </c>
      <c r="AC54" s="1467">
        <f t="shared" si="225"/>
        <v>0</v>
      </c>
      <c r="AD54" s="1467">
        <f t="shared" si="225"/>
        <v>0</v>
      </c>
      <c r="AE54" s="1467">
        <f t="shared" si="225"/>
        <v>0</v>
      </c>
      <c r="AF54" s="1467">
        <f t="shared" si="225"/>
        <v>0</v>
      </c>
      <c r="AG54" s="1467">
        <f t="shared" si="225"/>
        <v>0</v>
      </c>
      <c r="AH54" s="1467">
        <f t="shared" si="225"/>
        <v>0</v>
      </c>
      <c r="AI54" s="1467">
        <f t="shared" si="225"/>
        <v>0</v>
      </c>
      <c r="AJ54" s="1467">
        <f t="shared" si="225"/>
        <v>0</v>
      </c>
      <c r="AK54" s="1467">
        <f t="shared" si="225"/>
        <v>0</v>
      </c>
      <c r="AL54" s="1467">
        <f t="shared" si="225"/>
        <v>0</v>
      </c>
      <c r="AM54" s="1467">
        <f t="shared" si="225"/>
        <v>0</v>
      </c>
      <c r="AN54" s="1467">
        <f t="shared" si="225"/>
        <v>0</v>
      </c>
      <c r="AO54" s="1467">
        <f t="shared" si="225"/>
        <v>0</v>
      </c>
      <c r="AP54" s="1468">
        <f t="shared" si="158"/>
        <v>0</v>
      </c>
      <c r="AQ54" s="1478"/>
      <c r="AR54" s="1467">
        <f t="shared" si="159"/>
        <v>0</v>
      </c>
      <c r="AS54" s="1467">
        <f t="shared" si="160"/>
        <v>0</v>
      </c>
      <c r="AT54" s="1467">
        <f t="shared" si="226"/>
        <v>0</v>
      </c>
      <c r="AU54" s="1467">
        <f t="shared" si="227"/>
        <v>0</v>
      </c>
      <c r="AV54" s="1467">
        <f t="shared" si="228"/>
        <v>0</v>
      </c>
      <c r="AW54" s="1467">
        <f t="shared" si="199"/>
        <v>0</v>
      </c>
      <c r="AX54" s="1467">
        <f t="shared" si="200"/>
        <v>0</v>
      </c>
      <c r="AY54" s="1467">
        <f t="shared" si="201"/>
        <v>0</v>
      </c>
      <c r="AZ54" s="1467">
        <f t="shared" si="202"/>
        <v>0</v>
      </c>
      <c r="BA54" s="1467">
        <f t="shared" si="203"/>
        <v>0</v>
      </c>
      <c r="BB54" s="1467">
        <f t="shared" si="204"/>
        <v>0</v>
      </c>
      <c r="BC54" s="1467">
        <f t="shared" si="205"/>
        <v>0</v>
      </c>
      <c r="BD54" s="1467">
        <f t="shared" si="206"/>
        <v>0</v>
      </c>
      <c r="BE54" s="1467">
        <f t="shared" si="207"/>
        <v>0</v>
      </c>
      <c r="BF54" s="1467">
        <f t="shared" si="208"/>
        <v>0</v>
      </c>
      <c r="BG54" s="1467">
        <f t="shared" si="209"/>
        <v>0</v>
      </c>
      <c r="BH54" s="1467">
        <f t="shared" si="210"/>
        <v>0</v>
      </c>
      <c r="BI54" s="1467">
        <f t="shared" si="211"/>
        <v>0</v>
      </c>
      <c r="BJ54" s="1467">
        <f t="shared" si="212"/>
        <v>0</v>
      </c>
      <c r="BK54" s="1467">
        <f t="shared" si="213"/>
        <v>0</v>
      </c>
      <c r="BL54" s="1467">
        <f t="shared" si="214"/>
        <v>0</v>
      </c>
      <c r="BM54" s="1467">
        <f t="shared" si="215"/>
        <v>0</v>
      </c>
      <c r="BN54" s="1467">
        <f t="shared" si="216"/>
        <v>0</v>
      </c>
      <c r="BO54" s="1467">
        <f t="shared" si="217"/>
        <v>0</v>
      </c>
      <c r="BP54" s="1467">
        <f t="shared" si="218"/>
        <v>0</v>
      </c>
      <c r="BQ54" s="1467">
        <f t="shared" si="219"/>
        <v>0</v>
      </c>
      <c r="BR54" s="1467">
        <f t="shared" si="220"/>
        <v>0</v>
      </c>
      <c r="BS54" s="1467">
        <f t="shared" si="221"/>
        <v>0</v>
      </c>
      <c r="BT54" s="1467">
        <f t="shared" si="222"/>
        <v>0</v>
      </c>
      <c r="BU54" s="1467">
        <f t="shared" si="223"/>
        <v>0</v>
      </c>
      <c r="BV54" s="1478"/>
    </row>
    <row r="55" spans="1:74" x14ac:dyDescent="0.2">
      <c r="A55" s="927" t="str">
        <f t="shared" si="153"/>
        <v>Wheat Integrated (Starch).Straight-Line</v>
      </c>
      <c r="B55" s="1076"/>
      <c r="C55" s="1076" t="str">
        <f t="shared" si="229"/>
        <v>Wheat Integrated (Starch)</v>
      </c>
      <c r="D55" s="1076" t="str">
        <f>Assumptions!$AH$81</f>
        <v>Straight-Line</v>
      </c>
      <c r="E55" s="1076" t="str">
        <f t="shared" si="224"/>
        <v>Wet Mill and gluten handling</v>
      </c>
      <c r="F55" s="1467">
        <f t="shared" si="224"/>
        <v>0</v>
      </c>
      <c r="G55" s="1467">
        <f t="shared" si="154"/>
        <v>0</v>
      </c>
      <c r="H55" s="1467">
        <f t="shared" si="155"/>
        <v>0</v>
      </c>
      <c r="I55" s="1467">
        <f t="shared" si="156"/>
        <v>0</v>
      </c>
      <c r="J55" s="1161">
        <f t="shared" ref="J55:J65" si="230">J54</f>
        <v>3.3333333333333333E-2</v>
      </c>
      <c r="K55" s="1107"/>
      <c r="L55" s="1467">
        <f t="shared" si="157"/>
        <v>0</v>
      </c>
      <c r="M55" s="1467">
        <f t="shared" si="157"/>
        <v>0</v>
      </c>
      <c r="N55" s="1467">
        <f t="shared" si="157"/>
        <v>0</v>
      </c>
      <c r="O55" s="1467">
        <f t="shared" si="157"/>
        <v>0</v>
      </c>
      <c r="P55" s="1467">
        <f t="shared" si="157"/>
        <v>0</v>
      </c>
      <c r="Q55" s="1467">
        <f t="shared" si="157"/>
        <v>0</v>
      </c>
      <c r="R55" s="1467">
        <f t="shared" si="157"/>
        <v>0</v>
      </c>
      <c r="S55" s="1467">
        <f t="shared" si="157"/>
        <v>0</v>
      </c>
      <c r="T55" s="1467">
        <f t="shared" si="157"/>
        <v>0</v>
      </c>
      <c r="U55" s="1467">
        <f t="shared" si="157"/>
        <v>0</v>
      </c>
      <c r="V55" s="1467">
        <f t="shared" si="157"/>
        <v>0</v>
      </c>
      <c r="W55" s="1467">
        <f t="shared" si="157"/>
        <v>0</v>
      </c>
      <c r="X55" s="1467">
        <f t="shared" si="157"/>
        <v>0</v>
      </c>
      <c r="Y55" s="1467">
        <f t="shared" si="157"/>
        <v>0</v>
      </c>
      <c r="Z55" s="1467">
        <f t="shared" si="157"/>
        <v>0</v>
      </c>
      <c r="AA55" s="1467">
        <f t="shared" si="157"/>
        <v>0</v>
      </c>
      <c r="AB55" s="1467">
        <f t="shared" si="225"/>
        <v>0</v>
      </c>
      <c r="AC55" s="1467">
        <f t="shared" si="225"/>
        <v>0</v>
      </c>
      <c r="AD55" s="1467">
        <f t="shared" si="225"/>
        <v>0</v>
      </c>
      <c r="AE55" s="1467">
        <f t="shared" si="225"/>
        <v>0</v>
      </c>
      <c r="AF55" s="1467">
        <f t="shared" si="225"/>
        <v>0</v>
      </c>
      <c r="AG55" s="1467">
        <f t="shared" si="225"/>
        <v>0</v>
      </c>
      <c r="AH55" s="1467">
        <f t="shared" si="225"/>
        <v>0</v>
      </c>
      <c r="AI55" s="1467">
        <f t="shared" si="225"/>
        <v>0</v>
      </c>
      <c r="AJ55" s="1467">
        <f t="shared" si="225"/>
        <v>0</v>
      </c>
      <c r="AK55" s="1467">
        <f t="shared" si="225"/>
        <v>0</v>
      </c>
      <c r="AL55" s="1467">
        <f t="shared" si="225"/>
        <v>0</v>
      </c>
      <c r="AM55" s="1467">
        <f t="shared" si="225"/>
        <v>0</v>
      </c>
      <c r="AN55" s="1467">
        <f t="shared" si="225"/>
        <v>0</v>
      </c>
      <c r="AO55" s="1467">
        <f t="shared" si="225"/>
        <v>0</v>
      </c>
      <c r="AP55" s="1468">
        <f t="shared" si="158"/>
        <v>0</v>
      </c>
      <c r="AQ55" s="1478"/>
      <c r="AR55" s="1467">
        <f t="shared" si="159"/>
        <v>0</v>
      </c>
      <c r="AS55" s="1467">
        <f t="shared" si="160"/>
        <v>0</v>
      </c>
      <c r="AT55" s="1467">
        <f t="shared" si="226"/>
        <v>0</v>
      </c>
      <c r="AU55" s="1467">
        <f t="shared" si="227"/>
        <v>0</v>
      </c>
      <c r="AV55" s="1467">
        <f t="shared" si="228"/>
        <v>0</v>
      </c>
      <c r="AW55" s="1467">
        <f t="shared" si="199"/>
        <v>0</v>
      </c>
      <c r="AX55" s="1467">
        <f t="shared" si="200"/>
        <v>0</v>
      </c>
      <c r="AY55" s="1467">
        <f t="shared" si="201"/>
        <v>0</v>
      </c>
      <c r="AZ55" s="1467">
        <f t="shared" si="202"/>
        <v>0</v>
      </c>
      <c r="BA55" s="1467">
        <f t="shared" si="203"/>
        <v>0</v>
      </c>
      <c r="BB55" s="1467">
        <f t="shared" si="204"/>
        <v>0</v>
      </c>
      <c r="BC55" s="1467">
        <f t="shared" si="205"/>
        <v>0</v>
      </c>
      <c r="BD55" s="1467">
        <f t="shared" si="206"/>
        <v>0</v>
      </c>
      <c r="BE55" s="1467">
        <f t="shared" si="207"/>
        <v>0</v>
      </c>
      <c r="BF55" s="1467">
        <f t="shared" si="208"/>
        <v>0</v>
      </c>
      <c r="BG55" s="1467">
        <f t="shared" si="209"/>
        <v>0</v>
      </c>
      <c r="BH55" s="1467">
        <f t="shared" si="210"/>
        <v>0</v>
      </c>
      <c r="BI55" s="1467">
        <f t="shared" si="211"/>
        <v>0</v>
      </c>
      <c r="BJ55" s="1467">
        <f t="shared" si="212"/>
        <v>0</v>
      </c>
      <c r="BK55" s="1467">
        <f t="shared" si="213"/>
        <v>0</v>
      </c>
      <c r="BL55" s="1467">
        <f t="shared" si="214"/>
        <v>0</v>
      </c>
      <c r="BM55" s="1467">
        <f t="shared" si="215"/>
        <v>0</v>
      </c>
      <c r="BN55" s="1467">
        <f t="shared" si="216"/>
        <v>0</v>
      </c>
      <c r="BO55" s="1467">
        <f t="shared" si="217"/>
        <v>0</v>
      </c>
      <c r="BP55" s="1467">
        <f t="shared" si="218"/>
        <v>0</v>
      </c>
      <c r="BQ55" s="1467">
        <f t="shared" si="219"/>
        <v>0</v>
      </c>
      <c r="BR55" s="1467">
        <f t="shared" si="220"/>
        <v>0</v>
      </c>
      <c r="BS55" s="1467">
        <f t="shared" si="221"/>
        <v>0</v>
      </c>
      <c r="BT55" s="1467">
        <f t="shared" si="222"/>
        <v>0</v>
      </c>
      <c r="BU55" s="1467">
        <f t="shared" si="223"/>
        <v>0</v>
      </c>
      <c r="BV55" s="1478"/>
    </row>
    <row r="56" spans="1:74" x14ac:dyDescent="0.2">
      <c r="A56" s="927" t="str">
        <f t="shared" si="153"/>
        <v>Wheat Integrated (Starch).Straight-Line</v>
      </c>
      <c r="B56" s="1076"/>
      <c r="C56" s="1076" t="str">
        <f t="shared" si="229"/>
        <v>Wheat Integrated (Starch)</v>
      </c>
      <c r="D56" s="1076" t="str">
        <f>Assumptions!$AH$81</f>
        <v>Straight-Line</v>
      </c>
      <c r="E56" s="1076" t="str">
        <f t="shared" si="224"/>
        <v>Liquefaction and saccharification</v>
      </c>
      <c r="F56" s="1467">
        <f t="shared" si="224"/>
        <v>8000000</v>
      </c>
      <c r="G56" s="1467">
        <f t="shared" si="154"/>
        <v>9900000</v>
      </c>
      <c r="H56" s="1467">
        <f t="shared" si="155"/>
        <v>10890000</v>
      </c>
      <c r="I56" s="1467">
        <f t="shared" si="156"/>
        <v>10890000</v>
      </c>
      <c r="J56" s="1161">
        <f t="shared" si="230"/>
        <v>3.3333333333333333E-2</v>
      </c>
      <c r="K56" s="1107"/>
      <c r="L56" s="1467">
        <f t="shared" si="157"/>
        <v>363000</v>
      </c>
      <c r="M56" s="1467">
        <f t="shared" si="157"/>
        <v>363000</v>
      </c>
      <c r="N56" s="1467">
        <f t="shared" si="157"/>
        <v>363000</v>
      </c>
      <c r="O56" s="1467">
        <f t="shared" si="157"/>
        <v>363000</v>
      </c>
      <c r="P56" s="1467">
        <f t="shared" si="157"/>
        <v>363000</v>
      </c>
      <c r="Q56" s="1467">
        <f t="shared" si="157"/>
        <v>363000</v>
      </c>
      <c r="R56" s="1467">
        <f t="shared" si="157"/>
        <v>363000</v>
      </c>
      <c r="S56" s="1467">
        <f t="shared" si="157"/>
        <v>363000</v>
      </c>
      <c r="T56" s="1467">
        <f t="shared" si="157"/>
        <v>363000</v>
      </c>
      <c r="U56" s="1467">
        <f t="shared" si="157"/>
        <v>363000</v>
      </c>
      <c r="V56" s="1467">
        <f t="shared" si="157"/>
        <v>363000</v>
      </c>
      <c r="W56" s="1467">
        <f t="shared" si="157"/>
        <v>363000</v>
      </c>
      <c r="X56" s="1467">
        <f t="shared" si="157"/>
        <v>363000</v>
      </c>
      <c r="Y56" s="1467">
        <f t="shared" si="157"/>
        <v>363000</v>
      </c>
      <c r="Z56" s="1467">
        <f t="shared" si="157"/>
        <v>363000</v>
      </c>
      <c r="AA56" s="1467">
        <f t="shared" si="157"/>
        <v>363000</v>
      </c>
      <c r="AB56" s="1467">
        <f t="shared" si="225"/>
        <v>363000</v>
      </c>
      <c r="AC56" s="1467">
        <f t="shared" si="225"/>
        <v>363000</v>
      </c>
      <c r="AD56" s="1467">
        <f t="shared" si="225"/>
        <v>363000</v>
      </c>
      <c r="AE56" s="1467">
        <f t="shared" si="225"/>
        <v>363000</v>
      </c>
      <c r="AF56" s="1467">
        <f t="shared" si="225"/>
        <v>363000</v>
      </c>
      <c r="AG56" s="1467">
        <f t="shared" si="225"/>
        <v>363000</v>
      </c>
      <c r="AH56" s="1467">
        <f t="shared" si="225"/>
        <v>363000</v>
      </c>
      <c r="AI56" s="1467">
        <f t="shared" si="225"/>
        <v>363000</v>
      </c>
      <c r="AJ56" s="1467">
        <f t="shared" si="225"/>
        <v>363000</v>
      </c>
      <c r="AK56" s="1467">
        <f t="shared" si="225"/>
        <v>363000</v>
      </c>
      <c r="AL56" s="1467">
        <f t="shared" si="225"/>
        <v>363000</v>
      </c>
      <c r="AM56" s="1467">
        <f t="shared" si="225"/>
        <v>363000</v>
      </c>
      <c r="AN56" s="1467">
        <f t="shared" si="225"/>
        <v>363000</v>
      </c>
      <c r="AO56" s="1467">
        <f t="shared" si="225"/>
        <v>363000</v>
      </c>
      <c r="AP56" s="1468">
        <f t="shared" si="158"/>
        <v>10890000</v>
      </c>
      <c r="AQ56" s="1478"/>
      <c r="AR56" s="1467">
        <f t="shared" si="159"/>
        <v>10527000</v>
      </c>
      <c r="AS56" s="1467">
        <f t="shared" si="160"/>
        <v>10164000</v>
      </c>
      <c r="AT56" s="1467">
        <f t="shared" si="226"/>
        <v>9801000</v>
      </c>
      <c r="AU56" s="1467">
        <f t="shared" si="227"/>
        <v>9438000</v>
      </c>
      <c r="AV56" s="1467">
        <f t="shared" si="228"/>
        <v>9075000</v>
      </c>
      <c r="AW56" s="1467">
        <f t="shared" si="199"/>
        <v>8712000</v>
      </c>
      <c r="AX56" s="1467">
        <f t="shared" si="200"/>
        <v>8349000</v>
      </c>
      <c r="AY56" s="1467">
        <f t="shared" si="201"/>
        <v>7986000</v>
      </c>
      <c r="AZ56" s="1467">
        <f t="shared" si="202"/>
        <v>7623000</v>
      </c>
      <c r="BA56" s="1467">
        <f t="shared" si="203"/>
        <v>7260000</v>
      </c>
      <c r="BB56" s="1467">
        <f t="shared" si="204"/>
        <v>6897000</v>
      </c>
      <c r="BC56" s="1467">
        <f t="shared" si="205"/>
        <v>6534000</v>
      </c>
      <c r="BD56" s="1467">
        <f t="shared" si="206"/>
        <v>6171000</v>
      </c>
      <c r="BE56" s="1467">
        <f t="shared" si="207"/>
        <v>5808000</v>
      </c>
      <c r="BF56" s="1467">
        <f t="shared" si="208"/>
        <v>5445000</v>
      </c>
      <c r="BG56" s="1467">
        <f t="shared" si="209"/>
        <v>5082000</v>
      </c>
      <c r="BH56" s="1467">
        <f t="shared" si="210"/>
        <v>4719000</v>
      </c>
      <c r="BI56" s="1467">
        <f t="shared" si="211"/>
        <v>4356000</v>
      </c>
      <c r="BJ56" s="1467">
        <f t="shared" si="212"/>
        <v>3993000</v>
      </c>
      <c r="BK56" s="1467">
        <f t="shared" si="213"/>
        <v>3630000</v>
      </c>
      <c r="BL56" s="1467">
        <f t="shared" si="214"/>
        <v>3267000</v>
      </c>
      <c r="BM56" s="1467">
        <f t="shared" si="215"/>
        <v>2904000</v>
      </c>
      <c r="BN56" s="1467">
        <f t="shared" si="216"/>
        <v>2541000</v>
      </c>
      <c r="BO56" s="1467">
        <f t="shared" si="217"/>
        <v>2178000</v>
      </c>
      <c r="BP56" s="1467">
        <f t="shared" si="218"/>
        <v>1815000</v>
      </c>
      <c r="BQ56" s="1467">
        <f t="shared" si="219"/>
        <v>1452000</v>
      </c>
      <c r="BR56" s="1467">
        <f t="shared" si="220"/>
        <v>1089000</v>
      </c>
      <c r="BS56" s="1467">
        <f t="shared" si="221"/>
        <v>726000</v>
      </c>
      <c r="BT56" s="1467">
        <f t="shared" si="222"/>
        <v>363000</v>
      </c>
      <c r="BU56" s="1467">
        <f t="shared" si="223"/>
        <v>0</v>
      </c>
      <c r="BV56" s="1478"/>
    </row>
    <row r="57" spans="1:74" x14ac:dyDescent="0.2">
      <c r="A57" s="927" t="str">
        <f t="shared" si="153"/>
        <v>Wheat Integrated (Starch).Straight-Line</v>
      </c>
      <c r="B57" s="1076"/>
      <c r="C57" s="1076" t="str">
        <f t="shared" si="229"/>
        <v>Wheat Integrated (Starch)</v>
      </c>
      <c r="D57" s="1076" t="str">
        <f>Assumptions!$AH$81</f>
        <v>Straight-Line</v>
      </c>
      <c r="E57" s="1076" t="str">
        <f t="shared" si="224"/>
        <v>Fermentation Plant</v>
      </c>
      <c r="F57" s="1467">
        <f t="shared" si="224"/>
        <v>18000000</v>
      </c>
      <c r="G57" s="1467">
        <f t="shared" si="154"/>
        <v>22275000</v>
      </c>
      <c r="H57" s="1467">
        <f t="shared" si="155"/>
        <v>24502500.000000004</v>
      </c>
      <c r="I57" s="1467">
        <f t="shared" si="156"/>
        <v>24502500.000000004</v>
      </c>
      <c r="J57" s="1161">
        <f t="shared" si="230"/>
        <v>3.3333333333333333E-2</v>
      </c>
      <c r="K57" s="1107"/>
      <c r="L57" s="1467">
        <f t="shared" si="157"/>
        <v>816750.00000000012</v>
      </c>
      <c r="M57" s="1467">
        <f t="shared" si="157"/>
        <v>816750.00000000012</v>
      </c>
      <c r="N57" s="1467">
        <f t="shared" si="157"/>
        <v>816750.00000000012</v>
      </c>
      <c r="O57" s="1467">
        <f t="shared" si="157"/>
        <v>816750.00000000012</v>
      </c>
      <c r="P57" s="1467">
        <f t="shared" si="157"/>
        <v>816750.00000000012</v>
      </c>
      <c r="Q57" s="1467">
        <f t="shared" si="157"/>
        <v>816750.00000000012</v>
      </c>
      <c r="R57" s="1467">
        <f t="shared" si="157"/>
        <v>816750.00000000012</v>
      </c>
      <c r="S57" s="1467">
        <f t="shared" si="157"/>
        <v>816750.00000000012</v>
      </c>
      <c r="T57" s="1467">
        <f t="shared" si="157"/>
        <v>816750.00000000012</v>
      </c>
      <c r="U57" s="1467">
        <f t="shared" si="157"/>
        <v>816750.00000000012</v>
      </c>
      <c r="V57" s="1467">
        <f t="shared" si="157"/>
        <v>816750.00000000012</v>
      </c>
      <c r="W57" s="1467">
        <f t="shared" si="157"/>
        <v>816750.00000000012</v>
      </c>
      <c r="X57" s="1467">
        <f t="shared" si="157"/>
        <v>816750.00000000012</v>
      </c>
      <c r="Y57" s="1467">
        <f t="shared" si="157"/>
        <v>816750.00000000012</v>
      </c>
      <c r="Z57" s="1467">
        <f t="shared" si="157"/>
        <v>816750.00000000012</v>
      </c>
      <c r="AA57" s="1467">
        <f t="shared" si="157"/>
        <v>816750.00000000012</v>
      </c>
      <c r="AB57" s="1467">
        <f t="shared" si="225"/>
        <v>816750.00000000012</v>
      </c>
      <c r="AC57" s="1467">
        <f t="shared" si="225"/>
        <v>816750.00000000012</v>
      </c>
      <c r="AD57" s="1467">
        <f t="shared" si="225"/>
        <v>816750.00000000012</v>
      </c>
      <c r="AE57" s="1467">
        <f t="shared" si="225"/>
        <v>816750.00000000012</v>
      </c>
      <c r="AF57" s="1467">
        <f t="shared" si="225"/>
        <v>816750.00000000012</v>
      </c>
      <c r="AG57" s="1467">
        <f t="shared" si="225"/>
        <v>816750.00000000012</v>
      </c>
      <c r="AH57" s="1467">
        <f t="shared" si="225"/>
        <v>816750.00000000012</v>
      </c>
      <c r="AI57" s="1467">
        <f t="shared" si="225"/>
        <v>816750.00000000012</v>
      </c>
      <c r="AJ57" s="1467">
        <f t="shared" si="225"/>
        <v>816750.00000000012</v>
      </c>
      <c r="AK57" s="1467">
        <f t="shared" si="225"/>
        <v>816750.00000000012</v>
      </c>
      <c r="AL57" s="1467">
        <f t="shared" si="225"/>
        <v>816750.00000000012</v>
      </c>
      <c r="AM57" s="1467">
        <f t="shared" si="225"/>
        <v>816750.00000000012</v>
      </c>
      <c r="AN57" s="1467">
        <f t="shared" si="225"/>
        <v>816750.00000000012</v>
      </c>
      <c r="AO57" s="1467">
        <f t="shared" si="225"/>
        <v>816750.00000000012</v>
      </c>
      <c r="AP57" s="1468">
        <f t="shared" si="158"/>
        <v>24502500.000000004</v>
      </c>
      <c r="AQ57" s="1478"/>
      <c r="AR57" s="1467">
        <f t="shared" si="159"/>
        <v>23685750.000000004</v>
      </c>
      <c r="AS57" s="1467">
        <f t="shared" si="160"/>
        <v>22869000.000000004</v>
      </c>
      <c r="AT57" s="1467">
        <f t="shared" si="226"/>
        <v>22052250.000000004</v>
      </c>
      <c r="AU57" s="1467">
        <f t="shared" si="227"/>
        <v>21235500.000000004</v>
      </c>
      <c r="AV57" s="1467">
        <f t="shared" si="228"/>
        <v>20418750.000000004</v>
      </c>
      <c r="AW57" s="1467">
        <f t="shared" si="199"/>
        <v>19602000.000000004</v>
      </c>
      <c r="AX57" s="1467">
        <f t="shared" si="200"/>
        <v>18785250.000000004</v>
      </c>
      <c r="AY57" s="1467">
        <f t="shared" si="201"/>
        <v>17968500.000000004</v>
      </c>
      <c r="AZ57" s="1467">
        <f t="shared" si="202"/>
        <v>17151750.000000004</v>
      </c>
      <c r="BA57" s="1467">
        <f t="shared" si="203"/>
        <v>16335000.000000004</v>
      </c>
      <c r="BB57" s="1467">
        <f t="shared" si="204"/>
        <v>15518250.000000004</v>
      </c>
      <c r="BC57" s="1467">
        <f t="shared" si="205"/>
        <v>14701500.000000004</v>
      </c>
      <c r="BD57" s="1467">
        <f t="shared" si="206"/>
        <v>13884750.000000004</v>
      </c>
      <c r="BE57" s="1467">
        <f t="shared" si="207"/>
        <v>13068000.000000004</v>
      </c>
      <c r="BF57" s="1467">
        <f t="shared" si="208"/>
        <v>12251250.000000004</v>
      </c>
      <c r="BG57" s="1467">
        <f t="shared" si="209"/>
        <v>11434500.000000004</v>
      </c>
      <c r="BH57" s="1467">
        <f t="shared" si="210"/>
        <v>10617750.000000004</v>
      </c>
      <c r="BI57" s="1467">
        <f t="shared" si="211"/>
        <v>9801000.0000000037</v>
      </c>
      <c r="BJ57" s="1467">
        <f t="shared" si="212"/>
        <v>8984250.0000000037</v>
      </c>
      <c r="BK57" s="1467">
        <f t="shared" si="213"/>
        <v>8167500.0000000037</v>
      </c>
      <c r="BL57" s="1467">
        <f t="shared" si="214"/>
        <v>7350750.0000000037</v>
      </c>
      <c r="BM57" s="1467">
        <f t="shared" si="215"/>
        <v>6534000.0000000037</v>
      </c>
      <c r="BN57" s="1467">
        <f t="shared" si="216"/>
        <v>5717250.0000000037</v>
      </c>
      <c r="BO57" s="1467">
        <f t="shared" si="217"/>
        <v>4900500.0000000037</v>
      </c>
      <c r="BP57" s="1467">
        <f t="shared" si="218"/>
        <v>4083750.0000000037</v>
      </c>
      <c r="BQ57" s="1467">
        <f t="shared" si="219"/>
        <v>3267000.0000000037</v>
      </c>
      <c r="BR57" s="1467">
        <f t="shared" si="220"/>
        <v>2450250.0000000037</v>
      </c>
      <c r="BS57" s="1467">
        <f t="shared" si="221"/>
        <v>1633500.0000000037</v>
      </c>
      <c r="BT57" s="1467">
        <f t="shared" si="222"/>
        <v>816750.00000000361</v>
      </c>
      <c r="BU57" s="1467">
        <f t="shared" si="223"/>
        <v>3.4924596548080444E-9</v>
      </c>
      <c r="BV57" s="1478"/>
    </row>
    <row r="58" spans="1:74" x14ac:dyDescent="0.2">
      <c r="A58" s="927" t="str">
        <f t="shared" si="153"/>
        <v>Wheat Integrated (Starch).Straight-Line</v>
      </c>
      <c r="B58" s="1076"/>
      <c r="C58" s="1076" t="str">
        <f t="shared" si="229"/>
        <v>Wheat Integrated (Starch)</v>
      </c>
      <c r="D58" s="1076" t="str">
        <f>Assumptions!$AH$81</f>
        <v>Straight-Line</v>
      </c>
      <c r="E58" s="1076" t="str">
        <f t="shared" si="224"/>
        <v>Distillation, Rectification and Dehydration</v>
      </c>
      <c r="F58" s="1467">
        <f t="shared" si="224"/>
        <v>23000000</v>
      </c>
      <c r="G58" s="1467">
        <f t="shared" si="154"/>
        <v>28462500</v>
      </c>
      <c r="H58" s="1467">
        <f t="shared" si="155"/>
        <v>31308750.000000004</v>
      </c>
      <c r="I58" s="1467">
        <f t="shared" si="156"/>
        <v>31308750.000000004</v>
      </c>
      <c r="J58" s="1161">
        <f t="shared" si="230"/>
        <v>3.3333333333333333E-2</v>
      </c>
      <c r="K58" s="1107"/>
      <c r="L58" s="1467">
        <f t="shared" si="157"/>
        <v>1043625.0000000001</v>
      </c>
      <c r="M58" s="1467">
        <f t="shared" si="157"/>
        <v>1043625.0000000001</v>
      </c>
      <c r="N58" s="1467">
        <f t="shared" si="157"/>
        <v>1043625.0000000001</v>
      </c>
      <c r="O58" s="1467">
        <f t="shared" si="157"/>
        <v>1043625.0000000001</v>
      </c>
      <c r="P58" s="1467">
        <f t="shared" si="157"/>
        <v>1043625.0000000001</v>
      </c>
      <c r="Q58" s="1467">
        <f t="shared" si="157"/>
        <v>1043625.0000000001</v>
      </c>
      <c r="R58" s="1467">
        <f t="shared" si="157"/>
        <v>1043625.0000000001</v>
      </c>
      <c r="S58" s="1467">
        <f t="shared" si="157"/>
        <v>1043625.0000000001</v>
      </c>
      <c r="T58" s="1467">
        <f t="shared" si="157"/>
        <v>1043625.0000000001</v>
      </c>
      <c r="U58" s="1467">
        <f t="shared" si="157"/>
        <v>1043625.0000000001</v>
      </c>
      <c r="V58" s="1467">
        <f t="shared" si="157"/>
        <v>1043625.0000000001</v>
      </c>
      <c r="W58" s="1467">
        <f t="shared" si="157"/>
        <v>1043625.0000000001</v>
      </c>
      <c r="X58" s="1467">
        <f t="shared" si="157"/>
        <v>1043625.0000000001</v>
      </c>
      <c r="Y58" s="1467">
        <f t="shared" si="157"/>
        <v>1043625.0000000001</v>
      </c>
      <c r="Z58" s="1467">
        <f t="shared" si="157"/>
        <v>1043625.0000000001</v>
      </c>
      <c r="AA58" s="1467">
        <f t="shared" si="157"/>
        <v>1043625.0000000001</v>
      </c>
      <c r="AB58" s="1467">
        <f t="shared" si="225"/>
        <v>1043625.0000000001</v>
      </c>
      <c r="AC58" s="1467">
        <f t="shared" si="225"/>
        <v>1043625.0000000001</v>
      </c>
      <c r="AD58" s="1467">
        <f t="shared" si="225"/>
        <v>1043625.0000000001</v>
      </c>
      <c r="AE58" s="1467">
        <f t="shared" si="225"/>
        <v>1043625.0000000001</v>
      </c>
      <c r="AF58" s="1467">
        <f t="shared" si="225"/>
        <v>1043625.0000000001</v>
      </c>
      <c r="AG58" s="1467">
        <f t="shared" si="225"/>
        <v>1043625.0000000001</v>
      </c>
      <c r="AH58" s="1467">
        <f t="shared" si="225"/>
        <v>1043625.0000000001</v>
      </c>
      <c r="AI58" s="1467">
        <f t="shared" si="225"/>
        <v>1043625.0000000001</v>
      </c>
      <c r="AJ58" s="1467">
        <f t="shared" si="225"/>
        <v>1043625.0000000001</v>
      </c>
      <c r="AK58" s="1467">
        <f t="shared" si="225"/>
        <v>1043625.0000000001</v>
      </c>
      <c r="AL58" s="1467">
        <f t="shared" si="225"/>
        <v>1043625.0000000001</v>
      </c>
      <c r="AM58" s="1467">
        <f t="shared" si="225"/>
        <v>1043625.0000000001</v>
      </c>
      <c r="AN58" s="1467">
        <f t="shared" si="225"/>
        <v>1043625.0000000001</v>
      </c>
      <c r="AO58" s="1467">
        <f t="shared" si="225"/>
        <v>1043625.0000000001</v>
      </c>
      <c r="AP58" s="1468">
        <f t="shared" si="158"/>
        <v>31308750.000000004</v>
      </c>
      <c r="AQ58" s="1478"/>
      <c r="AR58" s="1467">
        <f t="shared" si="159"/>
        <v>30265125.000000004</v>
      </c>
      <c r="AS58" s="1467">
        <f t="shared" si="160"/>
        <v>29221500.000000004</v>
      </c>
      <c r="AT58" s="1467">
        <f t="shared" si="226"/>
        <v>28177875.000000004</v>
      </c>
      <c r="AU58" s="1467">
        <f t="shared" si="227"/>
        <v>27134250.000000004</v>
      </c>
      <c r="AV58" s="1467">
        <f t="shared" si="228"/>
        <v>26090625.000000004</v>
      </c>
      <c r="AW58" s="1467">
        <f t="shared" si="199"/>
        <v>25047000.000000004</v>
      </c>
      <c r="AX58" s="1467">
        <f t="shared" si="200"/>
        <v>24003375.000000004</v>
      </c>
      <c r="AY58" s="1467">
        <f t="shared" si="201"/>
        <v>22959750.000000004</v>
      </c>
      <c r="AZ58" s="1467">
        <f t="shared" si="202"/>
        <v>21916125.000000004</v>
      </c>
      <c r="BA58" s="1467">
        <f t="shared" si="203"/>
        <v>20872500.000000004</v>
      </c>
      <c r="BB58" s="1467">
        <f t="shared" si="204"/>
        <v>19828875.000000004</v>
      </c>
      <c r="BC58" s="1467">
        <f t="shared" si="205"/>
        <v>18785250.000000004</v>
      </c>
      <c r="BD58" s="1467">
        <f t="shared" si="206"/>
        <v>17741625.000000004</v>
      </c>
      <c r="BE58" s="1467">
        <f t="shared" si="207"/>
        <v>16698000.000000004</v>
      </c>
      <c r="BF58" s="1467">
        <f t="shared" si="208"/>
        <v>15654375.000000004</v>
      </c>
      <c r="BG58" s="1467">
        <f t="shared" si="209"/>
        <v>14610750.000000004</v>
      </c>
      <c r="BH58" s="1467">
        <f t="shared" si="210"/>
        <v>13567125.000000004</v>
      </c>
      <c r="BI58" s="1467">
        <f t="shared" si="211"/>
        <v>12523500.000000004</v>
      </c>
      <c r="BJ58" s="1467">
        <f t="shared" si="212"/>
        <v>11479875.000000004</v>
      </c>
      <c r="BK58" s="1467">
        <f t="shared" si="213"/>
        <v>10436250.000000004</v>
      </c>
      <c r="BL58" s="1467">
        <f t="shared" si="214"/>
        <v>9392625.0000000037</v>
      </c>
      <c r="BM58" s="1467">
        <f t="shared" si="215"/>
        <v>8349000.0000000037</v>
      </c>
      <c r="BN58" s="1467">
        <f t="shared" si="216"/>
        <v>7305375.0000000037</v>
      </c>
      <c r="BO58" s="1467">
        <f t="shared" si="217"/>
        <v>6261750.0000000037</v>
      </c>
      <c r="BP58" s="1467">
        <f t="shared" si="218"/>
        <v>5218125.0000000037</v>
      </c>
      <c r="BQ58" s="1467">
        <f t="shared" si="219"/>
        <v>4174500.0000000037</v>
      </c>
      <c r="BR58" s="1467">
        <f t="shared" si="220"/>
        <v>3130875.0000000037</v>
      </c>
      <c r="BS58" s="1467">
        <f t="shared" si="221"/>
        <v>2087250.0000000037</v>
      </c>
      <c r="BT58" s="1467">
        <f t="shared" si="222"/>
        <v>1043625.0000000036</v>
      </c>
      <c r="BU58" s="1467">
        <f t="shared" si="223"/>
        <v>3.4924596548080444E-9</v>
      </c>
      <c r="BV58" s="1478"/>
    </row>
    <row r="59" spans="1:74" x14ac:dyDescent="0.2">
      <c r="A59" s="927" t="str">
        <f t="shared" ref="A59:A64" si="231">C59&amp;"."&amp;D59</f>
        <v>Wheat Integrated (Starch).Straight-Line</v>
      </c>
      <c r="B59" s="1076"/>
      <c r="C59" s="1076" t="str">
        <f t="shared" si="229"/>
        <v>Wheat Integrated (Starch)</v>
      </c>
      <c r="D59" s="1076" t="str">
        <f>Assumptions!$AH$81</f>
        <v>Straight-Line</v>
      </c>
      <c r="E59" s="1076" t="str">
        <f t="shared" si="224"/>
        <v>Alcohol Storage</v>
      </c>
      <c r="F59" s="1467">
        <f t="shared" si="224"/>
        <v>5000000</v>
      </c>
      <c r="G59" s="1467">
        <f t="shared" si="154"/>
        <v>6187500</v>
      </c>
      <c r="H59" s="1467">
        <f t="shared" si="155"/>
        <v>6806250.0000000009</v>
      </c>
      <c r="I59" s="1467">
        <f t="shared" si="156"/>
        <v>6806250.0000000009</v>
      </c>
      <c r="J59" s="1161">
        <f t="shared" si="230"/>
        <v>3.3333333333333333E-2</v>
      </c>
      <c r="K59" s="1107"/>
      <c r="L59" s="1467">
        <f t="shared" si="157"/>
        <v>226875.00000000003</v>
      </c>
      <c r="M59" s="1467">
        <f t="shared" si="157"/>
        <v>226875.00000000003</v>
      </c>
      <c r="N59" s="1467">
        <f t="shared" si="157"/>
        <v>226875.00000000003</v>
      </c>
      <c r="O59" s="1467">
        <f t="shared" si="157"/>
        <v>226875.00000000003</v>
      </c>
      <c r="P59" s="1467">
        <f t="shared" si="157"/>
        <v>226875.00000000003</v>
      </c>
      <c r="Q59" s="1467">
        <f t="shared" si="157"/>
        <v>226875.00000000003</v>
      </c>
      <c r="R59" s="1467">
        <f t="shared" si="157"/>
        <v>226875.00000000003</v>
      </c>
      <c r="S59" s="1467">
        <f t="shared" si="157"/>
        <v>226875.00000000003</v>
      </c>
      <c r="T59" s="1467">
        <f t="shared" si="157"/>
        <v>226875.00000000003</v>
      </c>
      <c r="U59" s="1467">
        <f t="shared" si="157"/>
        <v>226875.00000000003</v>
      </c>
      <c r="V59" s="1467">
        <f t="shared" si="157"/>
        <v>226875.00000000003</v>
      </c>
      <c r="W59" s="1467">
        <f t="shared" si="157"/>
        <v>226875.00000000003</v>
      </c>
      <c r="X59" s="1467">
        <f t="shared" si="157"/>
        <v>226875.00000000003</v>
      </c>
      <c r="Y59" s="1467">
        <f t="shared" si="157"/>
        <v>226875.00000000003</v>
      </c>
      <c r="Z59" s="1467">
        <f t="shared" si="157"/>
        <v>226875.00000000003</v>
      </c>
      <c r="AA59" s="1467">
        <f t="shared" si="157"/>
        <v>226875.00000000003</v>
      </c>
      <c r="AB59" s="1467">
        <f t="shared" si="225"/>
        <v>226875.00000000003</v>
      </c>
      <c r="AC59" s="1467">
        <f t="shared" si="225"/>
        <v>226875.00000000003</v>
      </c>
      <c r="AD59" s="1467">
        <f t="shared" si="225"/>
        <v>226875.00000000003</v>
      </c>
      <c r="AE59" s="1467">
        <f t="shared" si="225"/>
        <v>226875.00000000003</v>
      </c>
      <c r="AF59" s="1467">
        <f t="shared" si="225"/>
        <v>226875.00000000003</v>
      </c>
      <c r="AG59" s="1467">
        <f t="shared" si="225"/>
        <v>226875.00000000003</v>
      </c>
      <c r="AH59" s="1467">
        <f t="shared" si="225"/>
        <v>226875.00000000003</v>
      </c>
      <c r="AI59" s="1467">
        <f t="shared" si="225"/>
        <v>226875.00000000003</v>
      </c>
      <c r="AJ59" s="1467">
        <f t="shared" si="225"/>
        <v>226875.00000000003</v>
      </c>
      <c r="AK59" s="1467">
        <f t="shared" si="225"/>
        <v>226875.00000000003</v>
      </c>
      <c r="AL59" s="1467">
        <f t="shared" si="225"/>
        <v>226875.00000000003</v>
      </c>
      <c r="AM59" s="1467">
        <f t="shared" si="225"/>
        <v>226875.00000000003</v>
      </c>
      <c r="AN59" s="1467">
        <f t="shared" si="225"/>
        <v>226875.00000000003</v>
      </c>
      <c r="AO59" s="1467">
        <f t="shared" si="225"/>
        <v>226875.00000000003</v>
      </c>
      <c r="AP59" s="1468">
        <f t="shared" ref="AP59:AP64" si="232">SUM(L59:AO59)</f>
        <v>6806250.0000000009</v>
      </c>
      <c r="AQ59" s="1478"/>
      <c r="AR59" s="1467">
        <f t="shared" ref="AR59:AR64" si="233">I59-L59</f>
        <v>6579375.0000000009</v>
      </c>
      <c r="AS59" s="1467">
        <f t="shared" ref="AS59:AS64" si="234">AR59-M59</f>
        <v>6352500.0000000009</v>
      </c>
      <c r="AT59" s="1467">
        <f t="shared" ref="AT59:AT64" si="235">AS59-N59</f>
        <v>6125625.0000000009</v>
      </c>
      <c r="AU59" s="1467">
        <f t="shared" ref="AU59:AU64" si="236">AT59-O59</f>
        <v>5898750.0000000009</v>
      </c>
      <c r="AV59" s="1467">
        <f t="shared" ref="AV59:AV64" si="237">AU59-P59</f>
        <v>5671875.0000000009</v>
      </c>
      <c r="AW59" s="1467">
        <f t="shared" ref="AW59:AW64" si="238">AV59-Q59</f>
        <v>5445000.0000000009</v>
      </c>
      <c r="AX59" s="1467">
        <f t="shared" ref="AX59:AX64" si="239">AW59-R59</f>
        <v>5218125.0000000009</v>
      </c>
      <c r="AY59" s="1467">
        <f t="shared" ref="AY59:AY64" si="240">AX59-S59</f>
        <v>4991250.0000000009</v>
      </c>
      <c r="AZ59" s="1467">
        <f t="shared" ref="AZ59:AZ64" si="241">AY59-T59</f>
        <v>4764375.0000000009</v>
      </c>
      <c r="BA59" s="1467">
        <f t="shared" ref="BA59:BA64" si="242">AZ59-U59</f>
        <v>4537500.0000000009</v>
      </c>
      <c r="BB59" s="1467">
        <f t="shared" ref="BB59:BB64" si="243">BA59-V59</f>
        <v>4310625.0000000009</v>
      </c>
      <c r="BC59" s="1467">
        <f t="shared" ref="BC59:BC64" si="244">BB59-W59</f>
        <v>4083750.0000000009</v>
      </c>
      <c r="BD59" s="1467">
        <f t="shared" ref="BD59:BD64" si="245">BC59-X59</f>
        <v>3856875.0000000009</v>
      </c>
      <c r="BE59" s="1467">
        <f t="shared" ref="BE59:BE64" si="246">BD59-Y59</f>
        <v>3630000.0000000009</v>
      </c>
      <c r="BF59" s="1467">
        <f t="shared" ref="BF59:BF64" si="247">BE59-Z59</f>
        <v>3403125.0000000009</v>
      </c>
      <c r="BG59" s="1467">
        <f t="shared" ref="BG59:BG64" si="248">BF59-AA59</f>
        <v>3176250.0000000009</v>
      </c>
      <c r="BH59" s="1467">
        <f t="shared" ref="BH59:BH64" si="249">BG59-AB59</f>
        <v>2949375.0000000009</v>
      </c>
      <c r="BI59" s="1467">
        <f t="shared" ref="BI59:BI64" si="250">BH59-AC59</f>
        <v>2722500.0000000009</v>
      </c>
      <c r="BJ59" s="1467">
        <f t="shared" ref="BJ59:BJ64" si="251">BI59-AD59</f>
        <v>2495625.0000000009</v>
      </c>
      <c r="BK59" s="1467">
        <f t="shared" ref="BK59:BK64" si="252">BJ59-AE59</f>
        <v>2268750.0000000009</v>
      </c>
      <c r="BL59" s="1467">
        <f t="shared" ref="BL59:BL64" si="253">BK59-AF59</f>
        <v>2041875.0000000009</v>
      </c>
      <c r="BM59" s="1467">
        <f t="shared" ref="BM59:BM64" si="254">BL59-AG59</f>
        <v>1815000.0000000009</v>
      </c>
      <c r="BN59" s="1467">
        <f t="shared" ref="BN59:BN64" si="255">BM59-AH59</f>
        <v>1588125.0000000009</v>
      </c>
      <c r="BO59" s="1467">
        <f t="shared" ref="BO59:BO64" si="256">BN59-AI59</f>
        <v>1361250.0000000009</v>
      </c>
      <c r="BP59" s="1467">
        <f t="shared" ref="BP59:BP64" si="257">BO59-AJ59</f>
        <v>1134375.0000000009</v>
      </c>
      <c r="BQ59" s="1467">
        <f t="shared" ref="BQ59:BQ64" si="258">BP59-AK59</f>
        <v>907500.00000000093</v>
      </c>
      <c r="BR59" s="1467">
        <f t="shared" ref="BR59:BR64" si="259">BQ59-AL59</f>
        <v>680625.00000000093</v>
      </c>
      <c r="BS59" s="1467">
        <f t="shared" ref="BS59:BS64" si="260">BR59-AM59</f>
        <v>453750.00000000093</v>
      </c>
      <c r="BT59" s="1467">
        <f t="shared" ref="BT59:BT64" si="261">BS59-AN59</f>
        <v>226875.0000000009</v>
      </c>
      <c r="BU59" s="1467">
        <f t="shared" ref="BU59:BU64" si="262">BT59-AO59</f>
        <v>8.7311491370201111E-10</v>
      </c>
      <c r="BV59" s="1478"/>
    </row>
    <row r="60" spans="1:74" x14ac:dyDescent="0.2">
      <c r="A60" s="927" t="str">
        <f t="shared" si="231"/>
        <v>Wheat Integrated (Starch).Straight-Line</v>
      </c>
      <c r="B60" s="1076"/>
      <c r="C60" s="1076" t="str">
        <f t="shared" si="229"/>
        <v>Wheat Integrated (Starch)</v>
      </c>
      <c r="D60" s="1076" t="str">
        <f>Assumptions!$AH$81</f>
        <v>Straight-Line</v>
      </c>
      <c r="E60" s="1076" t="str">
        <f t="shared" si="224"/>
        <v>WDGS drying plant</v>
      </c>
      <c r="F60" s="1467">
        <f t="shared" si="224"/>
        <v>14000000</v>
      </c>
      <c r="G60" s="1467">
        <f t="shared" si="154"/>
        <v>17325000</v>
      </c>
      <c r="H60" s="1467">
        <f t="shared" si="155"/>
        <v>19057500</v>
      </c>
      <c r="I60" s="1467">
        <f t="shared" si="156"/>
        <v>19057500</v>
      </c>
      <c r="J60" s="1161">
        <f t="shared" si="230"/>
        <v>3.3333333333333333E-2</v>
      </c>
      <c r="K60" s="1107"/>
      <c r="L60" s="1467">
        <f t="shared" ref="L60:AA65" si="263">$I60*$J60</f>
        <v>635250</v>
      </c>
      <c r="M60" s="1467">
        <f t="shared" si="263"/>
        <v>635250</v>
      </c>
      <c r="N60" s="1467">
        <f t="shared" si="263"/>
        <v>635250</v>
      </c>
      <c r="O60" s="1467">
        <f t="shared" si="263"/>
        <v>635250</v>
      </c>
      <c r="P60" s="1467">
        <f t="shared" si="263"/>
        <v>635250</v>
      </c>
      <c r="Q60" s="1467">
        <f t="shared" si="263"/>
        <v>635250</v>
      </c>
      <c r="R60" s="1467">
        <f t="shared" si="263"/>
        <v>635250</v>
      </c>
      <c r="S60" s="1467">
        <f t="shared" si="263"/>
        <v>635250</v>
      </c>
      <c r="T60" s="1467">
        <f t="shared" si="263"/>
        <v>635250</v>
      </c>
      <c r="U60" s="1467">
        <f t="shared" si="263"/>
        <v>635250</v>
      </c>
      <c r="V60" s="1467">
        <f t="shared" si="263"/>
        <v>635250</v>
      </c>
      <c r="W60" s="1467">
        <f t="shared" si="263"/>
        <v>635250</v>
      </c>
      <c r="X60" s="1467">
        <f t="shared" si="263"/>
        <v>635250</v>
      </c>
      <c r="Y60" s="1467">
        <f t="shared" si="263"/>
        <v>635250</v>
      </c>
      <c r="Z60" s="1467">
        <f t="shared" si="263"/>
        <v>635250</v>
      </c>
      <c r="AA60" s="1467">
        <f t="shared" si="263"/>
        <v>635250</v>
      </c>
      <c r="AB60" s="1467">
        <f t="shared" si="225"/>
        <v>635250</v>
      </c>
      <c r="AC60" s="1467">
        <f t="shared" si="225"/>
        <v>635250</v>
      </c>
      <c r="AD60" s="1467">
        <f t="shared" si="225"/>
        <v>635250</v>
      </c>
      <c r="AE60" s="1467">
        <f t="shared" si="225"/>
        <v>635250</v>
      </c>
      <c r="AF60" s="1467">
        <f t="shared" si="225"/>
        <v>635250</v>
      </c>
      <c r="AG60" s="1467">
        <f t="shared" si="225"/>
        <v>635250</v>
      </c>
      <c r="AH60" s="1467">
        <f t="shared" si="225"/>
        <v>635250</v>
      </c>
      <c r="AI60" s="1467">
        <f t="shared" si="225"/>
        <v>635250</v>
      </c>
      <c r="AJ60" s="1467">
        <f t="shared" si="225"/>
        <v>635250</v>
      </c>
      <c r="AK60" s="1467">
        <f t="shared" si="225"/>
        <v>635250</v>
      </c>
      <c r="AL60" s="1467">
        <f t="shared" si="225"/>
        <v>635250</v>
      </c>
      <c r="AM60" s="1467">
        <f t="shared" si="225"/>
        <v>635250</v>
      </c>
      <c r="AN60" s="1467">
        <f t="shared" si="225"/>
        <v>635250</v>
      </c>
      <c r="AO60" s="1467">
        <f t="shared" si="225"/>
        <v>635250</v>
      </c>
      <c r="AP60" s="1468">
        <f t="shared" si="232"/>
        <v>19057500</v>
      </c>
      <c r="AQ60" s="1478"/>
      <c r="AR60" s="1467">
        <f t="shared" si="233"/>
        <v>18422250</v>
      </c>
      <c r="AS60" s="1467">
        <f t="shared" si="234"/>
        <v>17787000</v>
      </c>
      <c r="AT60" s="1467">
        <f t="shared" si="235"/>
        <v>17151750</v>
      </c>
      <c r="AU60" s="1467">
        <f t="shared" si="236"/>
        <v>16516500</v>
      </c>
      <c r="AV60" s="1467">
        <f t="shared" si="237"/>
        <v>15881250</v>
      </c>
      <c r="AW60" s="1467">
        <f t="shared" si="238"/>
        <v>15246000</v>
      </c>
      <c r="AX60" s="1467">
        <f t="shared" si="239"/>
        <v>14610750</v>
      </c>
      <c r="AY60" s="1467">
        <f t="shared" si="240"/>
        <v>13975500</v>
      </c>
      <c r="AZ60" s="1467">
        <f t="shared" si="241"/>
        <v>13340250</v>
      </c>
      <c r="BA60" s="1467">
        <f t="shared" si="242"/>
        <v>12705000</v>
      </c>
      <c r="BB60" s="1467">
        <f t="shared" si="243"/>
        <v>12069750</v>
      </c>
      <c r="BC60" s="1467">
        <f t="shared" si="244"/>
        <v>11434500</v>
      </c>
      <c r="BD60" s="1467">
        <f t="shared" si="245"/>
        <v>10799250</v>
      </c>
      <c r="BE60" s="1467">
        <f t="shared" si="246"/>
        <v>10164000</v>
      </c>
      <c r="BF60" s="1467">
        <f t="shared" si="247"/>
        <v>9528750</v>
      </c>
      <c r="BG60" s="1467">
        <f t="shared" si="248"/>
        <v>8893500</v>
      </c>
      <c r="BH60" s="1467">
        <f t="shared" si="249"/>
        <v>8258250</v>
      </c>
      <c r="BI60" s="1467">
        <f t="shared" si="250"/>
        <v>7623000</v>
      </c>
      <c r="BJ60" s="1467">
        <f t="shared" si="251"/>
        <v>6987750</v>
      </c>
      <c r="BK60" s="1467">
        <f t="shared" si="252"/>
        <v>6352500</v>
      </c>
      <c r="BL60" s="1467">
        <f t="shared" si="253"/>
        <v>5717250</v>
      </c>
      <c r="BM60" s="1467">
        <f t="shared" si="254"/>
        <v>5082000</v>
      </c>
      <c r="BN60" s="1467">
        <f t="shared" si="255"/>
        <v>4446750</v>
      </c>
      <c r="BO60" s="1467">
        <f t="shared" si="256"/>
        <v>3811500</v>
      </c>
      <c r="BP60" s="1467">
        <f t="shared" si="257"/>
        <v>3176250</v>
      </c>
      <c r="BQ60" s="1467">
        <f t="shared" si="258"/>
        <v>2541000</v>
      </c>
      <c r="BR60" s="1467">
        <f t="shared" si="259"/>
        <v>1905750</v>
      </c>
      <c r="BS60" s="1467">
        <f t="shared" si="260"/>
        <v>1270500</v>
      </c>
      <c r="BT60" s="1467">
        <f t="shared" si="261"/>
        <v>635250</v>
      </c>
      <c r="BU60" s="1467">
        <f t="shared" si="262"/>
        <v>0</v>
      </c>
      <c r="BV60" s="1478"/>
    </row>
    <row r="61" spans="1:74" x14ac:dyDescent="0.2">
      <c r="A61" s="927" t="str">
        <f t="shared" si="231"/>
        <v>Wheat Integrated (Starch).Straight-Line</v>
      </c>
      <c r="B61" s="1076"/>
      <c r="C61" s="1076" t="str">
        <f t="shared" si="229"/>
        <v>Wheat Integrated (Starch)</v>
      </c>
      <c r="D61" s="1076" t="str">
        <f>Assumptions!$AH$81</f>
        <v>Straight-Line</v>
      </c>
      <c r="E61" s="1076" t="str">
        <f t="shared" ref="E61:F63" si="264">E47</f>
        <v>Stockfeed plant - bran, germ, DDGS</v>
      </c>
      <c r="F61" s="1467">
        <f t="shared" si="264"/>
        <v>0</v>
      </c>
      <c r="G61" s="1467">
        <f t="shared" si="154"/>
        <v>0</v>
      </c>
      <c r="H61" s="1467">
        <f t="shared" si="155"/>
        <v>0</v>
      </c>
      <c r="I61" s="1467">
        <f t="shared" si="156"/>
        <v>0</v>
      </c>
      <c r="J61" s="1161">
        <f t="shared" si="230"/>
        <v>3.3333333333333333E-2</v>
      </c>
      <c r="K61" s="1107"/>
      <c r="L61" s="1467">
        <f t="shared" si="263"/>
        <v>0</v>
      </c>
      <c r="M61" s="1467">
        <f t="shared" si="263"/>
        <v>0</v>
      </c>
      <c r="N61" s="1467">
        <f t="shared" si="263"/>
        <v>0</v>
      </c>
      <c r="O61" s="1467">
        <f t="shared" si="263"/>
        <v>0</v>
      </c>
      <c r="P61" s="1467">
        <f t="shared" si="263"/>
        <v>0</v>
      </c>
      <c r="Q61" s="1467">
        <f t="shared" si="263"/>
        <v>0</v>
      </c>
      <c r="R61" s="1467">
        <f t="shared" si="263"/>
        <v>0</v>
      </c>
      <c r="S61" s="1467">
        <f t="shared" si="263"/>
        <v>0</v>
      </c>
      <c r="T61" s="1467">
        <f t="shared" si="263"/>
        <v>0</v>
      </c>
      <c r="U61" s="1467">
        <f t="shared" si="263"/>
        <v>0</v>
      </c>
      <c r="V61" s="1467">
        <f t="shared" si="263"/>
        <v>0</v>
      </c>
      <c r="W61" s="1467">
        <f t="shared" si="263"/>
        <v>0</v>
      </c>
      <c r="X61" s="1467">
        <f t="shared" si="263"/>
        <v>0</v>
      </c>
      <c r="Y61" s="1467">
        <f t="shared" si="263"/>
        <v>0</v>
      </c>
      <c r="Z61" s="1467">
        <f t="shared" si="263"/>
        <v>0</v>
      </c>
      <c r="AA61" s="1467">
        <f t="shared" si="263"/>
        <v>0</v>
      </c>
      <c r="AB61" s="1467">
        <f t="shared" si="225"/>
        <v>0</v>
      </c>
      <c r="AC61" s="1467">
        <f t="shared" si="225"/>
        <v>0</v>
      </c>
      <c r="AD61" s="1467">
        <f t="shared" si="225"/>
        <v>0</v>
      </c>
      <c r="AE61" s="1467">
        <f t="shared" si="225"/>
        <v>0</v>
      </c>
      <c r="AF61" s="1467">
        <f t="shared" si="225"/>
        <v>0</v>
      </c>
      <c r="AG61" s="1467">
        <f t="shared" si="225"/>
        <v>0</v>
      </c>
      <c r="AH61" s="1467">
        <f t="shared" si="225"/>
        <v>0</v>
      </c>
      <c r="AI61" s="1467">
        <f t="shared" si="225"/>
        <v>0</v>
      </c>
      <c r="AJ61" s="1467">
        <f t="shared" si="225"/>
        <v>0</v>
      </c>
      <c r="AK61" s="1467">
        <f t="shared" si="225"/>
        <v>0</v>
      </c>
      <c r="AL61" s="1467">
        <f t="shared" si="225"/>
        <v>0</v>
      </c>
      <c r="AM61" s="1467">
        <f t="shared" si="225"/>
        <v>0</v>
      </c>
      <c r="AN61" s="1467">
        <f t="shared" si="225"/>
        <v>0</v>
      </c>
      <c r="AO61" s="1467">
        <f t="shared" si="225"/>
        <v>0</v>
      </c>
      <c r="AP61" s="1468">
        <f t="shared" si="232"/>
        <v>0</v>
      </c>
      <c r="AQ61" s="1478"/>
      <c r="AR61" s="1467">
        <f t="shared" si="233"/>
        <v>0</v>
      </c>
      <c r="AS61" s="1467">
        <f t="shared" si="234"/>
        <v>0</v>
      </c>
      <c r="AT61" s="1467">
        <f t="shared" si="235"/>
        <v>0</v>
      </c>
      <c r="AU61" s="1467">
        <f t="shared" si="236"/>
        <v>0</v>
      </c>
      <c r="AV61" s="1467">
        <f t="shared" si="237"/>
        <v>0</v>
      </c>
      <c r="AW61" s="1467">
        <f t="shared" si="238"/>
        <v>0</v>
      </c>
      <c r="AX61" s="1467">
        <f t="shared" si="239"/>
        <v>0</v>
      </c>
      <c r="AY61" s="1467">
        <f t="shared" si="240"/>
        <v>0</v>
      </c>
      <c r="AZ61" s="1467">
        <f t="shared" si="241"/>
        <v>0</v>
      </c>
      <c r="BA61" s="1467">
        <f t="shared" si="242"/>
        <v>0</v>
      </c>
      <c r="BB61" s="1467">
        <f t="shared" si="243"/>
        <v>0</v>
      </c>
      <c r="BC61" s="1467">
        <f t="shared" si="244"/>
        <v>0</v>
      </c>
      <c r="BD61" s="1467">
        <f t="shared" si="245"/>
        <v>0</v>
      </c>
      <c r="BE61" s="1467">
        <f t="shared" si="246"/>
        <v>0</v>
      </c>
      <c r="BF61" s="1467">
        <f t="shared" si="247"/>
        <v>0</v>
      </c>
      <c r="BG61" s="1467">
        <f t="shared" si="248"/>
        <v>0</v>
      </c>
      <c r="BH61" s="1467">
        <f t="shared" si="249"/>
        <v>0</v>
      </c>
      <c r="BI61" s="1467">
        <f t="shared" si="250"/>
        <v>0</v>
      </c>
      <c r="BJ61" s="1467">
        <f t="shared" si="251"/>
        <v>0</v>
      </c>
      <c r="BK61" s="1467">
        <f t="shared" si="252"/>
        <v>0</v>
      </c>
      <c r="BL61" s="1467">
        <f t="shared" si="253"/>
        <v>0</v>
      </c>
      <c r="BM61" s="1467">
        <f t="shared" si="254"/>
        <v>0</v>
      </c>
      <c r="BN61" s="1467">
        <f t="shared" si="255"/>
        <v>0</v>
      </c>
      <c r="BO61" s="1467">
        <f t="shared" si="256"/>
        <v>0</v>
      </c>
      <c r="BP61" s="1467">
        <f t="shared" si="257"/>
        <v>0</v>
      </c>
      <c r="BQ61" s="1467">
        <f t="shared" si="258"/>
        <v>0</v>
      </c>
      <c r="BR61" s="1467">
        <f t="shared" si="259"/>
        <v>0</v>
      </c>
      <c r="BS61" s="1467">
        <f t="shared" si="260"/>
        <v>0</v>
      </c>
      <c r="BT61" s="1467">
        <f t="shared" si="261"/>
        <v>0</v>
      </c>
      <c r="BU61" s="1467">
        <f t="shared" si="262"/>
        <v>0</v>
      </c>
      <c r="BV61" s="1478"/>
    </row>
    <row r="62" spans="1:74" x14ac:dyDescent="0.2">
      <c r="A62" s="927" t="str">
        <f t="shared" si="231"/>
        <v>Wheat Integrated (Starch).Straight-Line</v>
      </c>
      <c r="B62" s="1076"/>
      <c r="C62" s="1076" t="str">
        <f t="shared" si="229"/>
        <v>Wheat Integrated (Starch)</v>
      </c>
      <c r="D62" s="1076" t="str">
        <f>Assumptions!$AH$81</f>
        <v>Straight-Line</v>
      </c>
      <c r="E62" s="1076" t="str">
        <f t="shared" si="264"/>
        <v>Biogas Plant</v>
      </c>
      <c r="F62" s="1467">
        <f t="shared" si="264"/>
        <v>13000000</v>
      </c>
      <c r="G62" s="1467">
        <f t="shared" si="154"/>
        <v>16087500</v>
      </c>
      <c r="H62" s="1467">
        <f t="shared" si="155"/>
        <v>17696250</v>
      </c>
      <c r="I62" s="1467">
        <f t="shared" si="156"/>
        <v>17696250</v>
      </c>
      <c r="J62" s="1161">
        <f t="shared" si="230"/>
        <v>3.3333333333333333E-2</v>
      </c>
      <c r="K62" s="1107"/>
      <c r="L62" s="1467">
        <f t="shared" si="263"/>
        <v>589875</v>
      </c>
      <c r="M62" s="1467">
        <f t="shared" si="263"/>
        <v>589875</v>
      </c>
      <c r="N62" s="1467">
        <f t="shared" si="263"/>
        <v>589875</v>
      </c>
      <c r="O62" s="1467">
        <f t="shared" si="263"/>
        <v>589875</v>
      </c>
      <c r="P62" s="1467">
        <f t="shared" si="263"/>
        <v>589875</v>
      </c>
      <c r="Q62" s="1467">
        <f t="shared" si="263"/>
        <v>589875</v>
      </c>
      <c r="R62" s="1467">
        <f t="shared" si="263"/>
        <v>589875</v>
      </c>
      <c r="S62" s="1467">
        <f t="shared" si="263"/>
        <v>589875</v>
      </c>
      <c r="T62" s="1467">
        <f t="shared" si="263"/>
        <v>589875</v>
      </c>
      <c r="U62" s="1467">
        <f t="shared" si="263"/>
        <v>589875</v>
      </c>
      <c r="V62" s="1467">
        <f t="shared" si="263"/>
        <v>589875</v>
      </c>
      <c r="W62" s="1467">
        <f t="shared" si="263"/>
        <v>589875</v>
      </c>
      <c r="X62" s="1467">
        <f t="shared" si="263"/>
        <v>589875</v>
      </c>
      <c r="Y62" s="1467">
        <f t="shared" si="263"/>
        <v>589875</v>
      </c>
      <c r="Z62" s="1467">
        <f t="shared" si="263"/>
        <v>589875</v>
      </c>
      <c r="AA62" s="1467">
        <f t="shared" si="263"/>
        <v>589875</v>
      </c>
      <c r="AB62" s="1467">
        <f t="shared" si="225"/>
        <v>589875</v>
      </c>
      <c r="AC62" s="1467">
        <f t="shared" si="225"/>
        <v>589875</v>
      </c>
      <c r="AD62" s="1467">
        <f t="shared" si="225"/>
        <v>589875</v>
      </c>
      <c r="AE62" s="1467">
        <f t="shared" si="225"/>
        <v>589875</v>
      </c>
      <c r="AF62" s="1467">
        <f t="shared" si="225"/>
        <v>589875</v>
      </c>
      <c r="AG62" s="1467">
        <f t="shared" si="225"/>
        <v>589875</v>
      </c>
      <c r="AH62" s="1467">
        <f t="shared" si="225"/>
        <v>589875</v>
      </c>
      <c r="AI62" s="1467">
        <f t="shared" si="225"/>
        <v>589875</v>
      </c>
      <c r="AJ62" s="1467">
        <f t="shared" si="225"/>
        <v>589875</v>
      </c>
      <c r="AK62" s="1467">
        <f t="shared" si="225"/>
        <v>589875</v>
      </c>
      <c r="AL62" s="1467">
        <f t="shared" si="225"/>
        <v>589875</v>
      </c>
      <c r="AM62" s="1467">
        <f t="shared" si="225"/>
        <v>589875</v>
      </c>
      <c r="AN62" s="1467">
        <f t="shared" si="225"/>
        <v>589875</v>
      </c>
      <c r="AO62" s="1467">
        <f t="shared" si="225"/>
        <v>589875</v>
      </c>
      <c r="AP62" s="1468">
        <f t="shared" si="232"/>
        <v>17696250</v>
      </c>
      <c r="AQ62" s="1478"/>
      <c r="AR62" s="1467">
        <f t="shared" si="233"/>
        <v>17106375</v>
      </c>
      <c r="AS62" s="1467">
        <f t="shared" si="234"/>
        <v>16516500</v>
      </c>
      <c r="AT62" s="1467">
        <f t="shared" si="235"/>
        <v>15926625</v>
      </c>
      <c r="AU62" s="1467">
        <f t="shared" si="236"/>
        <v>15336750</v>
      </c>
      <c r="AV62" s="1467">
        <f t="shared" si="237"/>
        <v>14746875</v>
      </c>
      <c r="AW62" s="1467">
        <f t="shared" si="238"/>
        <v>14157000</v>
      </c>
      <c r="AX62" s="1467">
        <f t="shared" si="239"/>
        <v>13567125</v>
      </c>
      <c r="AY62" s="1467">
        <f t="shared" si="240"/>
        <v>12977250</v>
      </c>
      <c r="AZ62" s="1467">
        <f t="shared" si="241"/>
        <v>12387375</v>
      </c>
      <c r="BA62" s="1467">
        <f t="shared" si="242"/>
        <v>11797500</v>
      </c>
      <c r="BB62" s="1467">
        <f t="shared" si="243"/>
        <v>11207625</v>
      </c>
      <c r="BC62" s="1467">
        <f t="shared" si="244"/>
        <v>10617750</v>
      </c>
      <c r="BD62" s="1467">
        <f t="shared" si="245"/>
        <v>10027875</v>
      </c>
      <c r="BE62" s="1467">
        <f t="shared" si="246"/>
        <v>9438000</v>
      </c>
      <c r="BF62" s="1467">
        <f t="shared" si="247"/>
        <v>8848125</v>
      </c>
      <c r="BG62" s="1467">
        <f t="shared" si="248"/>
        <v>8258250</v>
      </c>
      <c r="BH62" s="1467">
        <f t="shared" si="249"/>
        <v>7668375</v>
      </c>
      <c r="BI62" s="1467">
        <f t="shared" si="250"/>
        <v>7078500</v>
      </c>
      <c r="BJ62" s="1467">
        <f t="shared" si="251"/>
        <v>6488625</v>
      </c>
      <c r="BK62" s="1467">
        <f t="shared" si="252"/>
        <v>5898750</v>
      </c>
      <c r="BL62" s="1467">
        <f t="shared" si="253"/>
        <v>5308875</v>
      </c>
      <c r="BM62" s="1467">
        <f t="shared" si="254"/>
        <v>4719000</v>
      </c>
      <c r="BN62" s="1467">
        <f t="shared" si="255"/>
        <v>4129125</v>
      </c>
      <c r="BO62" s="1467">
        <f t="shared" si="256"/>
        <v>3539250</v>
      </c>
      <c r="BP62" s="1467">
        <f t="shared" si="257"/>
        <v>2949375</v>
      </c>
      <c r="BQ62" s="1467">
        <f t="shared" si="258"/>
        <v>2359500</v>
      </c>
      <c r="BR62" s="1467">
        <f t="shared" si="259"/>
        <v>1769625</v>
      </c>
      <c r="BS62" s="1467">
        <f t="shared" si="260"/>
        <v>1179750</v>
      </c>
      <c r="BT62" s="1467">
        <f t="shared" si="261"/>
        <v>589875</v>
      </c>
      <c r="BU62" s="1467">
        <f t="shared" si="262"/>
        <v>0</v>
      </c>
      <c r="BV62" s="1478"/>
    </row>
    <row r="63" spans="1:74" x14ac:dyDescent="0.2">
      <c r="A63" s="927" t="str">
        <f t="shared" si="231"/>
        <v>Wheat Integrated (Starch).Straight-Line</v>
      </c>
      <c r="B63" s="1076"/>
      <c r="C63" s="1076" t="str">
        <f t="shared" si="229"/>
        <v>Wheat Integrated (Starch)</v>
      </c>
      <c r="D63" s="1076" t="str">
        <f>Assumptions!$AH$81</f>
        <v>Straight-Line</v>
      </c>
      <c r="E63" s="1076" t="str">
        <f t="shared" si="264"/>
        <v>Cogeneration Plant</v>
      </c>
      <c r="F63" s="1467">
        <f t="shared" si="264"/>
        <v>10000000</v>
      </c>
      <c r="G63" s="1467">
        <f t="shared" si="154"/>
        <v>12375000</v>
      </c>
      <c r="H63" s="1467">
        <f t="shared" si="155"/>
        <v>13612500.000000002</v>
      </c>
      <c r="I63" s="1467">
        <f t="shared" si="156"/>
        <v>13612500.000000002</v>
      </c>
      <c r="J63" s="1161">
        <f t="shared" si="230"/>
        <v>3.3333333333333333E-2</v>
      </c>
      <c r="K63" s="1107"/>
      <c r="L63" s="1467">
        <f t="shared" si="263"/>
        <v>453750.00000000006</v>
      </c>
      <c r="M63" s="1467">
        <f t="shared" si="263"/>
        <v>453750.00000000006</v>
      </c>
      <c r="N63" s="1467">
        <f t="shared" si="263"/>
        <v>453750.00000000006</v>
      </c>
      <c r="O63" s="1467">
        <f t="shared" si="263"/>
        <v>453750.00000000006</v>
      </c>
      <c r="P63" s="1467">
        <f t="shared" si="263"/>
        <v>453750.00000000006</v>
      </c>
      <c r="Q63" s="1467">
        <f t="shared" si="263"/>
        <v>453750.00000000006</v>
      </c>
      <c r="R63" s="1467">
        <f t="shared" si="263"/>
        <v>453750.00000000006</v>
      </c>
      <c r="S63" s="1467">
        <f t="shared" si="263"/>
        <v>453750.00000000006</v>
      </c>
      <c r="T63" s="1467">
        <f t="shared" si="263"/>
        <v>453750.00000000006</v>
      </c>
      <c r="U63" s="1467">
        <f t="shared" si="263"/>
        <v>453750.00000000006</v>
      </c>
      <c r="V63" s="1467">
        <f t="shared" si="263"/>
        <v>453750.00000000006</v>
      </c>
      <c r="W63" s="1467">
        <f t="shared" si="263"/>
        <v>453750.00000000006</v>
      </c>
      <c r="X63" s="1467">
        <f t="shared" si="263"/>
        <v>453750.00000000006</v>
      </c>
      <c r="Y63" s="1467">
        <f t="shared" si="263"/>
        <v>453750.00000000006</v>
      </c>
      <c r="Z63" s="1467">
        <f t="shared" si="263"/>
        <v>453750.00000000006</v>
      </c>
      <c r="AA63" s="1467">
        <f t="shared" si="263"/>
        <v>453750.00000000006</v>
      </c>
      <c r="AB63" s="1467">
        <f t="shared" si="225"/>
        <v>453750.00000000006</v>
      </c>
      <c r="AC63" s="1467">
        <f t="shared" si="225"/>
        <v>453750.00000000006</v>
      </c>
      <c r="AD63" s="1467">
        <f t="shared" si="225"/>
        <v>453750.00000000006</v>
      </c>
      <c r="AE63" s="1467">
        <f t="shared" si="225"/>
        <v>453750.00000000006</v>
      </c>
      <c r="AF63" s="1467">
        <f t="shared" si="225"/>
        <v>453750.00000000006</v>
      </c>
      <c r="AG63" s="1467">
        <f t="shared" si="225"/>
        <v>453750.00000000006</v>
      </c>
      <c r="AH63" s="1467">
        <f t="shared" si="225"/>
        <v>453750.00000000006</v>
      </c>
      <c r="AI63" s="1467">
        <f t="shared" si="225"/>
        <v>453750.00000000006</v>
      </c>
      <c r="AJ63" s="1467">
        <f t="shared" si="225"/>
        <v>453750.00000000006</v>
      </c>
      <c r="AK63" s="1467">
        <f t="shared" si="225"/>
        <v>453750.00000000006</v>
      </c>
      <c r="AL63" s="1467">
        <f t="shared" si="225"/>
        <v>453750.00000000006</v>
      </c>
      <c r="AM63" s="1467">
        <f t="shared" si="225"/>
        <v>453750.00000000006</v>
      </c>
      <c r="AN63" s="1467">
        <f t="shared" si="225"/>
        <v>453750.00000000006</v>
      </c>
      <c r="AO63" s="1467">
        <f t="shared" si="225"/>
        <v>453750.00000000006</v>
      </c>
      <c r="AP63" s="1468">
        <f t="shared" si="232"/>
        <v>13612500.000000002</v>
      </c>
      <c r="AQ63" s="1478"/>
      <c r="AR63" s="1467">
        <f t="shared" si="233"/>
        <v>13158750.000000002</v>
      </c>
      <c r="AS63" s="1467">
        <f t="shared" si="234"/>
        <v>12705000.000000002</v>
      </c>
      <c r="AT63" s="1467">
        <f t="shared" si="235"/>
        <v>12251250.000000002</v>
      </c>
      <c r="AU63" s="1467">
        <f t="shared" si="236"/>
        <v>11797500.000000002</v>
      </c>
      <c r="AV63" s="1467">
        <f t="shared" si="237"/>
        <v>11343750.000000002</v>
      </c>
      <c r="AW63" s="1467">
        <f t="shared" si="238"/>
        <v>10890000.000000002</v>
      </c>
      <c r="AX63" s="1467">
        <f t="shared" si="239"/>
        <v>10436250.000000002</v>
      </c>
      <c r="AY63" s="1467">
        <f t="shared" si="240"/>
        <v>9982500.0000000019</v>
      </c>
      <c r="AZ63" s="1467">
        <f t="shared" si="241"/>
        <v>9528750.0000000019</v>
      </c>
      <c r="BA63" s="1467">
        <f t="shared" si="242"/>
        <v>9075000.0000000019</v>
      </c>
      <c r="BB63" s="1467">
        <f t="shared" si="243"/>
        <v>8621250.0000000019</v>
      </c>
      <c r="BC63" s="1467">
        <f t="shared" si="244"/>
        <v>8167500.0000000019</v>
      </c>
      <c r="BD63" s="1467">
        <f t="shared" si="245"/>
        <v>7713750.0000000019</v>
      </c>
      <c r="BE63" s="1467">
        <f t="shared" si="246"/>
        <v>7260000.0000000019</v>
      </c>
      <c r="BF63" s="1467">
        <f t="shared" si="247"/>
        <v>6806250.0000000019</v>
      </c>
      <c r="BG63" s="1467">
        <f t="shared" si="248"/>
        <v>6352500.0000000019</v>
      </c>
      <c r="BH63" s="1467">
        <f t="shared" si="249"/>
        <v>5898750.0000000019</v>
      </c>
      <c r="BI63" s="1467">
        <f t="shared" si="250"/>
        <v>5445000.0000000019</v>
      </c>
      <c r="BJ63" s="1467">
        <f t="shared" si="251"/>
        <v>4991250.0000000019</v>
      </c>
      <c r="BK63" s="1467">
        <f t="shared" si="252"/>
        <v>4537500.0000000019</v>
      </c>
      <c r="BL63" s="1467">
        <f t="shared" si="253"/>
        <v>4083750.0000000019</v>
      </c>
      <c r="BM63" s="1467">
        <f t="shared" si="254"/>
        <v>3630000.0000000019</v>
      </c>
      <c r="BN63" s="1467">
        <f t="shared" si="255"/>
        <v>3176250.0000000019</v>
      </c>
      <c r="BO63" s="1467">
        <f t="shared" si="256"/>
        <v>2722500.0000000019</v>
      </c>
      <c r="BP63" s="1467">
        <f t="shared" si="257"/>
        <v>2268750.0000000019</v>
      </c>
      <c r="BQ63" s="1467">
        <f t="shared" si="258"/>
        <v>1815000.0000000019</v>
      </c>
      <c r="BR63" s="1467">
        <f t="shared" si="259"/>
        <v>1361250.0000000019</v>
      </c>
      <c r="BS63" s="1467">
        <f t="shared" si="260"/>
        <v>907500.00000000186</v>
      </c>
      <c r="BT63" s="1467">
        <f t="shared" si="261"/>
        <v>453750.0000000018</v>
      </c>
      <c r="BU63" s="1467">
        <f t="shared" si="262"/>
        <v>1.7462298274040222E-9</v>
      </c>
      <c r="BV63" s="1478"/>
    </row>
    <row r="64" spans="1:74" x14ac:dyDescent="0.2">
      <c r="A64" s="927" t="str">
        <f t="shared" si="231"/>
        <v>Wheat Integrated (Starch).Straight-Line</v>
      </c>
      <c r="B64" s="1076"/>
      <c r="C64" s="1168" t="str">
        <f t="shared" si="229"/>
        <v>Wheat Integrated (Starch)</v>
      </c>
      <c r="D64" s="1168" t="str">
        <f>Assumptions!$AH$81</f>
        <v>Straight-Line</v>
      </c>
      <c r="E64" s="1168" t="str">
        <f>E50</f>
        <v>Non-process buildings</v>
      </c>
      <c r="F64" s="1469">
        <f t="shared" ref="F64" si="265">F50</f>
        <v>5000000</v>
      </c>
      <c r="G64" s="1469">
        <f t="shared" si="154"/>
        <v>6187500</v>
      </c>
      <c r="H64" s="1469">
        <f t="shared" si="155"/>
        <v>6806250.0000000009</v>
      </c>
      <c r="I64" s="1469">
        <f t="shared" si="156"/>
        <v>6806250.0000000009</v>
      </c>
      <c r="J64" s="1473">
        <f t="shared" si="230"/>
        <v>3.3333333333333333E-2</v>
      </c>
      <c r="K64" s="1107"/>
      <c r="L64" s="1467">
        <f t="shared" si="263"/>
        <v>226875.00000000003</v>
      </c>
      <c r="M64" s="1467">
        <f t="shared" si="263"/>
        <v>226875.00000000003</v>
      </c>
      <c r="N64" s="1467">
        <f t="shared" si="263"/>
        <v>226875.00000000003</v>
      </c>
      <c r="O64" s="1467">
        <f t="shared" si="263"/>
        <v>226875.00000000003</v>
      </c>
      <c r="P64" s="1467">
        <f t="shared" si="263"/>
        <v>226875.00000000003</v>
      </c>
      <c r="Q64" s="1467">
        <f t="shared" si="263"/>
        <v>226875.00000000003</v>
      </c>
      <c r="R64" s="1467">
        <f t="shared" si="263"/>
        <v>226875.00000000003</v>
      </c>
      <c r="S64" s="1467">
        <f t="shared" si="263"/>
        <v>226875.00000000003</v>
      </c>
      <c r="T64" s="1467">
        <f t="shared" si="263"/>
        <v>226875.00000000003</v>
      </c>
      <c r="U64" s="1467">
        <f t="shared" si="263"/>
        <v>226875.00000000003</v>
      </c>
      <c r="V64" s="1467">
        <f t="shared" si="263"/>
        <v>226875.00000000003</v>
      </c>
      <c r="W64" s="1467">
        <f t="shared" si="263"/>
        <v>226875.00000000003</v>
      </c>
      <c r="X64" s="1467">
        <f t="shared" si="263"/>
        <v>226875.00000000003</v>
      </c>
      <c r="Y64" s="1467">
        <f t="shared" si="263"/>
        <v>226875.00000000003</v>
      </c>
      <c r="Z64" s="1467">
        <f t="shared" si="263"/>
        <v>226875.00000000003</v>
      </c>
      <c r="AA64" s="1467">
        <f t="shared" si="263"/>
        <v>226875.00000000003</v>
      </c>
      <c r="AB64" s="1467">
        <f t="shared" si="225"/>
        <v>226875.00000000003</v>
      </c>
      <c r="AC64" s="1467">
        <f t="shared" si="225"/>
        <v>226875.00000000003</v>
      </c>
      <c r="AD64" s="1467">
        <f t="shared" si="225"/>
        <v>226875.00000000003</v>
      </c>
      <c r="AE64" s="1467">
        <f t="shared" si="225"/>
        <v>226875.00000000003</v>
      </c>
      <c r="AF64" s="1467">
        <f t="shared" si="225"/>
        <v>226875.00000000003</v>
      </c>
      <c r="AG64" s="1467">
        <f t="shared" si="225"/>
        <v>226875.00000000003</v>
      </c>
      <c r="AH64" s="1467">
        <f t="shared" si="225"/>
        <v>226875.00000000003</v>
      </c>
      <c r="AI64" s="1467">
        <f t="shared" si="225"/>
        <v>226875.00000000003</v>
      </c>
      <c r="AJ64" s="1467">
        <f t="shared" si="225"/>
        <v>226875.00000000003</v>
      </c>
      <c r="AK64" s="1467">
        <f t="shared" si="225"/>
        <v>226875.00000000003</v>
      </c>
      <c r="AL64" s="1467">
        <f t="shared" si="225"/>
        <v>226875.00000000003</v>
      </c>
      <c r="AM64" s="1467">
        <f t="shared" si="225"/>
        <v>226875.00000000003</v>
      </c>
      <c r="AN64" s="1467">
        <f t="shared" si="225"/>
        <v>226875.00000000003</v>
      </c>
      <c r="AO64" s="1467">
        <f t="shared" si="225"/>
        <v>226875.00000000003</v>
      </c>
      <c r="AP64" s="1468">
        <f t="shared" si="232"/>
        <v>6806250.0000000009</v>
      </c>
      <c r="AQ64" s="1478"/>
      <c r="AR64" s="1467">
        <f t="shared" si="233"/>
        <v>6579375.0000000009</v>
      </c>
      <c r="AS64" s="1467">
        <f t="shared" si="234"/>
        <v>6352500.0000000009</v>
      </c>
      <c r="AT64" s="1467">
        <f t="shared" si="235"/>
        <v>6125625.0000000009</v>
      </c>
      <c r="AU64" s="1467">
        <f t="shared" si="236"/>
        <v>5898750.0000000009</v>
      </c>
      <c r="AV64" s="1467">
        <f t="shared" si="237"/>
        <v>5671875.0000000009</v>
      </c>
      <c r="AW64" s="1467">
        <f t="shared" si="238"/>
        <v>5445000.0000000009</v>
      </c>
      <c r="AX64" s="1467">
        <f t="shared" si="239"/>
        <v>5218125.0000000009</v>
      </c>
      <c r="AY64" s="1467">
        <f t="shared" si="240"/>
        <v>4991250.0000000009</v>
      </c>
      <c r="AZ64" s="1467">
        <f t="shared" si="241"/>
        <v>4764375.0000000009</v>
      </c>
      <c r="BA64" s="1467">
        <f t="shared" si="242"/>
        <v>4537500.0000000009</v>
      </c>
      <c r="BB64" s="1467">
        <f t="shared" si="243"/>
        <v>4310625.0000000009</v>
      </c>
      <c r="BC64" s="1467">
        <f t="shared" si="244"/>
        <v>4083750.0000000009</v>
      </c>
      <c r="BD64" s="1467">
        <f t="shared" si="245"/>
        <v>3856875.0000000009</v>
      </c>
      <c r="BE64" s="1467">
        <f t="shared" si="246"/>
        <v>3630000.0000000009</v>
      </c>
      <c r="BF64" s="1467">
        <f t="shared" si="247"/>
        <v>3403125.0000000009</v>
      </c>
      <c r="BG64" s="1467">
        <f t="shared" si="248"/>
        <v>3176250.0000000009</v>
      </c>
      <c r="BH64" s="1467">
        <f t="shared" si="249"/>
        <v>2949375.0000000009</v>
      </c>
      <c r="BI64" s="1467">
        <f t="shared" si="250"/>
        <v>2722500.0000000009</v>
      </c>
      <c r="BJ64" s="1467">
        <f t="shared" si="251"/>
        <v>2495625.0000000009</v>
      </c>
      <c r="BK64" s="1467">
        <f t="shared" si="252"/>
        <v>2268750.0000000009</v>
      </c>
      <c r="BL64" s="1467">
        <f t="shared" si="253"/>
        <v>2041875.0000000009</v>
      </c>
      <c r="BM64" s="1467">
        <f t="shared" si="254"/>
        <v>1815000.0000000009</v>
      </c>
      <c r="BN64" s="1467">
        <f t="shared" si="255"/>
        <v>1588125.0000000009</v>
      </c>
      <c r="BO64" s="1467">
        <f t="shared" si="256"/>
        <v>1361250.0000000009</v>
      </c>
      <c r="BP64" s="1467">
        <f t="shared" si="257"/>
        <v>1134375.0000000009</v>
      </c>
      <c r="BQ64" s="1467">
        <f t="shared" si="258"/>
        <v>907500.00000000093</v>
      </c>
      <c r="BR64" s="1467">
        <f t="shared" si="259"/>
        <v>680625.00000000093</v>
      </c>
      <c r="BS64" s="1467">
        <f t="shared" si="260"/>
        <v>453750.00000000093</v>
      </c>
      <c r="BT64" s="1467">
        <f t="shared" si="261"/>
        <v>226875.0000000009</v>
      </c>
      <c r="BU64" s="1467">
        <f t="shared" si="262"/>
        <v>8.7311491370201111E-10</v>
      </c>
      <c r="BV64" s="1478"/>
    </row>
    <row r="65" spans="1:74" x14ac:dyDescent="0.2">
      <c r="C65" s="1470" t="str">
        <f t="shared" si="229"/>
        <v>Wheat Integrated (Starch)</v>
      </c>
      <c r="D65" s="1470" t="str">
        <f>Assumptions!$AH$81</f>
        <v>Straight-Line</v>
      </c>
      <c r="E65" s="1470" t="str">
        <f>E51</f>
        <v>Owner's Cost</v>
      </c>
      <c r="F65" s="1470"/>
      <c r="G65" s="1471">
        <f>G51</f>
        <v>15000000</v>
      </c>
      <c r="H65" s="1471">
        <f t="shared" si="155"/>
        <v>16500000.000000002</v>
      </c>
      <c r="I65" s="1471">
        <f t="shared" si="156"/>
        <v>16500000.000000002</v>
      </c>
      <c r="J65" s="1475">
        <f t="shared" si="230"/>
        <v>3.3333333333333333E-2</v>
      </c>
      <c r="K65" s="1107"/>
      <c r="L65" s="1467">
        <f t="shared" si="263"/>
        <v>550000</v>
      </c>
      <c r="M65" s="1467">
        <f t="shared" si="263"/>
        <v>550000</v>
      </c>
      <c r="N65" s="1467">
        <f t="shared" si="263"/>
        <v>550000</v>
      </c>
      <c r="O65" s="1467">
        <f t="shared" si="263"/>
        <v>550000</v>
      </c>
      <c r="P65" s="1467">
        <f t="shared" si="263"/>
        <v>550000</v>
      </c>
      <c r="Q65" s="1467">
        <f t="shared" si="263"/>
        <v>550000</v>
      </c>
      <c r="R65" s="1467">
        <f t="shared" si="263"/>
        <v>550000</v>
      </c>
      <c r="S65" s="1467">
        <f t="shared" si="263"/>
        <v>550000</v>
      </c>
      <c r="T65" s="1467">
        <f t="shared" si="263"/>
        <v>550000</v>
      </c>
      <c r="U65" s="1467">
        <f t="shared" si="263"/>
        <v>550000</v>
      </c>
      <c r="V65" s="1467">
        <f t="shared" si="263"/>
        <v>550000</v>
      </c>
      <c r="W65" s="1467">
        <f t="shared" si="263"/>
        <v>550000</v>
      </c>
      <c r="X65" s="1467">
        <f t="shared" si="263"/>
        <v>550000</v>
      </c>
      <c r="Y65" s="1467">
        <f t="shared" si="263"/>
        <v>550000</v>
      </c>
      <c r="Z65" s="1467">
        <f t="shared" si="263"/>
        <v>550000</v>
      </c>
      <c r="AA65" s="1467">
        <f t="shared" si="263"/>
        <v>550000</v>
      </c>
      <c r="AB65" s="1467">
        <f t="shared" si="225"/>
        <v>550000</v>
      </c>
      <c r="AC65" s="1467">
        <f t="shared" si="225"/>
        <v>550000</v>
      </c>
      <c r="AD65" s="1467">
        <f t="shared" si="225"/>
        <v>550000</v>
      </c>
      <c r="AE65" s="1467">
        <f t="shared" si="225"/>
        <v>550000</v>
      </c>
      <c r="AF65" s="1467">
        <f t="shared" si="225"/>
        <v>550000</v>
      </c>
      <c r="AG65" s="1467">
        <f t="shared" si="225"/>
        <v>550000</v>
      </c>
      <c r="AH65" s="1467">
        <f t="shared" si="225"/>
        <v>550000</v>
      </c>
      <c r="AI65" s="1467">
        <f t="shared" si="225"/>
        <v>550000</v>
      </c>
      <c r="AJ65" s="1467">
        <f t="shared" si="225"/>
        <v>550000</v>
      </c>
      <c r="AK65" s="1467">
        <f t="shared" si="225"/>
        <v>550000</v>
      </c>
      <c r="AL65" s="1467">
        <f t="shared" si="225"/>
        <v>550000</v>
      </c>
      <c r="AM65" s="1467">
        <f t="shared" si="225"/>
        <v>550000</v>
      </c>
      <c r="AN65" s="1467">
        <f t="shared" si="225"/>
        <v>550000</v>
      </c>
      <c r="AO65" s="1467">
        <f t="shared" si="225"/>
        <v>550000</v>
      </c>
      <c r="AP65" s="1468">
        <f t="shared" ref="AP65" si="266">SUM(L65:AO65)</f>
        <v>16500000</v>
      </c>
      <c r="AQ65" s="1478"/>
      <c r="AR65" s="1467">
        <f t="shared" ref="AR65" si="267">I65-L65</f>
        <v>15950000.000000002</v>
      </c>
      <c r="AS65" s="1467">
        <f t="shared" ref="AS65" si="268">AR65-M65</f>
        <v>15400000.000000002</v>
      </c>
      <c r="AT65" s="1467">
        <f t="shared" ref="AT65" si="269">AS65-N65</f>
        <v>14850000.000000002</v>
      </c>
      <c r="AU65" s="1467">
        <f t="shared" ref="AU65" si="270">AT65-O65</f>
        <v>14300000.000000002</v>
      </c>
      <c r="AV65" s="1467">
        <f t="shared" ref="AV65" si="271">AU65-P65</f>
        <v>13750000.000000002</v>
      </c>
      <c r="AW65" s="1467">
        <f t="shared" ref="AW65" si="272">AV65-Q65</f>
        <v>13200000.000000002</v>
      </c>
      <c r="AX65" s="1467">
        <f t="shared" ref="AX65" si="273">AW65-R65</f>
        <v>12650000.000000002</v>
      </c>
      <c r="AY65" s="1467">
        <f t="shared" ref="AY65" si="274">AX65-S65</f>
        <v>12100000.000000002</v>
      </c>
      <c r="AZ65" s="1467">
        <f t="shared" ref="AZ65" si="275">AY65-T65</f>
        <v>11550000.000000002</v>
      </c>
      <c r="BA65" s="1467">
        <f t="shared" ref="BA65" si="276">AZ65-U65</f>
        <v>11000000.000000002</v>
      </c>
      <c r="BB65" s="1467">
        <f t="shared" ref="BB65" si="277">BA65-V65</f>
        <v>10450000.000000002</v>
      </c>
      <c r="BC65" s="1467">
        <f t="shared" ref="BC65" si="278">BB65-W65</f>
        <v>9900000.0000000019</v>
      </c>
      <c r="BD65" s="1467">
        <f t="shared" ref="BD65" si="279">BC65-X65</f>
        <v>9350000.0000000019</v>
      </c>
      <c r="BE65" s="1467">
        <f t="shared" ref="BE65" si="280">BD65-Y65</f>
        <v>8800000.0000000019</v>
      </c>
      <c r="BF65" s="1467">
        <f t="shared" ref="BF65" si="281">BE65-Z65</f>
        <v>8250000.0000000019</v>
      </c>
      <c r="BG65" s="1467">
        <f t="shared" ref="BG65" si="282">BF65-AA65</f>
        <v>7700000.0000000019</v>
      </c>
      <c r="BH65" s="1467">
        <f t="shared" ref="BH65" si="283">BG65-AB65</f>
        <v>7150000.0000000019</v>
      </c>
      <c r="BI65" s="1467">
        <f t="shared" ref="BI65" si="284">BH65-AC65</f>
        <v>6600000.0000000019</v>
      </c>
      <c r="BJ65" s="1467">
        <f t="shared" ref="BJ65" si="285">BI65-AD65</f>
        <v>6050000.0000000019</v>
      </c>
      <c r="BK65" s="1467">
        <f t="shared" ref="BK65" si="286">BJ65-AE65</f>
        <v>5500000.0000000019</v>
      </c>
      <c r="BL65" s="1467">
        <f t="shared" ref="BL65" si="287">BK65-AF65</f>
        <v>4950000.0000000019</v>
      </c>
      <c r="BM65" s="1467">
        <f t="shared" ref="BM65" si="288">BL65-AG65</f>
        <v>4400000.0000000019</v>
      </c>
      <c r="BN65" s="1467">
        <f t="shared" ref="BN65" si="289">BM65-AH65</f>
        <v>3850000.0000000019</v>
      </c>
      <c r="BO65" s="1467">
        <f t="shared" ref="BO65" si="290">BN65-AI65</f>
        <v>3300000.0000000019</v>
      </c>
      <c r="BP65" s="1467">
        <f t="shared" ref="BP65" si="291">BO65-AJ65</f>
        <v>2750000.0000000019</v>
      </c>
      <c r="BQ65" s="1467">
        <f t="shared" ref="BQ65" si="292">BP65-AK65</f>
        <v>2200000.0000000019</v>
      </c>
      <c r="BR65" s="1467">
        <f t="shared" ref="BR65" si="293">BQ65-AL65</f>
        <v>1650000.0000000019</v>
      </c>
      <c r="BS65" s="1467">
        <f t="shared" ref="BS65" si="294">BR65-AM65</f>
        <v>1100000.0000000019</v>
      </c>
      <c r="BT65" s="1467">
        <f t="shared" ref="BT65" si="295">BS65-AN65</f>
        <v>550000.00000000186</v>
      </c>
      <c r="BU65" s="1467">
        <f t="shared" ref="BU65" si="296">BT65-AO65</f>
        <v>1.862645149230957E-9</v>
      </c>
    </row>
    <row r="66" spans="1:74" x14ac:dyDescent="0.2">
      <c r="B66" s="1297" t="str">
        <f>"Total Depreciation "&amp;C39&amp;" ("&amp;B38&amp;") over 30 years"</f>
        <v>Total Depreciation Wheat Integrated (Starch) (Accelerated) over 30 years</v>
      </c>
      <c r="C66" s="1107"/>
      <c r="D66" s="1107"/>
      <c r="E66" s="1107"/>
      <c r="F66" s="1107"/>
      <c r="G66" s="1107">
        <f t="shared" ref="G66:G67" si="297">F66*(1+$F$4)</f>
        <v>0</v>
      </c>
      <c r="H66" s="1107">
        <f t="shared" ref="H66:H67" si="298">G66*(1+$F$5)</f>
        <v>0</v>
      </c>
      <c r="I66" s="1107">
        <f t="shared" ref="I66" si="299">H66*(1+$F$6)</f>
        <v>0</v>
      </c>
      <c r="J66" s="1472">
        <f>IFERROR(INDEX(Assumptions!$AI$82:$AI$164,MATCH(Depreciation!$D66,Assumptions!$AH$81:$AH$163,0)),0)</f>
        <v>0</v>
      </c>
      <c r="K66" s="1107"/>
      <c r="L66" s="1468">
        <f>SUM(L39:L51)</f>
        <v>29436000</v>
      </c>
      <c r="M66" s="1468">
        <f t="shared" ref="M66:O66" si="300">SUM(M39:M51)</f>
        <v>23548800</v>
      </c>
      <c r="N66" s="1468">
        <f t="shared" si="300"/>
        <v>18839040</v>
      </c>
      <c r="O66" s="1468">
        <f t="shared" si="300"/>
        <v>15071232</v>
      </c>
      <c r="P66" s="1468">
        <f t="shared" ref="P66:AP66" si="301">SUM(P39:P50)</f>
        <v>10705305.600000001</v>
      </c>
      <c r="Q66" s="1468">
        <f t="shared" si="301"/>
        <v>8564244.4800000004</v>
      </c>
      <c r="R66" s="1468">
        <f t="shared" si="301"/>
        <v>6851395.5839999998</v>
      </c>
      <c r="S66" s="1468">
        <f t="shared" si="301"/>
        <v>5481116.4671999998</v>
      </c>
      <c r="T66" s="1468">
        <f t="shared" si="301"/>
        <v>4384893.1737600006</v>
      </c>
      <c r="U66" s="1468">
        <f t="shared" si="301"/>
        <v>3507914.5390079999</v>
      </c>
      <c r="V66" s="1468">
        <f t="shared" si="301"/>
        <v>2806331.6312063993</v>
      </c>
      <c r="W66" s="1468">
        <f t="shared" si="301"/>
        <v>2245065.3049651193</v>
      </c>
      <c r="X66" s="1468">
        <f t="shared" si="301"/>
        <v>1796052.2439720961</v>
      </c>
      <c r="Y66" s="1468">
        <f t="shared" si="301"/>
        <v>1436841.7951776765</v>
      </c>
      <c r="Z66" s="1468">
        <f t="shared" si="301"/>
        <v>1149473.4361421405</v>
      </c>
      <c r="AA66" s="1468">
        <f t="shared" si="301"/>
        <v>919578.74891371292</v>
      </c>
      <c r="AB66" s="1468">
        <f t="shared" si="301"/>
        <v>735662.99913097091</v>
      </c>
      <c r="AC66" s="1468">
        <f t="shared" si="301"/>
        <v>588530.39930477808</v>
      </c>
      <c r="AD66" s="1468">
        <f t="shared" si="301"/>
        <v>470824.31944382231</v>
      </c>
      <c r="AE66" s="1468">
        <f t="shared" si="301"/>
        <v>376659.45555505756</v>
      </c>
      <c r="AF66" s="1468">
        <f t="shared" si="301"/>
        <v>301327.56444404571</v>
      </c>
      <c r="AG66" s="1468">
        <f t="shared" si="301"/>
        <v>241062.05155523718</v>
      </c>
      <c r="AH66" s="1468">
        <f t="shared" si="301"/>
        <v>192849.64124419022</v>
      </c>
      <c r="AI66" s="1468">
        <f t="shared" si="301"/>
        <v>154279.71299535257</v>
      </c>
      <c r="AJ66" s="1468">
        <f t="shared" si="301"/>
        <v>123423.77039628215</v>
      </c>
      <c r="AK66" s="1468">
        <f t="shared" si="301"/>
        <v>98739.016317025962</v>
      </c>
      <c r="AL66" s="1468">
        <f t="shared" si="301"/>
        <v>78991.213053621366</v>
      </c>
      <c r="AM66" s="1468">
        <f t="shared" si="301"/>
        <v>63192.97044289708</v>
      </c>
      <c r="AN66" s="1468">
        <f t="shared" si="301"/>
        <v>50554.376354318862</v>
      </c>
      <c r="AO66" s="1468">
        <f t="shared" si="301"/>
        <v>40443.501083455238</v>
      </c>
      <c r="AP66" s="1468">
        <f t="shared" si="301"/>
        <v>130518225.99566619</v>
      </c>
      <c r="AQ66" s="1466"/>
      <c r="AR66" s="1297"/>
      <c r="AS66" s="1297"/>
      <c r="AT66" s="1297"/>
      <c r="AU66" s="1297"/>
      <c r="AV66" s="1297"/>
      <c r="AW66" s="1297"/>
      <c r="AX66" s="1297"/>
      <c r="AY66" s="1297"/>
      <c r="AZ66" s="1297"/>
      <c r="BA66" s="1297"/>
      <c r="BB66" s="1297"/>
      <c r="BC66" s="1297"/>
      <c r="BD66" s="1297"/>
      <c r="BE66" s="1297"/>
      <c r="BF66" s="1297"/>
      <c r="BG66" s="1297"/>
      <c r="BH66" s="1297"/>
      <c r="BI66" s="1297"/>
      <c r="BJ66" s="1297"/>
      <c r="BK66" s="1297"/>
      <c r="BL66" s="1297"/>
      <c r="BM66" s="1297"/>
      <c r="BN66" s="1297"/>
      <c r="BO66" s="1297"/>
      <c r="BP66" s="1297"/>
      <c r="BQ66" s="1297"/>
      <c r="BR66" s="1297"/>
      <c r="BS66" s="1297"/>
      <c r="BT66" s="1297"/>
      <c r="BU66" s="1297"/>
    </row>
    <row r="67" spans="1:74" x14ac:dyDescent="0.2">
      <c r="B67" s="1297" t="str">
        <f>"Total Depreciation "&amp;C39&amp;" ("&amp;B52&amp;") over 30 years"</f>
        <v>Total Depreciation Wheat Integrated (Starch) (Straight-Line) over 30 years</v>
      </c>
      <c r="C67" s="1107"/>
      <c r="D67" s="1107"/>
      <c r="E67" s="1107"/>
      <c r="F67" s="1107"/>
      <c r="G67" s="1107">
        <f t="shared" si="297"/>
        <v>0</v>
      </c>
      <c r="H67" s="1107">
        <f t="shared" si="298"/>
        <v>0</v>
      </c>
      <c r="I67" s="1468">
        <f>SUM(I53:I65)</f>
        <v>147180000</v>
      </c>
      <c r="J67" s="1472">
        <f>IFERROR(INDEX(Assumptions!$AI$82:$AI$164,MATCH(Depreciation!$D67,Assumptions!$AH$81:$AH$163,0)),0)</f>
        <v>0</v>
      </c>
      <c r="K67" s="1107"/>
      <c r="L67" s="1468">
        <f>SUM(L53:L65)</f>
        <v>4906000</v>
      </c>
      <c r="M67" s="1468">
        <f t="shared" ref="M67:AP67" si="302">SUM(M53:M65)</f>
        <v>4906000</v>
      </c>
      <c r="N67" s="1468">
        <f t="shared" si="302"/>
        <v>4906000</v>
      </c>
      <c r="O67" s="1468">
        <f t="shared" si="302"/>
        <v>4906000</v>
      </c>
      <c r="P67" s="1468">
        <f t="shared" si="302"/>
        <v>4906000</v>
      </c>
      <c r="Q67" s="1468">
        <f t="shared" si="302"/>
        <v>4906000</v>
      </c>
      <c r="R67" s="1468">
        <f t="shared" si="302"/>
        <v>4906000</v>
      </c>
      <c r="S67" s="1468">
        <f t="shared" si="302"/>
        <v>4906000</v>
      </c>
      <c r="T67" s="1468">
        <f t="shared" si="302"/>
        <v>4906000</v>
      </c>
      <c r="U67" s="1468">
        <f t="shared" si="302"/>
        <v>4906000</v>
      </c>
      <c r="V67" s="1468">
        <f t="shared" si="302"/>
        <v>4906000</v>
      </c>
      <c r="W67" s="1468">
        <f t="shared" si="302"/>
        <v>4906000</v>
      </c>
      <c r="X67" s="1468">
        <f t="shared" si="302"/>
        <v>4906000</v>
      </c>
      <c r="Y67" s="1468">
        <f t="shared" si="302"/>
        <v>4906000</v>
      </c>
      <c r="Z67" s="1468">
        <f t="shared" si="302"/>
        <v>4906000</v>
      </c>
      <c r="AA67" s="1468">
        <f t="shared" si="302"/>
        <v>4906000</v>
      </c>
      <c r="AB67" s="1468">
        <f t="shared" si="302"/>
        <v>4906000</v>
      </c>
      <c r="AC67" s="1468">
        <f t="shared" si="302"/>
        <v>4906000</v>
      </c>
      <c r="AD67" s="1468">
        <f t="shared" si="302"/>
        <v>4906000</v>
      </c>
      <c r="AE67" s="1468">
        <f t="shared" si="302"/>
        <v>4906000</v>
      </c>
      <c r="AF67" s="1468">
        <f t="shared" si="302"/>
        <v>4906000</v>
      </c>
      <c r="AG67" s="1468">
        <f t="shared" si="302"/>
        <v>4906000</v>
      </c>
      <c r="AH67" s="1468">
        <f t="shared" si="302"/>
        <v>4906000</v>
      </c>
      <c r="AI67" s="1468">
        <f t="shared" si="302"/>
        <v>4906000</v>
      </c>
      <c r="AJ67" s="1468">
        <f t="shared" si="302"/>
        <v>4906000</v>
      </c>
      <c r="AK67" s="1468">
        <f t="shared" si="302"/>
        <v>4906000</v>
      </c>
      <c r="AL67" s="1468">
        <f t="shared" si="302"/>
        <v>4906000</v>
      </c>
      <c r="AM67" s="1468">
        <f t="shared" si="302"/>
        <v>4906000</v>
      </c>
      <c r="AN67" s="1468">
        <f t="shared" si="302"/>
        <v>4906000</v>
      </c>
      <c r="AO67" s="1468">
        <f t="shared" si="302"/>
        <v>4906000</v>
      </c>
      <c r="AP67" s="1468">
        <f t="shared" si="302"/>
        <v>147180000</v>
      </c>
      <c r="AQ67" s="1466"/>
      <c r="AR67" s="1297"/>
      <c r="AS67" s="1297"/>
      <c r="AT67" s="1297"/>
      <c r="AU67" s="1297"/>
      <c r="AV67" s="1297"/>
      <c r="AW67" s="1297"/>
      <c r="AX67" s="1297"/>
      <c r="AY67" s="1297"/>
      <c r="AZ67" s="1297"/>
      <c r="BA67" s="1297"/>
      <c r="BB67" s="1297"/>
      <c r="BC67" s="1297"/>
      <c r="BD67" s="1297"/>
      <c r="BE67" s="1297"/>
      <c r="BF67" s="1297"/>
      <c r="BG67" s="1297"/>
      <c r="BH67" s="1297"/>
      <c r="BI67" s="1297"/>
      <c r="BJ67" s="1297"/>
      <c r="BK67" s="1297"/>
      <c r="BL67" s="1297"/>
      <c r="BM67" s="1297"/>
      <c r="BN67" s="1297"/>
      <c r="BO67" s="1297"/>
      <c r="BP67" s="1297"/>
      <c r="BQ67" s="1297"/>
      <c r="BR67" s="1297"/>
      <c r="BS67" s="1297"/>
      <c r="BT67" s="1297"/>
      <c r="BU67" s="1297"/>
    </row>
    <row r="68" spans="1:74" x14ac:dyDescent="0.2">
      <c r="L68" s="1476"/>
    </row>
    <row r="70" spans="1:74" ht="15" x14ac:dyDescent="0.25">
      <c r="B70" s="1479" t="str">
        <f>'Summary Tables'!J5</f>
        <v>B-Syrup (Sucrosic)</v>
      </c>
      <c r="C70" s="1480"/>
      <c r="D70" s="1480"/>
      <c r="E70" s="1480"/>
      <c r="F70" s="1480"/>
      <c r="G70" s="1480"/>
      <c r="H70" s="1480"/>
      <c r="I70" s="1480"/>
      <c r="J70" s="1480"/>
      <c r="K70" s="1480"/>
      <c r="L70" s="1480"/>
      <c r="M70" s="1480"/>
      <c r="N70" s="1480"/>
      <c r="O70" s="1480"/>
      <c r="P70" s="1480"/>
      <c r="Q70" s="1480"/>
      <c r="R70" s="1480"/>
      <c r="S70" s="1480"/>
      <c r="T70" s="1480"/>
      <c r="U70" s="1480"/>
      <c r="V70" s="1480"/>
      <c r="W70" s="1480"/>
      <c r="X70" s="1480"/>
      <c r="Y70" s="1480"/>
      <c r="Z70" s="1480"/>
      <c r="AA70" s="1480"/>
      <c r="AB70" s="1480"/>
      <c r="AC70" s="1480"/>
      <c r="AD70" s="1480"/>
      <c r="AE70" s="1480"/>
      <c r="AF70" s="1480"/>
      <c r="AG70" s="1480"/>
      <c r="AH70" s="1480"/>
      <c r="AI70" s="1480"/>
      <c r="AJ70" s="1480"/>
      <c r="AK70" s="1480"/>
      <c r="AL70" s="1480"/>
      <c r="AM70" s="1480"/>
      <c r="AN70" s="1480"/>
      <c r="AO70" s="1480"/>
      <c r="AP70" s="1480"/>
      <c r="AQ70" s="1480"/>
      <c r="AR70" s="1480"/>
      <c r="AS70" s="1480"/>
      <c r="AT70" s="1480"/>
      <c r="AU70" s="1480"/>
      <c r="AV70" s="1480"/>
      <c r="AW70" s="1480"/>
      <c r="AX70" s="1480"/>
      <c r="AY70" s="1480"/>
      <c r="AZ70" s="1480"/>
      <c r="BA70" s="1480"/>
      <c r="BB70" s="1480"/>
      <c r="BC70" s="1480"/>
      <c r="BD70" s="1480"/>
      <c r="BE70" s="1480"/>
      <c r="BF70" s="1480"/>
      <c r="BG70" s="1480"/>
      <c r="BH70" s="1480"/>
      <c r="BI70" s="1480"/>
      <c r="BJ70" s="1480"/>
      <c r="BK70" s="1480"/>
      <c r="BL70" s="1480"/>
      <c r="BM70" s="1480"/>
      <c r="BN70" s="1480"/>
      <c r="BO70" s="1480"/>
      <c r="BP70" s="1480"/>
      <c r="BQ70" s="1480"/>
      <c r="BR70" s="1480"/>
      <c r="BS70" s="1480"/>
      <c r="BT70" s="1480"/>
      <c r="BU70" s="1480"/>
      <c r="BV70" s="1480"/>
    </row>
    <row r="71" spans="1:74" x14ac:dyDescent="0.2">
      <c r="B71" s="1297" t="str">
        <f>Assumptions!$AH$82</f>
        <v>Accelerated</v>
      </c>
      <c r="C71" s="1297"/>
      <c r="D71" s="1297"/>
      <c r="E71" s="1297"/>
      <c r="F71" s="1297"/>
      <c r="G71" s="1297"/>
      <c r="H71" s="1297"/>
      <c r="I71" s="1297"/>
      <c r="J71" s="1297"/>
      <c r="K71" s="1107"/>
      <c r="L71" s="1107"/>
      <c r="M71" s="1107"/>
      <c r="N71" s="1107"/>
      <c r="O71" s="1107"/>
      <c r="P71" s="1107"/>
      <c r="Q71" s="1107"/>
      <c r="R71" s="1107"/>
      <c r="S71" s="1107"/>
      <c r="T71" s="1107"/>
      <c r="U71" s="1107"/>
      <c r="V71" s="1107"/>
      <c r="W71" s="1107"/>
      <c r="X71" s="1107"/>
      <c r="Y71" s="1107"/>
      <c r="Z71" s="1107"/>
      <c r="AA71" s="1107"/>
      <c r="AB71" s="1107"/>
      <c r="AC71" s="1107"/>
      <c r="AD71" s="1107"/>
      <c r="AE71" s="1107"/>
      <c r="AF71" s="1107"/>
      <c r="AG71" s="1107"/>
      <c r="AH71" s="1107"/>
      <c r="AI71" s="1107"/>
      <c r="AJ71" s="1107"/>
      <c r="AK71" s="1107"/>
      <c r="AL71" s="1107"/>
      <c r="AM71" s="1107"/>
      <c r="AN71" s="1107"/>
      <c r="AO71" s="1107"/>
      <c r="AP71" s="1297"/>
      <c r="AQ71" s="1480"/>
      <c r="AR71" s="1297"/>
      <c r="AS71" s="1297"/>
      <c r="AT71" s="1297"/>
      <c r="AU71" s="1297"/>
      <c r="AV71" s="1297"/>
      <c r="AW71" s="1297"/>
      <c r="AX71" s="1297"/>
      <c r="AY71" s="1297"/>
      <c r="AZ71" s="1297"/>
      <c r="BA71" s="1297"/>
      <c r="BB71" s="1297"/>
      <c r="BC71" s="1297"/>
      <c r="BD71" s="1297"/>
      <c r="BE71" s="1297"/>
      <c r="BF71" s="1297"/>
      <c r="BG71" s="1297"/>
      <c r="BH71" s="1297"/>
      <c r="BI71" s="1297"/>
      <c r="BJ71" s="1297"/>
      <c r="BK71" s="1297"/>
      <c r="BL71" s="1297"/>
      <c r="BM71" s="1297"/>
      <c r="BN71" s="1297"/>
      <c r="BO71" s="1297"/>
      <c r="BP71" s="1297"/>
      <c r="BQ71" s="1297"/>
      <c r="BR71" s="1297"/>
      <c r="BS71" s="1297"/>
      <c r="BT71" s="1297"/>
      <c r="BU71" s="1297"/>
      <c r="BV71" s="1480"/>
    </row>
    <row r="72" spans="1:74" x14ac:dyDescent="0.2">
      <c r="A72" s="927" t="str">
        <f>C72&amp;"."&amp;D72</f>
        <v>B-Syrup (Sucrosic).Accelerated</v>
      </c>
      <c r="B72" s="1076"/>
      <c r="C72" s="1076" t="str">
        <f>B70</f>
        <v>B-Syrup (Sucrosic)</v>
      </c>
      <c r="D72" s="1076" t="str">
        <f>Assumptions!$AH$82</f>
        <v>Accelerated</v>
      </c>
      <c r="E72" s="1076" t="str">
        <f>'B-Syrup (Sucrosic)'!G206</f>
        <v>Molasses Receival</v>
      </c>
      <c r="F72" s="1467">
        <f>SUM('B-Syrup (Sucrosic)'!I206:J206)*1000000</f>
        <v>10000000</v>
      </c>
      <c r="G72" s="1467">
        <f>F72*(1+$F$4)</f>
        <v>12375000</v>
      </c>
      <c r="H72" s="1467">
        <f>G72*(1+$F$5)</f>
        <v>13612500.000000002</v>
      </c>
      <c r="I72" s="1467">
        <f>H72*(1+$F$6)</f>
        <v>13612500.000000002</v>
      </c>
      <c r="J72" s="1076">
        <f>Assumptions!$N$55</f>
        <v>0.2</v>
      </c>
      <c r="K72" s="1107"/>
      <c r="L72" s="1467">
        <f>$I72*$J72</f>
        <v>2722500.0000000005</v>
      </c>
      <c r="M72" s="1467">
        <f>($I72-SUM($L72:L72))*$J72</f>
        <v>2178000.0000000005</v>
      </c>
      <c r="N72" s="1467">
        <f>($I72-SUM($L72:M72))*$J72</f>
        <v>1742400</v>
      </c>
      <c r="O72" s="1467">
        <f>($I72-SUM($L72:N72))*$J72</f>
        <v>1393920.0000000002</v>
      </c>
      <c r="P72" s="1467">
        <f>($I72-SUM($L72:O72))*$J72</f>
        <v>1115136.0000000002</v>
      </c>
      <c r="Q72" s="1467">
        <f>($I72-SUM($L72:P72))*$J72</f>
        <v>892108.80000000005</v>
      </c>
      <c r="R72" s="1467">
        <f>($I72-SUM($L72:Q72))*$J72</f>
        <v>713687.03999999992</v>
      </c>
      <c r="S72" s="1467">
        <f>($I72-SUM($L72:R72))*$J72</f>
        <v>570949.6320000001</v>
      </c>
      <c r="T72" s="1467">
        <f>($I72-SUM($L72:S72))*$J72</f>
        <v>456759.70560000022</v>
      </c>
      <c r="U72" s="1467">
        <f>($I72-SUM($L72:T72))*$J72</f>
        <v>365407.76448000001</v>
      </c>
      <c r="V72" s="1467">
        <f>($I72-SUM($L72:U72))*$J72</f>
        <v>292326.21158399992</v>
      </c>
      <c r="W72" s="1467">
        <f>($I72-SUM($L72:V72))*$J72</f>
        <v>233860.96926719995</v>
      </c>
      <c r="X72" s="1467">
        <f>($I72-SUM($L72:W72))*$J72</f>
        <v>187088.77541375981</v>
      </c>
      <c r="Y72" s="1467">
        <f>($I72-SUM($L72:X72))*$J72</f>
        <v>149671.02033100798</v>
      </c>
      <c r="Z72" s="1467">
        <f>($I72-SUM($L72:Y72))*$J72</f>
        <v>119736.81626480632</v>
      </c>
      <c r="AA72" s="1467">
        <f>($I72-SUM($L72:Z72))*$J72</f>
        <v>95789.453011845064</v>
      </c>
      <c r="AB72" s="1467">
        <f>($I72-SUM($L72:AA72))*$J72</f>
        <v>76631.562409476188</v>
      </c>
      <c r="AC72" s="1467">
        <f>($I72-SUM($L72:AB72))*$J72</f>
        <v>61305.249927581106</v>
      </c>
      <c r="AD72" s="1467">
        <f>($I72-SUM($L72:AC72))*$J72</f>
        <v>49044.199942065032</v>
      </c>
      <c r="AE72" s="1467">
        <f>($I72-SUM($L72:AD72))*$J72</f>
        <v>39235.359953651954</v>
      </c>
      <c r="AF72" s="1467">
        <f>($I72-SUM($L72:AE72))*$J72</f>
        <v>31388.28796292171</v>
      </c>
      <c r="AG72" s="1467">
        <f>($I72-SUM($L72:AF72))*$J72</f>
        <v>25110.630370337516</v>
      </c>
      <c r="AH72" s="1467">
        <f>($I72-SUM($L72:AG72))*$J72</f>
        <v>20088.504296270014</v>
      </c>
      <c r="AI72" s="1467">
        <f>($I72-SUM($L72:AH72))*$J72</f>
        <v>16070.80343701616</v>
      </c>
      <c r="AJ72" s="1467">
        <f>($I72-SUM($L72:AI72))*$J72</f>
        <v>12856.64274961278</v>
      </c>
      <c r="AK72" s="1467">
        <f>($I72-SUM($L72:AJ72))*$J72</f>
        <v>10285.314199690149</v>
      </c>
      <c r="AL72" s="1467">
        <f>($I72-SUM($L72:AK72))*$J72</f>
        <v>8228.2513597521938</v>
      </c>
      <c r="AM72" s="1467">
        <f>($I72-SUM($L72:AL72))*$J72</f>
        <v>6582.6010878019042</v>
      </c>
      <c r="AN72" s="1467">
        <f>($I72-SUM($L72:AM72))*$J72</f>
        <v>5266.0808702416725</v>
      </c>
      <c r="AO72" s="1467">
        <f>($I72-SUM($L72:AN72))*$J72</f>
        <v>4212.8646961934865</v>
      </c>
      <c r="AP72" s="1468">
        <f>SUM(L72:AO72)</f>
        <v>13595648.541215228</v>
      </c>
      <c r="AQ72" s="1480"/>
      <c r="AR72" s="1467">
        <f>I72-L72</f>
        <v>10890000.000000002</v>
      </c>
      <c r="AS72" s="1467">
        <f>AR72-M72</f>
        <v>8712000.0000000019</v>
      </c>
      <c r="AT72" s="1467">
        <f t="shared" ref="AT72:BU79" si="303">AS72-N72</f>
        <v>6969600.0000000019</v>
      </c>
      <c r="AU72" s="1467">
        <f t="shared" si="303"/>
        <v>5575680.0000000019</v>
      </c>
      <c r="AV72" s="1467">
        <f t="shared" si="303"/>
        <v>4460544.0000000019</v>
      </c>
      <c r="AW72" s="1467">
        <f t="shared" si="303"/>
        <v>3568435.200000002</v>
      </c>
      <c r="AX72" s="1467">
        <f t="shared" si="303"/>
        <v>2854748.160000002</v>
      </c>
      <c r="AY72" s="1467">
        <f t="shared" si="303"/>
        <v>2283798.5280000018</v>
      </c>
      <c r="AZ72" s="1467">
        <f t="shared" si="303"/>
        <v>1827038.8224000016</v>
      </c>
      <c r="BA72" s="1467">
        <f t="shared" si="303"/>
        <v>1461631.0579200014</v>
      </c>
      <c r="BB72" s="1467">
        <f t="shared" si="303"/>
        <v>1169304.8463360015</v>
      </c>
      <c r="BC72" s="1467">
        <f t="shared" si="303"/>
        <v>935443.87706880155</v>
      </c>
      <c r="BD72" s="1467">
        <f t="shared" si="303"/>
        <v>748355.1016550418</v>
      </c>
      <c r="BE72" s="1467">
        <f t="shared" si="303"/>
        <v>598684.08132403379</v>
      </c>
      <c r="BF72" s="1467">
        <f t="shared" si="303"/>
        <v>478947.26505922747</v>
      </c>
      <c r="BG72" s="1467">
        <f t="shared" si="303"/>
        <v>383157.81204738241</v>
      </c>
      <c r="BH72" s="1467">
        <f t="shared" si="303"/>
        <v>306526.24963790621</v>
      </c>
      <c r="BI72" s="1467">
        <f t="shared" si="303"/>
        <v>245220.99971032509</v>
      </c>
      <c r="BJ72" s="1467">
        <f t="shared" si="303"/>
        <v>196176.79976826007</v>
      </c>
      <c r="BK72" s="1467">
        <f t="shared" si="303"/>
        <v>156941.43981460811</v>
      </c>
      <c r="BL72" s="1467">
        <f t="shared" si="303"/>
        <v>125553.1518516864</v>
      </c>
      <c r="BM72" s="1467">
        <f t="shared" si="303"/>
        <v>100442.52148134889</v>
      </c>
      <c r="BN72" s="1467">
        <f t="shared" si="303"/>
        <v>80354.017185078876</v>
      </c>
      <c r="BO72" s="1467">
        <f t="shared" si="303"/>
        <v>64283.213748062713</v>
      </c>
      <c r="BP72" s="1467">
        <f t="shared" si="303"/>
        <v>51426.570998449934</v>
      </c>
      <c r="BQ72" s="1467">
        <f t="shared" si="303"/>
        <v>41141.256798759787</v>
      </c>
      <c r="BR72" s="1467">
        <f t="shared" si="303"/>
        <v>32913.005439007597</v>
      </c>
      <c r="BS72" s="1467">
        <f t="shared" si="303"/>
        <v>26330.404351205692</v>
      </c>
      <c r="BT72" s="1467">
        <f t="shared" si="303"/>
        <v>21064.32348096402</v>
      </c>
      <c r="BU72" s="1467">
        <f t="shared" si="303"/>
        <v>16851.458784770533</v>
      </c>
      <c r="BV72" s="1480"/>
    </row>
    <row r="73" spans="1:74" x14ac:dyDescent="0.2">
      <c r="A73" s="927" t="str">
        <f t="shared" ref="A73:A89" si="304">C73&amp;"."&amp;D73</f>
        <v>B-Syrup (Sucrosic).Accelerated</v>
      </c>
      <c r="B73" s="1076"/>
      <c r="C73" s="1076" t="str">
        <f>C72</f>
        <v>B-Syrup (Sucrosic)</v>
      </c>
      <c r="D73" s="1076" t="str">
        <f>Assumptions!$AH$82</f>
        <v>Accelerated</v>
      </c>
      <c r="E73" s="1076" t="str">
        <f>'B-Syrup (Sucrosic)'!G207</f>
        <v>Fermentation Plant</v>
      </c>
      <c r="F73" s="1467">
        <f>SUM('B-Syrup (Sucrosic)'!I207:J207)*1000000</f>
        <v>18000000</v>
      </c>
      <c r="G73" s="1467">
        <f t="shared" ref="G73:G89" si="305">F73*(1+$F$4)</f>
        <v>22275000</v>
      </c>
      <c r="H73" s="1467">
        <f t="shared" ref="H73:H89" si="306">G73*(1+$F$5)</f>
        <v>24502500.000000004</v>
      </c>
      <c r="I73" s="1467">
        <f t="shared" ref="I73:I89" si="307">H73*(1+$F$6)</f>
        <v>24502500.000000004</v>
      </c>
      <c r="J73" s="1076">
        <f>J72</f>
        <v>0.2</v>
      </c>
      <c r="K73" s="1107"/>
      <c r="L73" s="1467">
        <f t="shared" ref="L73:AA88" si="308">$I73*$J73</f>
        <v>4900500.0000000009</v>
      </c>
      <c r="M73" s="1467">
        <f>($I73-SUM($L73:L73))*$J73</f>
        <v>3920400.0000000009</v>
      </c>
      <c r="N73" s="1467">
        <f>($I73-SUM($L73:M73))*$J73</f>
        <v>3136320.0000000005</v>
      </c>
      <c r="O73" s="1467">
        <f>($I73-SUM($L73:N73))*$J73</f>
        <v>2509056.0000000005</v>
      </c>
      <c r="P73" s="1467">
        <f>($I73-SUM($L73:O73))*$J73</f>
        <v>2007244.8000000005</v>
      </c>
      <c r="Q73" s="1467">
        <f>($I73-SUM($L73:P73))*$J73</f>
        <v>1605795.8400000003</v>
      </c>
      <c r="R73" s="1467">
        <f>($I73-SUM($L73:Q73))*$J73</f>
        <v>1284636.672</v>
      </c>
      <c r="S73" s="1467">
        <f>($I73-SUM($L73:R73))*$J73</f>
        <v>1027709.3376000002</v>
      </c>
      <c r="T73" s="1467">
        <f>($I73-SUM($L73:S73))*$J73</f>
        <v>822167.47008000023</v>
      </c>
      <c r="U73" s="1467">
        <f>($I73-SUM($L73:T73))*$J73</f>
        <v>657733.97606400028</v>
      </c>
      <c r="V73" s="1467">
        <f>($I73-SUM($L73:U73))*$J73</f>
        <v>526187.18085120025</v>
      </c>
      <c r="W73" s="1467">
        <f>($I73-SUM($L73:V73))*$J73</f>
        <v>420949.74468096049</v>
      </c>
      <c r="X73" s="1467">
        <f>($I73-SUM($L73:W73))*$J73</f>
        <v>336759.79574476858</v>
      </c>
      <c r="Y73" s="1467">
        <f>($I73-SUM($L73:X73))*$J73</f>
        <v>269407.83659581468</v>
      </c>
      <c r="Z73" s="1467">
        <f>($I73-SUM($L73:Y73))*$J73</f>
        <v>215526.26927665176</v>
      </c>
      <c r="AA73" s="1467">
        <f>($I73-SUM($L73:Z73))*$J73</f>
        <v>172421.01542132127</v>
      </c>
      <c r="AB73" s="1467">
        <f>($I73-SUM($L73:AA73))*$J73</f>
        <v>137936.81233705729</v>
      </c>
      <c r="AC73" s="1467">
        <f>($I73-SUM($L73:AB73))*$J73</f>
        <v>110349.44986964614</v>
      </c>
      <c r="AD73" s="1467">
        <f>($I73-SUM($L73:AC73))*$J73</f>
        <v>88279.559895716608</v>
      </c>
      <c r="AE73" s="1467">
        <f>($I73-SUM($L73:AD73))*$J73</f>
        <v>70623.647916573289</v>
      </c>
      <c r="AF73" s="1467">
        <f>($I73-SUM($L73:AE73))*$J73</f>
        <v>56498.91833325848</v>
      </c>
      <c r="AG73" s="1467">
        <f>($I73-SUM($L73:AF73))*$J73</f>
        <v>45199.134666606784</v>
      </c>
      <c r="AH73" s="1467">
        <f>($I73-SUM($L73:AG73))*$J73</f>
        <v>36159.30773328543</v>
      </c>
      <c r="AI73" s="1467">
        <f>($I73-SUM($L73:AH73))*$J73</f>
        <v>28927.446186628193</v>
      </c>
      <c r="AJ73" s="1467">
        <f>($I73-SUM($L73:AI73))*$J73</f>
        <v>23141.956949302556</v>
      </c>
      <c r="AK73" s="1467">
        <f>($I73-SUM($L73:AJ73))*$J73</f>
        <v>18513.565559442341</v>
      </c>
      <c r="AL73" s="1467">
        <f>($I73-SUM($L73:AK73))*$J73</f>
        <v>14810.852447553725</v>
      </c>
      <c r="AM73" s="1467">
        <f>($I73-SUM($L73:AL73))*$J73</f>
        <v>11848.681958042831</v>
      </c>
      <c r="AN73" s="1467">
        <f>($I73-SUM($L73:AM73))*$J73</f>
        <v>9478.9455664344132</v>
      </c>
      <c r="AO73" s="1467">
        <f>($I73-SUM($L73:AN73))*$J73</f>
        <v>7583.1564531475306</v>
      </c>
      <c r="AP73" s="1468">
        <f t="shared" ref="AP73:AP89" si="309">SUM(L73:AO73)</f>
        <v>24472167.374187414</v>
      </c>
      <c r="AQ73" s="1480"/>
      <c r="AR73" s="1467">
        <f t="shared" ref="AR73:AR89" si="310">I73-L73</f>
        <v>19602000.000000004</v>
      </c>
      <c r="AS73" s="1467">
        <f t="shared" ref="AS73:AS89" si="311">AR73-M73</f>
        <v>15681600.000000004</v>
      </c>
      <c r="AT73" s="1467">
        <f t="shared" si="303"/>
        <v>12545280.000000004</v>
      </c>
      <c r="AU73" s="1467">
        <f t="shared" si="303"/>
        <v>10036224.000000004</v>
      </c>
      <c r="AV73" s="1467">
        <f t="shared" si="303"/>
        <v>8028979.200000003</v>
      </c>
      <c r="AW73" s="1467">
        <f t="shared" si="303"/>
        <v>6423183.3600000031</v>
      </c>
      <c r="AX73" s="1467">
        <f t="shared" si="303"/>
        <v>5138546.6880000029</v>
      </c>
      <c r="AY73" s="1467">
        <f t="shared" si="303"/>
        <v>4110837.3504000027</v>
      </c>
      <c r="AZ73" s="1467">
        <f t="shared" si="303"/>
        <v>3288669.8803200023</v>
      </c>
      <c r="BA73" s="1467">
        <f t="shared" si="303"/>
        <v>2630935.904256002</v>
      </c>
      <c r="BB73" s="1467">
        <f t="shared" si="303"/>
        <v>2104748.7234048019</v>
      </c>
      <c r="BC73" s="1467">
        <f t="shared" si="303"/>
        <v>1683798.9787238415</v>
      </c>
      <c r="BD73" s="1467">
        <f t="shared" si="303"/>
        <v>1347039.1829790729</v>
      </c>
      <c r="BE73" s="1467">
        <f t="shared" si="303"/>
        <v>1077631.3463832582</v>
      </c>
      <c r="BF73" s="1467">
        <f t="shared" si="303"/>
        <v>862105.07710660645</v>
      </c>
      <c r="BG73" s="1467">
        <f t="shared" si="303"/>
        <v>689684.06168528518</v>
      </c>
      <c r="BH73" s="1467">
        <f t="shared" si="303"/>
        <v>551747.24934822787</v>
      </c>
      <c r="BI73" s="1467">
        <f t="shared" si="303"/>
        <v>441397.79947858176</v>
      </c>
      <c r="BJ73" s="1467">
        <f t="shared" si="303"/>
        <v>353118.23958286515</v>
      </c>
      <c r="BK73" s="1467">
        <f t="shared" si="303"/>
        <v>282494.59166629188</v>
      </c>
      <c r="BL73" s="1467">
        <f t="shared" si="303"/>
        <v>225995.6733330334</v>
      </c>
      <c r="BM73" s="1467">
        <f t="shared" si="303"/>
        <v>180796.53866642661</v>
      </c>
      <c r="BN73" s="1467">
        <f t="shared" si="303"/>
        <v>144637.2309331412</v>
      </c>
      <c r="BO73" s="1467">
        <f t="shared" si="303"/>
        <v>115709.784746513</v>
      </c>
      <c r="BP73" s="1467">
        <f t="shared" si="303"/>
        <v>92567.827797210455</v>
      </c>
      <c r="BQ73" s="1467">
        <f t="shared" si="303"/>
        <v>74054.262237768111</v>
      </c>
      <c r="BR73" s="1467">
        <f t="shared" si="303"/>
        <v>59243.409790214384</v>
      </c>
      <c r="BS73" s="1467">
        <f t="shared" si="303"/>
        <v>47394.727832171557</v>
      </c>
      <c r="BT73" s="1467">
        <f t="shared" si="303"/>
        <v>37915.782265737143</v>
      </c>
      <c r="BU73" s="1467">
        <f t="shared" si="303"/>
        <v>30332.625812589613</v>
      </c>
      <c r="BV73" s="1480"/>
    </row>
    <row r="74" spans="1:74" x14ac:dyDescent="0.2">
      <c r="A74" s="927" t="str">
        <f t="shared" si="304"/>
        <v>B-Syrup (Sucrosic).Accelerated</v>
      </c>
      <c r="B74" s="1076"/>
      <c r="C74" s="1076" t="str">
        <f t="shared" ref="C74:C80" si="312">C73</f>
        <v>B-Syrup (Sucrosic)</v>
      </c>
      <c r="D74" s="1076" t="str">
        <f>Assumptions!$AH$82</f>
        <v>Accelerated</v>
      </c>
      <c r="E74" s="1076" t="str">
        <f>'B-Syrup (Sucrosic)'!G208</f>
        <v>Distillation, Rectification and Dehydration</v>
      </c>
      <c r="F74" s="1467">
        <f>SUM('B-Syrup (Sucrosic)'!I208:J208)*1000000</f>
        <v>23000000</v>
      </c>
      <c r="G74" s="1467">
        <f t="shared" si="305"/>
        <v>28462500</v>
      </c>
      <c r="H74" s="1467">
        <f t="shared" si="306"/>
        <v>31308750.000000004</v>
      </c>
      <c r="I74" s="1467">
        <f t="shared" si="307"/>
        <v>31308750.000000004</v>
      </c>
      <c r="J74" s="1076">
        <f t="shared" ref="J74:J80" si="313">J73</f>
        <v>0.2</v>
      </c>
      <c r="K74" s="1107"/>
      <c r="L74" s="1467">
        <f t="shared" si="308"/>
        <v>6261750.0000000009</v>
      </c>
      <c r="M74" s="1467">
        <f>($I74-SUM($L74:L74))*$J74</f>
        <v>5009400.0000000009</v>
      </c>
      <c r="N74" s="1467">
        <f>($I74-SUM($L74:M74))*$J74</f>
        <v>4007520</v>
      </c>
      <c r="O74" s="1467">
        <f>($I74-SUM($L74:N74))*$J74</f>
        <v>3206016.0000000005</v>
      </c>
      <c r="P74" s="1467">
        <f>($I74-SUM($L74:O74))*$J74</f>
        <v>2564812.8000000003</v>
      </c>
      <c r="Q74" s="1467">
        <f>($I74-SUM($L74:P74))*$J74</f>
        <v>2051850.24</v>
      </c>
      <c r="R74" s="1467">
        <f>($I74-SUM($L74:Q74))*$J74</f>
        <v>1641480.1920000003</v>
      </c>
      <c r="S74" s="1467">
        <f>($I74-SUM($L74:R74))*$J74</f>
        <v>1313184.1535999998</v>
      </c>
      <c r="T74" s="1467">
        <f>($I74-SUM($L74:S74))*$J74</f>
        <v>1050547.3228799999</v>
      </c>
      <c r="U74" s="1467">
        <f>($I74-SUM($L74:T74))*$J74</f>
        <v>840437.85830399999</v>
      </c>
      <c r="V74" s="1467">
        <f>($I74-SUM($L74:U74))*$J74</f>
        <v>672350.28664319962</v>
      </c>
      <c r="W74" s="1467">
        <f>($I74-SUM($L74:V74))*$J74</f>
        <v>537880.22931455972</v>
      </c>
      <c r="X74" s="1467">
        <f>($I74-SUM($L74:W74))*$J74</f>
        <v>430304.1834516481</v>
      </c>
      <c r="Y74" s="1467">
        <f>($I74-SUM($L74:X74))*$J74</f>
        <v>344243.34676131833</v>
      </c>
      <c r="Z74" s="1467">
        <f>($I74-SUM($L74:Y74))*$J74</f>
        <v>275394.67740905436</v>
      </c>
      <c r="AA74" s="1467">
        <f>($I74-SUM($L74:Z74))*$J74</f>
        <v>220315.74192724377</v>
      </c>
      <c r="AB74" s="1467">
        <f>($I74-SUM($L74:AA74))*$J74</f>
        <v>176252.59354179504</v>
      </c>
      <c r="AC74" s="1467">
        <f>($I74-SUM($L74:AB74))*$J74</f>
        <v>141002.07483343632</v>
      </c>
      <c r="AD74" s="1467">
        <f>($I74-SUM($L74:AC74))*$J74</f>
        <v>112801.65986674876</v>
      </c>
      <c r="AE74" s="1467">
        <f>($I74-SUM($L74:AD74))*$J74</f>
        <v>90241.327893398702</v>
      </c>
      <c r="AF74" s="1467">
        <f>($I74-SUM($L74:AE74))*$J74</f>
        <v>72193.062314718962</v>
      </c>
      <c r="AG74" s="1467">
        <f>($I74-SUM($L74:AF74))*$J74</f>
        <v>57754.449851775171</v>
      </c>
      <c r="AH74" s="1467">
        <f>($I74-SUM($L74:AG74))*$J74</f>
        <v>46203.559881420435</v>
      </c>
      <c r="AI74" s="1467">
        <f>($I74-SUM($L74:AH74))*$J74</f>
        <v>36962.847905136645</v>
      </c>
      <c r="AJ74" s="1467">
        <f>($I74-SUM($L74:AI74))*$J74</f>
        <v>29570.278324109317</v>
      </c>
      <c r="AK74" s="1467">
        <f>($I74-SUM($L74:AJ74))*$J74</f>
        <v>23656.222659287603</v>
      </c>
      <c r="AL74" s="1467">
        <f>($I74-SUM($L74:AK74))*$J74</f>
        <v>18924.978127430379</v>
      </c>
      <c r="AM74" s="1467">
        <f>($I74-SUM($L74:AL74))*$J74</f>
        <v>15139.982501944156</v>
      </c>
      <c r="AN74" s="1467">
        <f>($I74-SUM($L74:AM74))*$J74</f>
        <v>12111.986001555622</v>
      </c>
      <c r="AO74" s="1467">
        <f>($I74-SUM($L74:AN74))*$J74</f>
        <v>9689.5888012446467</v>
      </c>
      <c r="AP74" s="1468">
        <f t="shared" si="309"/>
        <v>31269991.644795027</v>
      </c>
      <c r="AQ74" s="1480"/>
      <c r="AR74" s="1467">
        <f t="shared" si="310"/>
        <v>25047000.000000004</v>
      </c>
      <c r="AS74" s="1467">
        <f t="shared" si="311"/>
        <v>20037600.000000004</v>
      </c>
      <c r="AT74" s="1467">
        <f t="shared" si="303"/>
        <v>16030080.000000004</v>
      </c>
      <c r="AU74" s="1467">
        <f t="shared" si="303"/>
        <v>12824064.000000004</v>
      </c>
      <c r="AV74" s="1467">
        <f t="shared" si="303"/>
        <v>10259251.200000003</v>
      </c>
      <c r="AW74" s="1467">
        <f t="shared" si="303"/>
        <v>8207400.9600000028</v>
      </c>
      <c r="AX74" s="1467">
        <f t="shared" si="303"/>
        <v>6565920.768000003</v>
      </c>
      <c r="AY74" s="1467">
        <f t="shared" si="303"/>
        <v>5252736.6144000031</v>
      </c>
      <c r="AZ74" s="1467">
        <f t="shared" si="303"/>
        <v>4202189.2915200032</v>
      </c>
      <c r="BA74" s="1467">
        <f t="shared" si="303"/>
        <v>3361751.4332160032</v>
      </c>
      <c r="BB74" s="1467">
        <f t="shared" si="303"/>
        <v>2689401.1465728036</v>
      </c>
      <c r="BC74" s="1467">
        <f t="shared" si="303"/>
        <v>2151520.917258244</v>
      </c>
      <c r="BD74" s="1467">
        <f t="shared" si="303"/>
        <v>1721216.7338065959</v>
      </c>
      <c r="BE74" s="1467">
        <f t="shared" si="303"/>
        <v>1376973.3870452775</v>
      </c>
      <c r="BF74" s="1467">
        <f t="shared" si="303"/>
        <v>1101578.709636223</v>
      </c>
      <c r="BG74" s="1467">
        <f t="shared" si="303"/>
        <v>881262.96770897927</v>
      </c>
      <c r="BH74" s="1467">
        <f t="shared" si="303"/>
        <v>705010.37416718423</v>
      </c>
      <c r="BI74" s="1467">
        <f t="shared" si="303"/>
        <v>564008.29933374794</v>
      </c>
      <c r="BJ74" s="1467">
        <f t="shared" si="303"/>
        <v>451206.63946699922</v>
      </c>
      <c r="BK74" s="1467">
        <f t="shared" si="303"/>
        <v>360965.31157360051</v>
      </c>
      <c r="BL74" s="1467">
        <f t="shared" si="303"/>
        <v>288772.24925888155</v>
      </c>
      <c r="BM74" s="1467">
        <f t="shared" si="303"/>
        <v>231017.79940710639</v>
      </c>
      <c r="BN74" s="1467">
        <f t="shared" si="303"/>
        <v>184814.23952568596</v>
      </c>
      <c r="BO74" s="1467">
        <f t="shared" si="303"/>
        <v>147851.39162054932</v>
      </c>
      <c r="BP74" s="1467">
        <f t="shared" si="303"/>
        <v>118281.11329644</v>
      </c>
      <c r="BQ74" s="1467">
        <f t="shared" si="303"/>
        <v>94624.890637152392</v>
      </c>
      <c r="BR74" s="1467">
        <f t="shared" si="303"/>
        <v>75699.912509722009</v>
      </c>
      <c r="BS74" s="1467">
        <f t="shared" si="303"/>
        <v>60559.930007777853</v>
      </c>
      <c r="BT74" s="1467">
        <f t="shared" si="303"/>
        <v>48447.944006222227</v>
      </c>
      <c r="BU74" s="1467">
        <f t="shared" si="303"/>
        <v>38758.355204977583</v>
      </c>
      <c r="BV74" s="1480"/>
    </row>
    <row r="75" spans="1:74" x14ac:dyDescent="0.2">
      <c r="A75" s="927" t="str">
        <f t="shared" si="304"/>
        <v>B-Syrup (Sucrosic).Accelerated</v>
      </c>
      <c r="B75" s="1076"/>
      <c r="C75" s="1076" t="str">
        <f t="shared" si="312"/>
        <v>B-Syrup (Sucrosic)</v>
      </c>
      <c r="D75" s="1076" t="str">
        <f>Assumptions!$AH$82</f>
        <v>Accelerated</v>
      </c>
      <c r="E75" s="1076" t="str">
        <f>'B-Syrup (Sucrosic)'!G209</f>
        <v>Alcohol Storage</v>
      </c>
      <c r="F75" s="1467">
        <f>SUM('B-Syrup (Sucrosic)'!I209:J209)*1000000</f>
        <v>5000000</v>
      </c>
      <c r="G75" s="1467">
        <f t="shared" si="305"/>
        <v>6187500</v>
      </c>
      <c r="H75" s="1467">
        <f t="shared" si="306"/>
        <v>6806250.0000000009</v>
      </c>
      <c r="I75" s="1467">
        <f t="shared" si="307"/>
        <v>6806250.0000000009</v>
      </c>
      <c r="J75" s="1076">
        <f t="shared" si="313"/>
        <v>0.2</v>
      </c>
      <c r="K75" s="1107"/>
      <c r="L75" s="1467">
        <f t="shared" si="308"/>
        <v>1361250.0000000002</v>
      </c>
      <c r="M75" s="1467">
        <f>($I75-SUM($L75:L75))*$J75</f>
        <v>1089000.0000000002</v>
      </c>
      <c r="N75" s="1467">
        <f>($I75-SUM($L75:M75))*$J75</f>
        <v>871200</v>
      </c>
      <c r="O75" s="1467">
        <f>($I75-SUM($L75:N75))*$J75</f>
        <v>696960.00000000012</v>
      </c>
      <c r="P75" s="1467">
        <f>($I75-SUM($L75:O75))*$J75</f>
        <v>557568.00000000012</v>
      </c>
      <c r="Q75" s="1467">
        <f>($I75-SUM($L75:P75))*$J75</f>
        <v>446054.40000000002</v>
      </c>
      <c r="R75" s="1467">
        <f>($I75-SUM($L75:Q75))*$J75</f>
        <v>356843.51999999996</v>
      </c>
      <c r="S75" s="1467">
        <f>($I75-SUM($L75:R75))*$J75</f>
        <v>285474.81600000005</v>
      </c>
      <c r="T75" s="1467">
        <f>($I75-SUM($L75:S75))*$J75</f>
        <v>228379.85280000011</v>
      </c>
      <c r="U75" s="1467">
        <f>($I75-SUM($L75:T75))*$J75</f>
        <v>182703.88224000001</v>
      </c>
      <c r="V75" s="1467">
        <f>($I75-SUM($L75:U75))*$J75</f>
        <v>146163.10579199996</v>
      </c>
      <c r="W75" s="1467">
        <f>($I75-SUM($L75:V75))*$J75</f>
        <v>116930.48463359998</v>
      </c>
      <c r="X75" s="1467">
        <f>($I75-SUM($L75:W75))*$J75</f>
        <v>93544.387706879905</v>
      </c>
      <c r="Y75" s="1467">
        <f>($I75-SUM($L75:X75))*$J75</f>
        <v>74835.510165503991</v>
      </c>
      <c r="Z75" s="1467">
        <f>($I75-SUM($L75:Y75))*$J75</f>
        <v>59868.408132403158</v>
      </c>
      <c r="AA75" s="1467">
        <f>($I75-SUM($L75:Z75))*$J75</f>
        <v>47894.726505922532</v>
      </c>
      <c r="AB75" s="1467">
        <f>($I75-SUM($L75:AA75))*$J75</f>
        <v>38315.781204738094</v>
      </c>
      <c r="AC75" s="1467">
        <f>($I75-SUM($L75:AB75))*$J75</f>
        <v>30652.624963790553</v>
      </c>
      <c r="AD75" s="1467">
        <f>($I75-SUM($L75:AC75))*$J75</f>
        <v>24522.099971032516</v>
      </c>
      <c r="AE75" s="1467">
        <f>($I75-SUM($L75:AD75))*$J75</f>
        <v>19617.679976825977</v>
      </c>
      <c r="AF75" s="1467">
        <f>($I75-SUM($L75:AE75))*$J75</f>
        <v>15694.143981460855</v>
      </c>
      <c r="AG75" s="1467">
        <f>($I75-SUM($L75:AF75))*$J75</f>
        <v>12555.315185168758</v>
      </c>
      <c r="AH75" s="1467">
        <f>($I75-SUM($L75:AG75))*$J75</f>
        <v>10044.252148135007</v>
      </c>
      <c r="AI75" s="1467">
        <f>($I75-SUM($L75:AH75))*$J75</f>
        <v>8035.4017185080802</v>
      </c>
      <c r="AJ75" s="1467">
        <f>($I75-SUM($L75:AI75))*$J75</f>
        <v>6428.3213748063899</v>
      </c>
      <c r="AK75" s="1467">
        <f>($I75-SUM($L75:AJ75))*$J75</f>
        <v>5142.6570998450743</v>
      </c>
      <c r="AL75" s="1467">
        <f>($I75-SUM($L75:AK75))*$J75</f>
        <v>4114.1256798760969</v>
      </c>
      <c r="AM75" s="1467">
        <f>($I75-SUM($L75:AL75))*$J75</f>
        <v>3291.3005439009521</v>
      </c>
      <c r="AN75" s="1467">
        <f>($I75-SUM($L75:AM75))*$J75</f>
        <v>2633.0404351208363</v>
      </c>
      <c r="AO75" s="1467">
        <f>($I75-SUM($L75:AN75))*$J75</f>
        <v>2106.4323480967432</v>
      </c>
      <c r="AP75" s="1468">
        <f t="shared" si="309"/>
        <v>6797824.270607614</v>
      </c>
      <c r="AQ75" s="1480"/>
      <c r="AR75" s="1467">
        <f t="shared" si="310"/>
        <v>5445000.0000000009</v>
      </c>
      <c r="AS75" s="1467">
        <f t="shared" si="311"/>
        <v>4356000.0000000009</v>
      </c>
      <c r="AT75" s="1467">
        <f t="shared" si="303"/>
        <v>3484800.0000000009</v>
      </c>
      <c r="AU75" s="1467">
        <f t="shared" si="303"/>
        <v>2787840.0000000009</v>
      </c>
      <c r="AV75" s="1467">
        <f t="shared" si="303"/>
        <v>2230272.0000000009</v>
      </c>
      <c r="AW75" s="1467">
        <f t="shared" si="303"/>
        <v>1784217.600000001</v>
      </c>
      <c r="AX75" s="1467">
        <f t="shared" si="303"/>
        <v>1427374.080000001</v>
      </c>
      <c r="AY75" s="1467">
        <f t="shared" si="303"/>
        <v>1141899.2640000009</v>
      </c>
      <c r="AZ75" s="1467">
        <f t="shared" si="303"/>
        <v>913519.41120000079</v>
      </c>
      <c r="BA75" s="1467">
        <f t="shared" si="303"/>
        <v>730815.52896000072</v>
      </c>
      <c r="BB75" s="1467">
        <f t="shared" si="303"/>
        <v>584652.42316800077</v>
      </c>
      <c r="BC75" s="1467">
        <f t="shared" si="303"/>
        <v>467721.93853440078</v>
      </c>
      <c r="BD75" s="1467">
        <f t="shared" si="303"/>
        <v>374177.5508275209</v>
      </c>
      <c r="BE75" s="1467">
        <f t="shared" si="303"/>
        <v>299342.04066201689</v>
      </c>
      <c r="BF75" s="1467">
        <f t="shared" si="303"/>
        <v>239473.63252961374</v>
      </c>
      <c r="BG75" s="1467">
        <f t="shared" si="303"/>
        <v>191578.9060236912</v>
      </c>
      <c r="BH75" s="1467">
        <f t="shared" si="303"/>
        <v>153263.1248189531</v>
      </c>
      <c r="BI75" s="1467">
        <f t="shared" si="303"/>
        <v>122610.49985516255</v>
      </c>
      <c r="BJ75" s="1467">
        <f t="shared" si="303"/>
        <v>98088.399884130034</v>
      </c>
      <c r="BK75" s="1467">
        <f t="shared" si="303"/>
        <v>78470.719907304054</v>
      </c>
      <c r="BL75" s="1467">
        <f t="shared" si="303"/>
        <v>62776.575925843201</v>
      </c>
      <c r="BM75" s="1467">
        <f t="shared" si="303"/>
        <v>50221.260740674443</v>
      </c>
      <c r="BN75" s="1467">
        <f t="shared" si="303"/>
        <v>40177.008592539438</v>
      </c>
      <c r="BO75" s="1467">
        <f t="shared" si="303"/>
        <v>32141.606874031357</v>
      </c>
      <c r="BP75" s="1467">
        <f t="shared" si="303"/>
        <v>25713.285499224967</v>
      </c>
      <c r="BQ75" s="1467">
        <f t="shared" si="303"/>
        <v>20570.628399379893</v>
      </c>
      <c r="BR75" s="1467">
        <f t="shared" si="303"/>
        <v>16456.502719503798</v>
      </c>
      <c r="BS75" s="1467">
        <f t="shared" si="303"/>
        <v>13165.202175602846</v>
      </c>
      <c r="BT75" s="1467">
        <f t="shared" si="303"/>
        <v>10532.16174048201</v>
      </c>
      <c r="BU75" s="1467">
        <f t="shared" si="303"/>
        <v>8425.7293923852667</v>
      </c>
      <c r="BV75" s="1480"/>
    </row>
    <row r="76" spans="1:74" x14ac:dyDescent="0.2">
      <c r="A76" s="927" t="str">
        <f t="shared" si="304"/>
        <v>B-Syrup (Sucrosic).Accelerated</v>
      </c>
      <c r="B76" s="1076"/>
      <c r="C76" s="1076" t="str">
        <f t="shared" si="312"/>
        <v>B-Syrup (Sucrosic)</v>
      </c>
      <c r="D76" s="1076" t="str">
        <f>Assumptions!$AH$82</f>
        <v>Accelerated</v>
      </c>
      <c r="E76" s="1076" t="str">
        <f>'B-Syrup (Sucrosic)'!G210</f>
        <v>Dunder and Fertiliser Plant</v>
      </c>
      <c r="F76" s="1467">
        <f>SUM('B-Syrup (Sucrosic)'!I210:J210)*1000000</f>
        <v>17000000</v>
      </c>
      <c r="G76" s="1467">
        <f t="shared" si="305"/>
        <v>21037500</v>
      </c>
      <c r="H76" s="1467">
        <f t="shared" si="306"/>
        <v>23141250.000000004</v>
      </c>
      <c r="I76" s="1467">
        <f t="shared" si="307"/>
        <v>23141250.000000004</v>
      </c>
      <c r="J76" s="1076">
        <f t="shared" si="313"/>
        <v>0.2</v>
      </c>
      <c r="K76" s="1107"/>
      <c r="L76" s="1467">
        <f t="shared" si="308"/>
        <v>4628250.0000000009</v>
      </c>
      <c r="M76" s="1467">
        <f>($I76-SUM($L76:L76))*$J76</f>
        <v>3702600.0000000009</v>
      </c>
      <c r="N76" s="1467">
        <f>($I76-SUM($L76:M76))*$J76</f>
        <v>2962080.0000000005</v>
      </c>
      <c r="O76" s="1467">
        <f>($I76-SUM($L76:N76))*$J76</f>
        <v>2369664.0000000005</v>
      </c>
      <c r="P76" s="1467">
        <f>($I76-SUM($L76:O76))*$J76</f>
        <v>1895731.2000000004</v>
      </c>
      <c r="Q76" s="1467">
        <f>($I76-SUM($L76:P76))*$J76</f>
        <v>1516584.9600000002</v>
      </c>
      <c r="R76" s="1467">
        <f>($I76-SUM($L76:Q76))*$J76</f>
        <v>1213267.9680000001</v>
      </c>
      <c r="S76" s="1467">
        <f>($I76-SUM($L76:R76))*$J76</f>
        <v>970614.37440000032</v>
      </c>
      <c r="T76" s="1467">
        <f>($I76-SUM($L76:S76))*$J76</f>
        <v>776491.49952000007</v>
      </c>
      <c r="U76" s="1467">
        <f>($I76-SUM($L76:T76))*$J76</f>
        <v>621193.19961600006</v>
      </c>
      <c r="V76" s="1467">
        <f>($I76-SUM($L76:U76))*$J76</f>
        <v>496954.55969280005</v>
      </c>
      <c r="W76" s="1467">
        <f>($I76-SUM($L76:V76))*$J76</f>
        <v>397563.64775424008</v>
      </c>
      <c r="X76" s="1467">
        <f>($I76-SUM($L76:W76))*$J76</f>
        <v>318050.91820339189</v>
      </c>
      <c r="Y76" s="1467">
        <f>($I76-SUM($L76:X76))*$J76</f>
        <v>254440.73456271365</v>
      </c>
      <c r="Z76" s="1467">
        <f>($I76-SUM($L76:Y76))*$J76</f>
        <v>203552.58765017093</v>
      </c>
      <c r="AA76" s="1467">
        <f>($I76-SUM($L76:Z76))*$J76</f>
        <v>162842.07012013646</v>
      </c>
      <c r="AB76" s="1467">
        <f>($I76-SUM($L76:AA76))*$J76</f>
        <v>130273.65609610901</v>
      </c>
      <c r="AC76" s="1467">
        <f>($I76-SUM($L76:AB76))*$J76</f>
        <v>104218.92487688735</v>
      </c>
      <c r="AD76" s="1467">
        <f>($I76-SUM($L76:AC76))*$J76</f>
        <v>83375.139901509887</v>
      </c>
      <c r="AE76" s="1467">
        <f>($I76-SUM($L76:AD76))*$J76</f>
        <v>66700.111921207616</v>
      </c>
      <c r="AF76" s="1467">
        <f>($I76-SUM($L76:AE76))*$J76</f>
        <v>53360.089536966385</v>
      </c>
      <c r="AG76" s="1467">
        <f>($I76-SUM($L76:AF76))*$J76</f>
        <v>42688.071629573409</v>
      </c>
      <c r="AH76" s="1467">
        <f>($I76-SUM($L76:AG76))*$J76</f>
        <v>34150.457303658877</v>
      </c>
      <c r="AI76" s="1467">
        <f>($I76-SUM($L76:AH76))*$J76</f>
        <v>27320.365842927247</v>
      </c>
      <c r="AJ76" s="1467">
        <f>($I76-SUM($L76:AI76))*$J76</f>
        <v>21856.292674341799</v>
      </c>
      <c r="AK76" s="1467">
        <f>($I76-SUM($L76:AJ76))*$J76</f>
        <v>17485.034139473737</v>
      </c>
      <c r="AL76" s="1467">
        <f>($I76-SUM($L76:AK76))*$J76</f>
        <v>13988.027311579139</v>
      </c>
      <c r="AM76" s="1467">
        <f>($I76-SUM($L76:AL76))*$J76</f>
        <v>11190.421849263461</v>
      </c>
      <c r="AN76" s="1467">
        <f>($I76-SUM($L76:AM76))*$J76</f>
        <v>8952.3374794110659</v>
      </c>
      <c r="AO76" s="1467">
        <f>($I76-SUM($L76:AN76))*$J76</f>
        <v>7161.8699835285552</v>
      </c>
      <c r="AP76" s="1468">
        <f t="shared" si="309"/>
        <v>23112602.520065889</v>
      </c>
      <c r="AQ76" s="1480"/>
      <c r="AR76" s="1467">
        <f t="shared" si="310"/>
        <v>18513000.000000004</v>
      </c>
      <c r="AS76" s="1467">
        <f t="shared" si="311"/>
        <v>14810400.000000004</v>
      </c>
      <c r="AT76" s="1467">
        <f t="shared" si="303"/>
        <v>11848320.000000004</v>
      </c>
      <c r="AU76" s="1467">
        <f t="shared" si="303"/>
        <v>9478656.0000000037</v>
      </c>
      <c r="AV76" s="1467">
        <f t="shared" si="303"/>
        <v>7582924.8000000035</v>
      </c>
      <c r="AW76" s="1467">
        <f t="shared" si="303"/>
        <v>6066339.8400000036</v>
      </c>
      <c r="AX76" s="1467">
        <f t="shared" si="303"/>
        <v>4853071.8720000032</v>
      </c>
      <c r="AY76" s="1467">
        <f t="shared" si="303"/>
        <v>3882457.4976000031</v>
      </c>
      <c r="AZ76" s="1467">
        <f t="shared" si="303"/>
        <v>3105965.9980800031</v>
      </c>
      <c r="BA76" s="1467">
        <f t="shared" si="303"/>
        <v>2484772.798464003</v>
      </c>
      <c r="BB76" s="1467">
        <f t="shared" si="303"/>
        <v>1987818.238771203</v>
      </c>
      <c r="BC76" s="1467">
        <f t="shared" si="303"/>
        <v>1590254.5910169629</v>
      </c>
      <c r="BD76" s="1467">
        <f t="shared" si="303"/>
        <v>1272203.6728135711</v>
      </c>
      <c r="BE76" s="1467">
        <f t="shared" si="303"/>
        <v>1017762.9382508574</v>
      </c>
      <c r="BF76" s="1467">
        <f t="shared" si="303"/>
        <v>814210.35060068651</v>
      </c>
      <c r="BG76" s="1467">
        <f t="shared" si="303"/>
        <v>651368.28048055002</v>
      </c>
      <c r="BH76" s="1467">
        <f t="shared" si="303"/>
        <v>521094.62438444101</v>
      </c>
      <c r="BI76" s="1467">
        <f t="shared" si="303"/>
        <v>416875.69950755365</v>
      </c>
      <c r="BJ76" s="1467">
        <f t="shared" si="303"/>
        <v>333500.55960604374</v>
      </c>
      <c r="BK76" s="1467">
        <f t="shared" si="303"/>
        <v>266800.44768483611</v>
      </c>
      <c r="BL76" s="1467">
        <f t="shared" si="303"/>
        <v>213440.35814786973</v>
      </c>
      <c r="BM76" s="1467">
        <f t="shared" si="303"/>
        <v>170752.28651829631</v>
      </c>
      <c r="BN76" s="1467">
        <f t="shared" si="303"/>
        <v>136601.82921463743</v>
      </c>
      <c r="BO76" s="1467">
        <f t="shared" si="303"/>
        <v>109281.46337171018</v>
      </c>
      <c r="BP76" s="1467">
        <f t="shared" si="303"/>
        <v>87425.17069736839</v>
      </c>
      <c r="BQ76" s="1467">
        <f t="shared" si="303"/>
        <v>69940.136557894657</v>
      </c>
      <c r="BR76" s="1467">
        <f t="shared" si="303"/>
        <v>55952.109246315522</v>
      </c>
      <c r="BS76" s="1467">
        <f t="shared" si="303"/>
        <v>44761.687397052061</v>
      </c>
      <c r="BT76" s="1467">
        <f t="shared" si="303"/>
        <v>35809.349917640997</v>
      </c>
      <c r="BU76" s="1467">
        <f t="shared" si="303"/>
        <v>28647.479934112442</v>
      </c>
      <c r="BV76" s="1480"/>
    </row>
    <row r="77" spans="1:74" x14ac:dyDescent="0.2">
      <c r="A77" s="927" t="str">
        <f t="shared" si="304"/>
        <v>B-Syrup (Sucrosic).Accelerated</v>
      </c>
      <c r="B77" s="1076"/>
      <c r="C77" s="1076" t="str">
        <f t="shared" si="312"/>
        <v>B-Syrup (Sucrosic)</v>
      </c>
      <c r="D77" s="1076" t="str">
        <f>Assumptions!$AH$82</f>
        <v>Accelerated</v>
      </c>
      <c r="E77" s="1076" t="str">
        <f>'B-Syrup (Sucrosic)'!G211</f>
        <v>Biogas Plant</v>
      </c>
      <c r="F77" s="1467">
        <f>SUM('B-Syrup (Sucrosic)'!I211:J211)*1000000</f>
        <v>11000000</v>
      </c>
      <c r="G77" s="1467">
        <f t="shared" si="305"/>
        <v>13612500</v>
      </c>
      <c r="H77" s="1467">
        <f t="shared" si="306"/>
        <v>14973750.000000002</v>
      </c>
      <c r="I77" s="1467">
        <f t="shared" si="307"/>
        <v>14973750.000000002</v>
      </c>
      <c r="J77" s="1076">
        <f t="shared" si="313"/>
        <v>0.2</v>
      </c>
      <c r="K77" s="1107"/>
      <c r="L77" s="1467">
        <f t="shared" si="308"/>
        <v>2994750.0000000005</v>
      </c>
      <c r="M77" s="1467">
        <f>($I77-SUM($L77:L77))*$J77</f>
        <v>2395800.0000000005</v>
      </c>
      <c r="N77" s="1467">
        <f>($I77-SUM($L77:M77))*$J77</f>
        <v>1916640</v>
      </c>
      <c r="O77" s="1467">
        <f>($I77-SUM($L77:N77))*$J77</f>
        <v>1533312.0000000002</v>
      </c>
      <c r="P77" s="1467">
        <f>($I77-SUM($L77:O77))*$J77</f>
        <v>1226649.6000000001</v>
      </c>
      <c r="Q77" s="1467">
        <f>($I77-SUM($L77:P77))*$J77</f>
        <v>981319.68000000017</v>
      </c>
      <c r="R77" s="1467">
        <f>($I77-SUM($L77:Q77))*$J77</f>
        <v>785055.74400000018</v>
      </c>
      <c r="S77" s="1467">
        <f>($I77-SUM($L77:R77))*$J77</f>
        <v>628044.59519999998</v>
      </c>
      <c r="T77" s="1467">
        <f>($I77-SUM($L77:S77))*$J77</f>
        <v>502435.67615999992</v>
      </c>
      <c r="U77" s="1467">
        <f>($I77-SUM($L77:T77))*$J77</f>
        <v>401948.54092799989</v>
      </c>
      <c r="V77" s="1467">
        <f>($I77-SUM($L77:U77))*$J77</f>
        <v>321558.83274239977</v>
      </c>
      <c r="W77" s="1467">
        <f>($I77-SUM($L77:V77))*$J77</f>
        <v>257247.06619391963</v>
      </c>
      <c r="X77" s="1467">
        <f>($I77-SUM($L77:W77))*$J77</f>
        <v>205797.65295513571</v>
      </c>
      <c r="Y77" s="1467">
        <f>($I77-SUM($L77:X77))*$J77</f>
        <v>164638.12236410865</v>
      </c>
      <c r="Z77" s="1467">
        <f>($I77-SUM($L77:Y77))*$J77</f>
        <v>131710.49789128677</v>
      </c>
      <c r="AA77" s="1467">
        <f>($I77-SUM($L77:Z77))*$J77</f>
        <v>105368.39831302949</v>
      </c>
      <c r="AB77" s="1467">
        <f>($I77-SUM($L77:AA77))*$J77</f>
        <v>84294.718650423747</v>
      </c>
      <c r="AC77" s="1467">
        <f>($I77-SUM($L77:AB77))*$J77</f>
        <v>67435.774920339143</v>
      </c>
      <c r="AD77" s="1467">
        <f>($I77-SUM($L77:AC77))*$J77</f>
        <v>53948.619936271389</v>
      </c>
      <c r="AE77" s="1467">
        <f>($I77-SUM($L77:AD77))*$J77</f>
        <v>43158.895949017256</v>
      </c>
      <c r="AF77" s="1467">
        <f>($I77-SUM($L77:AE77))*$J77</f>
        <v>34527.116759213808</v>
      </c>
      <c r="AG77" s="1467">
        <f>($I77-SUM($L77:AF77))*$J77</f>
        <v>27621.693407370898</v>
      </c>
      <c r="AH77" s="1467">
        <f>($I77-SUM($L77:AG77))*$J77</f>
        <v>22097.35472589657</v>
      </c>
      <c r="AI77" s="1467">
        <f>($I77-SUM($L77:AH77))*$J77</f>
        <v>17677.883780717104</v>
      </c>
      <c r="AJ77" s="1467">
        <f>($I77-SUM($L77:AI77))*$J77</f>
        <v>14142.307024573536</v>
      </c>
      <c r="AK77" s="1467">
        <f>($I77-SUM($L77:AJ77))*$J77</f>
        <v>11313.845619658754</v>
      </c>
      <c r="AL77" s="1467">
        <f>($I77-SUM($L77:AK77))*$J77</f>
        <v>9051.0764957271513</v>
      </c>
      <c r="AM77" s="1467">
        <f>($I77-SUM($L77:AL77))*$J77</f>
        <v>7240.8611965816472</v>
      </c>
      <c r="AN77" s="1467">
        <f>($I77-SUM($L77:AM77))*$J77</f>
        <v>5792.6889572653927</v>
      </c>
      <c r="AO77" s="1467">
        <f>($I77-SUM($L77:AN77))*$J77</f>
        <v>4634.1511658124628</v>
      </c>
      <c r="AP77" s="1468">
        <f t="shared" si="309"/>
        <v>14955213.395336753</v>
      </c>
      <c r="AQ77" s="1480"/>
      <c r="AR77" s="1467">
        <f t="shared" si="310"/>
        <v>11979000.000000002</v>
      </c>
      <c r="AS77" s="1467">
        <f t="shared" si="311"/>
        <v>9583200.0000000019</v>
      </c>
      <c r="AT77" s="1467">
        <f t="shared" si="303"/>
        <v>7666560.0000000019</v>
      </c>
      <c r="AU77" s="1467">
        <f t="shared" si="303"/>
        <v>6133248.0000000019</v>
      </c>
      <c r="AV77" s="1467">
        <f t="shared" si="303"/>
        <v>4906598.4000000022</v>
      </c>
      <c r="AW77" s="1467">
        <f t="shared" si="303"/>
        <v>3925278.7200000021</v>
      </c>
      <c r="AX77" s="1467">
        <f t="shared" si="303"/>
        <v>3140222.9760000017</v>
      </c>
      <c r="AY77" s="1467">
        <f t="shared" si="303"/>
        <v>2512178.3808000018</v>
      </c>
      <c r="AZ77" s="1467">
        <f t="shared" si="303"/>
        <v>2009742.704640002</v>
      </c>
      <c r="BA77" s="1467">
        <f t="shared" si="303"/>
        <v>1607794.1637120021</v>
      </c>
      <c r="BB77" s="1467">
        <f t="shared" si="303"/>
        <v>1286235.3309696023</v>
      </c>
      <c r="BC77" s="1467">
        <f t="shared" si="303"/>
        <v>1028988.2647756827</v>
      </c>
      <c r="BD77" s="1467">
        <f t="shared" si="303"/>
        <v>823190.61182054703</v>
      </c>
      <c r="BE77" s="1467">
        <f t="shared" si="303"/>
        <v>658552.48945643834</v>
      </c>
      <c r="BF77" s="1467">
        <f t="shared" si="303"/>
        <v>526841.99156515161</v>
      </c>
      <c r="BG77" s="1467">
        <f t="shared" si="303"/>
        <v>421473.59325212211</v>
      </c>
      <c r="BH77" s="1467">
        <f t="shared" si="303"/>
        <v>337178.87460169836</v>
      </c>
      <c r="BI77" s="1467">
        <f t="shared" si="303"/>
        <v>269743.09968135925</v>
      </c>
      <c r="BJ77" s="1467">
        <f t="shared" si="303"/>
        <v>215794.47974508785</v>
      </c>
      <c r="BK77" s="1467">
        <f t="shared" si="303"/>
        <v>172635.5837960706</v>
      </c>
      <c r="BL77" s="1467">
        <f t="shared" si="303"/>
        <v>138108.4670368568</v>
      </c>
      <c r="BM77" s="1467">
        <f t="shared" si="303"/>
        <v>110486.77362948591</v>
      </c>
      <c r="BN77" s="1467">
        <f t="shared" si="303"/>
        <v>88389.418903589336</v>
      </c>
      <c r="BO77" s="1467">
        <f t="shared" si="303"/>
        <v>70711.535122872228</v>
      </c>
      <c r="BP77" s="1467">
        <f t="shared" si="303"/>
        <v>56569.228098298692</v>
      </c>
      <c r="BQ77" s="1467">
        <f t="shared" si="303"/>
        <v>45255.382478639935</v>
      </c>
      <c r="BR77" s="1467">
        <f t="shared" si="303"/>
        <v>36204.305982912781</v>
      </c>
      <c r="BS77" s="1467">
        <f t="shared" si="303"/>
        <v>28963.444786331136</v>
      </c>
      <c r="BT77" s="1467">
        <f t="shared" si="303"/>
        <v>23170.755829065743</v>
      </c>
      <c r="BU77" s="1467">
        <f t="shared" si="303"/>
        <v>18536.604663253282</v>
      </c>
      <c r="BV77" s="1480"/>
    </row>
    <row r="78" spans="1:74" x14ac:dyDescent="0.2">
      <c r="A78" s="927" t="str">
        <f t="shared" si="304"/>
        <v>B-Syrup (Sucrosic).Accelerated</v>
      </c>
      <c r="B78" s="1076"/>
      <c r="C78" s="1076" t="str">
        <f t="shared" si="312"/>
        <v>B-Syrup (Sucrosic)</v>
      </c>
      <c r="D78" s="1076" t="str">
        <f>Assumptions!$AH$82</f>
        <v>Accelerated</v>
      </c>
      <c r="E78" s="1076" t="str">
        <f>'B-Syrup (Sucrosic)'!G212</f>
        <v>Cogenaration Plant</v>
      </c>
      <c r="F78" s="1467">
        <f>SUM('B-Syrup (Sucrosic)'!I212:J212)*1000000</f>
        <v>7500000</v>
      </c>
      <c r="G78" s="1467">
        <f t="shared" si="305"/>
        <v>9281250</v>
      </c>
      <c r="H78" s="1467">
        <f t="shared" si="306"/>
        <v>10209375</v>
      </c>
      <c r="I78" s="1467">
        <f t="shared" si="307"/>
        <v>10209375</v>
      </c>
      <c r="J78" s="1076">
        <f t="shared" si="313"/>
        <v>0.2</v>
      </c>
      <c r="K78" s="1107"/>
      <c r="L78" s="1467">
        <f t="shared" si="308"/>
        <v>2041875</v>
      </c>
      <c r="M78" s="1467">
        <f>($I78-SUM($L78:L78))*$J78</f>
        <v>1633500</v>
      </c>
      <c r="N78" s="1467">
        <f>($I78-SUM($L78:M78))*$J78</f>
        <v>1306800</v>
      </c>
      <c r="O78" s="1467">
        <f>($I78-SUM($L78:N78))*$J78</f>
        <v>1045440</v>
      </c>
      <c r="P78" s="1467">
        <f>($I78-SUM($L78:O78))*$J78</f>
        <v>836352</v>
      </c>
      <c r="Q78" s="1467">
        <f>($I78-SUM($L78:P78))*$J78</f>
        <v>669081.60000000009</v>
      </c>
      <c r="R78" s="1467">
        <f>($I78-SUM($L78:Q78))*$J78</f>
        <v>535265.28000000014</v>
      </c>
      <c r="S78" s="1467">
        <f>($I78-SUM($L78:R78))*$J78</f>
        <v>428212.22400000005</v>
      </c>
      <c r="T78" s="1467">
        <f>($I78-SUM($L78:S78))*$J78</f>
        <v>342569.77919999999</v>
      </c>
      <c r="U78" s="1467">
        <f>($I78-SUM($L78:T78))*$J78</f>
        <v>274055.82335999981</v>
      </c>
      <c r="V78" s="1467">
        <f>($I78-SUM($L78:U78))*$J78</f>
        <v>219244.65868799985</v>
      </c>
      <c r="W78" s="1467">
        <f>($I78-SUM($L78:V78))*$J78</f>
        <v>175395.72695039996</v>
      </c>
      <c r="X78" s="1467">
        <f>($I78-SUM($L78:W78))*$J78</f>
        <v>140316.58156032005</v>
      </c>
      <c r="Y78" s="1467">
        <f>($I78-SUM($L78:X78))*$J78</f>
        <v>112253.26524825618</v>
      </c>
      <c r="Z78" s="1467">
        <f>($I78-SUM($L78:Y78))*$J78</f>
        <v>89802.612198605028</v>
      </c>
      <c r="AA78" s="1467">
        <f>($I78-SUM($L78:Z78))*$J78</f>
        <v>71842.089758884162</v>
      </c>
      <c r="AB78" s="1467">
        <f>($I78-SUM($L78:AA78))*$J78</f>
        <v>57473.671807107334</v>
      </c>
      <c r="AC78" s="1467">
        <f>($I78-SUM($L78:AB78))*$J78</f>
        <v>45978.937445686017</v>
      </c>
      <c r="AD78" s="1467">
        <f>($I78-SUM($L78:AC78))*$J78</f>
        <v>36783.149956548958</v>
      </c>
      <c r="AE78" s="1467">
        <f>($I78-SUM($L78:AD78))*$J78</f>
        <v>29426.519965239244</v>
      </c>
      <c r="AF78" s="1467">
        <f>($I78-SUM($L78:AE78))*$J78</f>
        <v>23541.215972191469</v>
      </c>
      <c r="AG78" s="1467">
        <f>($I78-SUM($L78:AF78))*$J78</f>
        <v>18832.972777753323</v>
      </c>
      <c r="AH78" s="1467">
        <f>($I78-SUM($L78:AG78))*$J78</f>
        <v>15066.378222202511</v>
      </c>
      <c r="AI78" s="1467">
        <f>($I78-SUM($L78:AH78))*$J78</f>
        <v>12053.102577761934</v>
      </c>
      <c r="AJ78" s="1467">
        <f>($I78-SUM($L78:AI78))*$J78</f>
        <v>9642.4820622093976</v>
      </c>
      <c r="AK78" s="1467">
        <f>($I78-SUM($L78:AJ78))*$J78</f>
        <v>7713.9856497675182</v>
      </c>
      <c r="AL78" s="1467">
        <f>($I78-SUM($L78:AK78))*$J78</f>
        <v>6171.1885198138662</v>
      </c>
      <c r="AM78" s="1467">
        <f>($I78-SUM($L78:AL78))*$J78</f>
        <v>4936.9508158512417</v>
      </c>
      <c r="AN78" s="1467">
        <f>($I78-SUM($L78:AM78))*$J78</f>
        <v>3949.5606526810679</v>
      </c>
      <c r="AO78" s="1467">
        <f>($I78-SUM($L78:AN78))*$J78</f>
        <v>3159.6485221449288</v>
      </c>
      <c r="AP78" s="1468">
        <f t="shared" si="309"/>
        <v>10196736.40591142</v>
      </c>
      <c r="AQ78" s="1480"/>
      <c r="AR78" s="1467">
        <f t="shared" si="310"/>
        <v>8167500</v>
      </c>
      <c r="AS78" s="1467">
        <f t="shared" si="311"/>
        <v>6534000</v>
      </c>
      <c r="AT78" s="1467">
        <f t="shared" si="303"/>
        <v>5227200</v>
      </c>
      <c r="AU78" s="1467">
        <f t="shared" si="303"/>
        <v>4181760</v>
      </c>
      <c r="AV78" s="1467">
        <f t="shared" si="303"/>
        <v>3345408</v>
      </c>
      <c r="AW78" s="1467">
        <f t="shared" si="303"/>
        <v>2676326.3999999999</v>
      </c>
      <c r="AX78" s="1467">
        <f t="shared" si="303"/>
        <v>2141061.1199999996</v>
      </c>
      <c r="AY78" s="1467">
        <f t="shared" si="303"/>
        <v>1712848.8959999997</v>
      </c>
      <c r="AZ78" s="1467">
        <f t="shared" si="303"/>
        <v>1370279.1167999997</v>
      </c>
      <c r="BA78" s="1467">
        <f t="shared" si="303"/>
        <v>1096223.2934399999</v>
      </c>
      <c r="BB78" s="1467">
        <f t="shared" si="303"/>
        <v>876978.6347520001</v>
      </c>
      <c r="BC78" s="1467">
        <f t="shared" si="303"/>
        <v>701582.90780160017</v>
      </c>
      <c r="BD78" s="1467">
        <f t="shared" si="303"/>
        <v>561266.32624128019</v>
      </c>
      <c r="BE78" s="1467">
        <f t="shared" si="303"/>
        <v>449013.06099302403</v>
      </c>
      <c r="BF78" s="1467">
        <f t="shared" si="303"/>
        <v>359210.448794419</v>
      </c>
      <c r="BG78" s="1467">
        <f t="shared" si="303"/>
        <v>287368.35903553484</v>
      </c>
      <c r="BH78" s="1467">
        <f t="shared" si="303"/>
        <v>229894.6872284275</v>
      </c>
      <c r="BI78" s="1467">
        <f t="shared" si="303"/>
        <v>183915.74978274148</v>
      </c>
      <c r="BJ78" s="1467">
        <f t="shared" si="303"/>
        <v>147132.59982619251</v>
      </c>
      <c r="BK78" s="1467">
        <f t="shared" si="303"/>
        <v>117706.07986095326</v>
      </c>
      <c r="BL78" s="1467">
        <f t="shared" si="303"/>
        <v>94164.8638887618</v>
      </c>
      <c r="BM78" s="1467">
        <f t="shared" si="303"/>
        <v>75331.891111008474</v>
      </c>
      <c r="BN78" s="1467">
        <f t="shared" si="303"/>
        <v>60265.512888805963</v>
      </c>
      <c r="BO78" s="1467">
        <f t="shared" si="303"/>
        <v>48212.410311044026</v>
      </c>
      <c r="BP78" s="1467">
        <f t="shared" si="303"/>
        <v>38569.928248834629</v>
      </c>
      <c r="BQ78" s="1467">
        <f t="shared" si="303"/>
        <v>30855.942599067112</v>
      </c>
      <c r="BR78" s="1467">
        <f t="shared" si="303"/>
        <v>24684.754079253245</v>
      </c>
      <c r="BS78" s="1467">
        <f t="shared" si="303"/>
        <v>19747.803263402006</v>
      </c>
      <c r="BT78" s="1467">
        <f t="shared" si="303"/>
        <v>15798.242610720938</v>
      </c>
      <c r="BU78" s="1467">
        <f t="shared" si="303"/>
        <v>12638.594088576008</v>
      </c>
      <c r="BV78" s="1480"/>
    </row>
    <row r="79" spans="1:74" x14ac:dyDescent="0.2">
      <c r="A79" s="927" t="str">
        <f t="shared" si="304"/>
        <v>B-Syrup (Sucrosic).Accelerated</v>
      </c>
      <c r="B79" s="1076"/>
      <c r="C79" s="1168" t="str">
        <f t="shared" si="312"/>
        <v>B-Syrup (Sucrosic)</v>
      </c>
      <c r="D79" s="1168" t="str">
        <f>Assumptions!$AH$82</f>
        <v>Accelerated</v>
      </c>
      <c r="E79" s="1168" t="str">
        <f>'B-Syrup (Sucrosic)'!G213</f>
        <v>Non-Process Buildings</v>
      </c>
      <c r="F79" s="1469">
        <f>SUM('B-Syrup (Sucrosic)'!I213:J213)*1000000</f>
        <v>5000000</v>
      </c>
      <c r="G79" s="1469">
        <f t="shared" si="305"/>
        <v>6187500</v>
      </c>
      <c r="H79" s="1469">
        <f t="shared" si="306"/>
        <v>6806250.0000000009</v>
      </c>
      <c r="I79" s="1469">
        <f t="shared" si="307"/>
        <v>6806250.0000000009</v>
      </c>
      <c r="J79" s="1168">
        <f t="shared" si="313"/>
        <v>0.2</v>
      </c>
      <c r="K79" s="1107"/>
      <c r="L79" s="1467">
        <f t="shared" si="308"/>
        <v>1361250.0000000002</v>
      </c>
      <c r="M79" s="1467">
        <f>($I79-SUM($L79:L79))*$J79</f>
        <v>1089000.0000000002</v>
      </c>
      <c r="N79" s="1467">
        <f>($I79-SUM($L79:M79))*$J79</f>
        <v>871200</v>
      </c>
      <c r="O79" s="1467">
        <f>($I79-SUM($L79:N79))*$J79</f>
        <v>696960.00000000012</v>
      </c>
      <c r="P79" s="1467">
        <f>($I79-SUM($L79:O79))*$J79</f>
        <v>557568.00000000012</v>
      </c>
      <c r="Q79" s="1467">
        <f>($I79-SUM($L79:P79))*$J79</f>
        <v>446054.40000000002</v>
      </c>
      <c r="R79" s="1467">
        <f>($I79-SUM($L79:Q79))*$J79</f>
        <v>356843.51999999996</v>
      </c>
      <c r="S79" s="1467">
        <f>($I79-SUM($L79:R79))*$J79</f>
        <v>285474.81600000005</v>
      </c>
      <c r="T79" s="1467">
        <f>($I79-SUM($L79:S79))*$J79</f>
        <v>228379.85280000011</v>
      </c>
      <c r="U79" s="1467">
        <f>($I79-SUM($L79:T79))*$J79</f>
        <v>182703.88224000001</v>
      </c>
      <c r="V79" s="1467">
        <f>($I79-SUM($L79:U79))*$J79</f>
        <v>146163.10579199996</v>
      </c>
      <c r="W79" s="1467">
        <f>($I79-SUM($L79:V79))*$J79</f>
        <v>116930.48463359998</v>
      </c>
      <c r="X79" s="1467">
        <f>($I79-SUM($L79:W79))*$J79</f>
        <v>93544.387706879905</v>
      </c>
      <c r="Y79" s="1467">
        <f>($I79-SUM($L79:X79))*$J79</f>
        <v>74835.510165503991</v>
      </c>
      <c r="Z79" s="1467">
        <f>($I79-SUM($L79:Y79))*$J79</f>
        <v>59868.408132403158</v>
      </c>
      <c r="AA79" s="1467">
        <f>($I79-SUM($L79:Z79))*$J79</f>
        <v>47894.726505922532</v>
      </c>
      <c r="AB79" s="1467">
        <f>($I79-SUM($L79:AA79))*$J79</f>
        <v>38315.781204738094</v>
      </c>
      <c r="AC79" s="1467">
        <f>($I79-SUM($L79:AB79))*$J79</f>
        <v>30652.624963790553</v>
      </c>
      <c r="AD79" s="1467">
        <f>($I79-SUM($L79:AC79))*$J79</f>
        <v>24522.099971032516</v>
      </c>
      <c r="AE79" s="1467">
        <f>($I79-SUM($L79:AD79))*$J79</f>
        <v>19617.679976825977</v>
      </c>
      <c r="AF79" s="1467">
        <f>($I79-SUM($L79:AE79))*$J79</f>
        <v>15694.143981460855</v>
      </c>
      <c r="AG79" s="1467">
        <f>($I79-SUM($L79:AF79))*$J79</f>
        <v>12555.315185168758</v>
      </c>
      <c r="AH79" s="1467">
        <f>($I79-SUM($L79:AG79))*$J79</f>
        <v>10044.252148135007</v>
      </c>
      <c r="AI79" s="1467">
        <f>($I79-SUM($L79:AH79))*$J79</f>
        <v>8035.4017185080802</v>
      </c>
      <c r="AJ79" s="1467">
        <f>($I79-SUM($L79:AI79))*$J79</f>
        <v>6428.3213748063899</v>
      </c>
      <c r="AK79" s="1467">
        <f>($I79-SUM($L79:AJ79))*$J79</f>
        <v>5142.6570998450743</v>
      </c>
      <c r="AL79" s="1467">
        <f>($I79-SUM($L79:AK79))*$J79</f>
        <v>4114.1256798760969</v>
      </c>
      <c r="AM79" s="1467">
        <f>($I79-SUM($L79:AL79))*$J79</f>
        <v>3291.3005439009521</v>
      </c>
      <c r="AN79" s="1467">
        <f>($I79-SUM($L79:AM79))*$J79</f>
        <v>2633.0404351208363</v>
      </c>
      <c r="AO79" s="1467">
        <f>($I79-SUM($L79:AN79))*$J79</f>
        <v>2106.4323480967432</v>
      </c>
      <c r="AP79" s="1468">
        <f t="shared" si="309"/>
        <v>6797824.270607614</v>
      </c>
      <c r="AQ79" s="1480"/>
      <c r="AR79" s="1467">
        <f t="shared" si="310"/>
        <v>5445000.0000000009</v>
      </c>
      <c r="AS79" s="1467">
        <f t="shared" si="311"/>
        <v>4356000.0000000009</v>
      </c>
      <c r="AT79" s="1467">
        <f t="shared" si="303"/>
        <v>3484800.0000000009</v>
      </c>
      <c r="AU79" s="1467">
        <f t="shared" si="303"/>
        <v>2787840.0000000009</v>
      </c>
      <c r="AV79" s="1467">
        <f t="shared" si="303"/>
        <v>2230272.0000000009</v>
      </c>
      <c r="AW79" s="1467">
        <f t="shared" si="303"/>
        <v>1784217.600000001</v>
      </c>
      <c r="AX79" s="1467">
        <f t="shared" si="303"/>
        <v>1427374.080000001</v>
      </c>
      <c r="AY79" s="1467">
        <f t="shared" si="303"/>
        <v>1141899.2640000009</v>
      </c>
      <c r="AZ79" s="1467">
        <f t="shared" si="303"/>
        <v>913519.41120000079</v>
      </c>
      <c r="BA79" s="1467">
        <f t="shared" si="303"/>
        <v>730815.52896000072</v>
      </c>
      <c r="BB79" s="1467">
        <f t="shared" si="303"/>
        <v>584652.42316800077</v>
      </c>
      <c r="BC79" s="1467">
        <f t="shared" si="303"/>
        <v>467721.93853440078</v>
      </c>
      <c r="BD79" s="1467">
        <f t="shared" si="303"/>
        <v>374177.5508275209</v>
      </c>
      <c r="BE79" s="1467">
        <f t="shared" si="303"/>
        <v>299342.04066201689</v>
      </c>
      <c r="BF79" s="1467">
        <f t="shared" si="303"/>
        <v>239473.63252961374</v>
      </c>
      <c r="BG79" s="1467">
        <f t="shared" si="303"/>
        <v>191578.9060236912</v>
      </c>
      <c r="BH79" s="1467">
        <f t="shared" si="303"/>
        <v>153263.1248189531</v>
      </c>
      <c r="BI79" s="1467">
        <f t="shared" si="303"/>
        <v>122610.49985516255</v>
      </c>
      <c r="BJ79" s="1467">
        <f t="shared" si="303"/>
        <v>98088.399884130034</v>
      </c>
      <c r="BK79" s="1467">
        <f t="shared" si="303"/>
        <v>78470.719907304054</v>
      </c>
      <c r="BL79" s="1467">
        <f t="shared" si="303"/>
        <v>62776.575925843201</v>
      </c>
      <c r="BM79" s="1467">
        <f t="shared" si="303"/>
        <v>50221.260740674443</v>
      </c>
      <c r="BN79" s="1467">
        <f t="shared" si="303"/>
        <v>40177.008592539438</v>
      </c>
      <c r="BO79" s="1467">
        <f t="shared" si="303"/>
        <v>32141.606874031357</v>
      </c>
      <c r="BP79" s="1467">
        <f t="shared" si="303"/>
        <v>25713.285499224967</v>
      </c>
      <c r="BQ79" s="1467">
        <f t="shared" si="303"/>
        <v>20570.628399379893</v>
      </c>
      <c r="BR79" s="1467">
        <f t="shared" si="303"/>
        <v>16456.502719503798</v>
      </c>
      <c r="BS79" s="1467">
        <f t="shared" si="303"/>
        <v>13165.202175602846</v>
      </c>
      <c r="BT79" s="1467">
        <f t="shared" si="303"/>
        <v>10532.16174048201</v>
      </c>
      <c r="BU79" s="1467">
        <f t="shared" si="303"/>
        <v>8425.7293923852667</v>
      </c>
      <c r="BV79" s="1480"/>
    </row>
    <row r="80" spans="1:74" x14ac:dyDescent="0.2">
      <c r="A80" s="927" t="str">
        <f t="shared" si="304"/>
        <v>B-Syrup (Sucrosic).Accelerated</v>
      </c>
      <c r="C80" s="1470" t="str">
        <f t="shared" si="312"/>
        <v>B-Syrup (Sucrosic)</v>
      </c>
      <c r="D80" s="1470" t="str">
        <f>Assumptions!$AH$82</f>
        <v>Accelerated</v>
      </c>
      <c r="E80" s="1470" t="s">
        <v>995</v>
      </c>
      <c r="F80" s="1470"/>
      <c r="G80" s="1471">
        <f>SUM('B-Syrup (Sucrosic)'!I216:J217)*10^6</f>
        <v>15000000</v>
      </c>
      <c r="H80" s="1471">
        <f t="shared" ref="H80" si="314">G80*(1+$F$5)</f>
        <v>16500000.000000002</v>
      </c>
      <c r="I80" s="1471">
        <f t="shared" ref="I80" si="315">H80*(1+$F$6)</f>
        <v>16500000.000000002</v>
      </c>
      <c r="J80" s="1470">
        <f t="shared" si="313"/>
        <v>0.2</v>
      </c>
      <c r="K80" s="1107"/>
      <c r="L80" s="1467">
        <f t="shared" si="308"/>
        <v>3300000.0000000005</v>
      </c>
      <c r="M80" s="1467">
        <f>($I80-SUM($L80:L80))*$J80</f>
        <v>2640000.0000000005</v>
      </c>
      <c r="N80" s="1467">
        <f>($I80-SUM($L80:M80))*$J80</f>
        <v>2112000</v>
      </c>
      <c r="O80" s="1467">
        <f>($I80-SUM($L80:N80))*$J80</f>
        <v>1689600</v>
      </c>
      <c r="P80" s="1467">
        <f>($I80-SUM($L80:O80))*$J80</f>
        <v>1351680.0000000005</v>
      </c>
      <c r="Q80" s="1467">
        <f>($I80-SUM($L80:P80))*$J80</f>
        <v>1081344.0000000005</v>
      </c>
      <c r="R80" s="1467">
        <f>($I80-SUM($L80:Q80))*$J80</f>
        <v>865075.20000000042</v>
      </c>
      <c r="S80" s="1467">
        <f>($I80-SUM($L80:R80))*$J80</f>
        <v>692060.16000000015</v>
      </c>
      <c r="T80" s="1467">
        <f>($I80-SUM($L80:S80))*$J80</f>
        <v>553648.12800000014</v>
      </c>
      <c r="U80" s="1467">
        <f>($I80-SUM($L80:T80))*$J80</f>
        <v>442918.50240000006</v>
      </c>
      <c r="V80" s="1467">
        <f>($I80-SUM($L80:U80))*$J80</f>
        <v>354334.80192000011</v>
      </c>
      <c r="W80" s="1467">
        <f>($I80-SUM($L80:V80))*$J80</f>
        <v>283467.84153600002</v>
      </c>
      <c r="X80" s="1467">
        <f>($I80-SUM($L80:W80))*$J80</f>
        <v>226774.27322879992</v>
      </c>
      <c r="Y80" s="1467">
        <f>($I80-SUM($L80:X80))*$J80</f>
        <v>181419.41858303995</v>
      </c>
      <c r="Z80" s="1467">
        <f>($I80-SUM($L80:Y80))*$J80</f>
        <v>145135.53486643211</v>
      </c>
      <c r="AA80" s="1467">
        <f>($I80-SUM($L80:Z80))*$J80</f>
        <v>116108.42789314577</v>
      </c>
      <c r="AB80" s="1467">
        <f>($I80-SUM($L80:AA80))*$J80</f>
        <v>92886.742314516756</v>
      </c>
      <c r="AC80" s="1467">
        <f>($I80-SUM($L80:AB80))*$J80</f>
        <v>74309.393851613262</v>
      </c>
      <c r="AD80" s="1467">
        <f>($I80-SUM($L80:AC80))*$J80</f>
        <v>59447.515081290534</v>
      </c>
      <c r="AE80" s="1467">
        <f>($I80-SUM($L80:AD80))*$J80</f>
        <v>47558.012065032497</v>
      </c>
      <c r="AF80" s="1467">
        <f>($I80-SUM($L80:AE80))*$J80</f>
        <v>38046.409652025999</v>
      </c>
      <c r="AG80" s="1467">
        <f>($I80-SUM($L80:AF80))*$J80</f>
        <v>30437.127721620724</v>
      </c>
      <c r="AH80" s="1467">
        <f>($I80-SUM($L80:AG80))*$J80</f>
        <v>24349.702177296582</v>
      </c>
      <c r="AI80" s="1467">
        <f>($I80-SUM($L80:AH80))*$J80</f>
        <v>19479.761741837116</v>
      </c>
      <c r="AJ80" s="1467">
        <f>($I80-SUM($L80:AI80))*$J80</f>
        <v>15583.809393469617</v>
      </c>
      <c r="AK80" s="1467">
        <f>($I80-SUM($L80:AJ80))*$J80</f>
        <v>12467.047514775768</v>
      </c>
      <c r="AL80" s="1467">
        <f>($I80-SUM($L80:AK80))*$J80</f>
        <v>9973.6380118206143</v>
      </c>
      <c r="AM80" s="1467">
        <f>($I80-SUM($L80:AL80))*$J80</f>
        <v>7978.9104094564918</v>
      </c>
      <c r="AN80" s="1467">
        <f>($I80-SUM($L80:AM80))*$J80</f>
        <v>6383.1283275652677</v>
      </c>
      <c r="AO80" s="1467">
        <f>($I80-SUM($L80:AN80))*$J80</f>
        <v>5106.5026620522149</v>
      </c>
      <c r="AP80" s="1468">
        <f t="shared" ref="AP80" si="316">SUM(L80:AO80)</f>
        <v>16479573.989351792</v>
      </c>
      <c r="AQ80" s="1480"/>
      <c r="AR80" s="1467">
        <f t="shared" ref="AR80" si="317">I80-L80</f>
        <v>13200000.000000002</v>
      </c>
      <c r="AS80" s="1467">
        <f t="shared" ref="AS80" si="318">AR80-M80</f>
        <v>10560000.000000002</v>
      </c>
      <c r="AT80" s="1467">
        <f t="shared" ref="AT80" si="319">AS80-N80</f>
        <v>8448000.0000000019</v>
      </c>
      <c r="AU80" s="1467">
        <f t="shared" ref="AU80" si="320">AT80-O80</f>
        <v>6758400.0000000019</v>
      </c>
      <c r="AV80" s="1467">
        <f t="shared" ref="AV80" si="321">AU80-P80</f>
        <v>5406720.0000000019</v>
      </c>
      <c r="AW80" s="1467">
        <f t="shared" ref="AW80" si="322">AV80-Q80</f>
        <v>4325376.0000000019</v>
      </c>
      <c r="AX80" s="1467">
        <f t="shared" ref="AX80" si="323">AW80-R80</f>
        <v>3460300.8000000017</v>
      </c>
      <c r="AY80" s="1467">
        <f t="shared" ref="AY80" si="324">AX80-S80</f>
        <v>2768240.6400000015</v>
      </c>
      <c r="AZ80" s="1467">
        <f t="shared" ref="AZ80" si="325">AY80-T80</f>
        <v>2214592.5120000015</v>
      </c>
      <c r="BA80" s="1467">
        <f t="shared" ref="BA80" si="326">AZ80-U80</f>
        <v>1771674.0096000014</v>
      </c>
      <c r="BB80" s="1467">
        <f t="shared" ref="BB80" si="327">BA80-V80</f>
        <v>1417339.2076800014</v>
      </c>
      <c r="BC80" s="1467">
        <f t="shared" ref="BC80" si="328">BB80-W80</f>
        <v>1133871.3661440015</v>
      </c>
      <c r="BD80" s="1467">
        <f t="shared" ref="BD80" si="329">BC80-X80</f>
        <v>907097.09291520156</v>
      </c>
      <c r="BE80" s="1467">
        <f t="shared" ref="BE80" si="330">BD80-Y80</f>
        <v>725677.67433216167</v>
      </c>
      <c r="BF80" s="1467">
        <f t="shared" ref="BF80" si="331">BE80-Z80</f>
        <v>580542.13946572959</v>
      </c>
      <c r="BG80" s="1467">
        <f t="shared" ref="BG80" si="332">BF80-AA80</f>
        <v>464433.71157258382</v>
      </c>
      <c r="BH80" s="1467">
        <f t="shared" ref="BH80" si="333">BG80-AB80</f>
        <v>371546.96925806708</v>
      </c>
      <c r="BI80" s="1467">
        <f t="shared" ref="BI80" si="334">BH80-AC80</f>
        <v>297237.57540645381</v>
      </c>
      <c r="BJ80" s="1467">
        <f t="shared" ref="BJ80" si="335">BI80-AD80</f>
        <v>237790.06032516327</v>
      </c>
      <c r="BK80" s="1467">
        <f t="shared" ref="BK80" si="336">BJ80-AE80</f>
        <v>190232.04826013077</v>
      </c>
      <c r="BL80" s="1467">
        <f t="shared" ref="BL80" si="337">BK80-AF80</f>
        <v>152185.63860810478</v>
      </c>
      <c r="BM80" s="1467">
        <f t="shared" ref="BM80" si="338">BL80-AG80</f>
        <v>121748.51088648406</v>
      </c>
      <c r="BN80" s="1467">
        <f t="shared" ref="BN80" si="339">BM80-AH80</f>
        <v>97398.808709187477</v>
      </c>
      <c r="BO80" s="1467">
        <f t="shared" ref="BO80" si="340">BN80-AI80</f>
        <v>77919.046967350354</v>
      </c>
      <c r="BP80" s="1467">
        <f t="shared" ref="BP80" si="341">BO80-AJ80</f>
        <v>62335.237573880739</v>
      </c>
      <c r="BQ80" s="1467">
        <f t="shared" ref="BQ80" si="342">BP80-AK80</f>
        <v>49868.190059104971</v>
      </c>
      <c r="BR80" s="1467">
        <f t="shared" ref="BR80" si="343">BQ80-AL80</f>
        <v>39894.552047284356</v>
      </c>
      <c r="BS80" s="1467">
        <f t="shared" ref="BS80" si="344">BR80-AM80</f>
        <v>31915.641637827866</v>
      </c>
      <c r="BT80" s="1467">
        <f t="shared" ref="BT80" si="345">BS80-AN80</f>
        <v>25532.513310262599</v>
      </c>
      <c r="BU80" s="1467">
        <f t="shared" ref="BU80" si="346">BT80-AO80</f>
        <v>20426.010648210384</v>
      </c>
      <c r="BV80" s="1480"/>
    </row>
    <row r="81" spans="1:74" x14ac:dyDescent="0.2">
      <c r="A81" s="927" t="str">
        <f t="shared" si="304"/>
        <v>.</v>
      </c>
      <c r="B81" s="1297" t="str">
        <f>Assumptions!$AH$81</f>
        <v>Straight-Line</v>
      </c>
      <c r="C81" s="1107"/>
      <c r="D81" s="1107"/>
      <c r="E81" s="1107"/>
      <c r="F81" s="1107"/>
      <c r="G81" s="1107">
        <f t="shared" si="305"/>
        <v>0</v>
      </c>
      <c r="H81" s="1107">
        <f t="shared" si="306"/>
        <v>0</v>
      </c>
      <c r="I81" s="1107">
        <f t="shared" si="307"/>
        <v>0</v>
      </c>
      <c r="J81" s="1472">
        <f>IFERROR(INDEX(Assumptions!$AI$82:$AI$164,MATCH(Depreciation!$D81,Assumptions!$AH$81:$AH$163,0)),0)</f>
        <v>0</v>
      </c>
      <c r="K81" s="1107"/>
      <c r="L81" s="1107">
        <f t="shared" si="308"/>
        <v>0</v>
      </c>
      <c r="M81" s="1107">
        <f t="shared" ref="M81" si="347">L81*$J81</f>
        <v>0</v>
      </c>
      <c r="N81" s="1107"/>
      <c r="O81" s="1107"/>
      <c r="P81" s="1107"/>
      <c r="Q81" s="1107"/>
      <c r="R81" s="1107"/>
      <c r="S81" s="1107"/>
      <c r="T81" s="1107"/>
      <c r="U81" s="1107"/>
      <c r="V81" s="1107"/>
      <c r="W81" s="1107"/>
      <c r="X81" s="1107"/>
      <c r="Y81" s="1107"/>
      <c r="Z81" s="1107"/>
      <c r="AA81" s="1107"/>
      <c r="AB81" s="1107"/>
      <c r="AC81" s="1107"/>
      <c r="AD81" s="1107"/>
      <c r="AE81" s="1107"/>
      <c r="AF81" s="1107"/>
      <c r="AG81" s="1107"/>
      <c r="AH81" s="1107"/>
      <c r="AI81" s="1107"/>
      <c r="AJ81" s="1107"/>
      <c r="AK81" s="1107"/>
      <c r="AL81" s="1107"/>
      <c r="AM81" s="1107"/>
      <c r="AN81" s="1107"/>
      <c r="AO81" s="1107"/>
      <c r="AP81" s="1107">
        <f t="shared" si="309"/>
        <v>0</v>
      </c>
      <c r="AQ81" s="1480"/>
      <c r="AR81" s="1297">
        <f t="shared" si="310"/>
        <v>0</v>
      </c>
      <c r="AS81" s="1297">
        <f t="shared" si="311"/>
        <v>0</v>
      </c>
      <c r="AT81" s="1297">
        <f t="shared" ref="AT81:BI89" si="348">AS81-N81</f>
        <v>0</v>
      </c>
      <c r="AU81" s="1297">
        <f t="shared" si="348"/>
        <v>0</v>
      </c>
      <c r="AV81" s="1297">
        <f t="shared" si="348"/>
        <v>0</v>
      </c>
      <c r="AW81" s="1297">
        <f t="shared" si="348"/>
        <v>0</v>
      </c>
      <c r="AX81" s="1297">
        <f t="shared" si="348"/>
        <v>0</v>
      </c>
      <c r="AY81" s="1297">
        <f t="shared" si="348"/>
        <v>0</v>
      </c>
      <c r="AZ81" s="1297">
        <f t="shared" si="348"/>
        <v>0</v>
      </c>
      <c r="BA81" s="1297">
        <f t="shared" si="348"/>
        <v>0</v>
      </c>
      <c r="BB81" s="1297">
        <f t="shared" si="348"/>
        <v>0</v>
      </c>
      <c r="BC81" s="1297">
        <f t="shared" si="348"/>
        <v>0</v>
      </c>
      <c r="BD81" s="1297">
        <f t="shared" si="348"/>
        <v>0</v>
      </c>
      <c r="BE81" s="1297">
        <f t="shared" si="348"/>
        <v>0</v>
      </c>
      <c r="BF81" s="1297">
        <f t="shared" si="348"/>
        <v>0</v>
      </c>
      <c r="BG81" s="1297">
        <f t="shared" si="348"/>
        <v>0</v>
      </c>
      <c r="BH81" s="1297">
        <f t="shared" si="348"/>
        <v>0</v>
      </c>
      <c r="BI81" s="1297">
        <f t="shared" si="348"/>
        <v>0</v>
      </c>
      <c r="BJ81" s="1297">
        <f t="shared" ref="BJ81:BU89" si="349">BI81-AD81</f>
        <v>0</v>
      </c>
      <c r="BK81" s="1297">
        <f t="shared" si="349"/>
        <v>0</v>
      </c>
      <c r="BL81" s="1297">
        <f t="shared" si="349"/>
        <v>0</v>
      </c>
      <c r="BM81" s="1297">
        <f t="shared" si="349"/>
        <v>0</v>
      </c>
      <c r="BN81" s="1297">
        <f t="shared" si="349"/>
        <v>0</v>
      </c>
      <c r="BO81" s="1297">
        <f t="shared" si="349"/>
        <v>0</v>
      </c>
      <c r="BP81" s="1297">
        <f t="shared" si="349"/>
        <v>0</v>
      </c>
      <c r="BQ81" s="1297">
        <f t="shared" si="349"/>
        <v>0</v>
      </c>
      <c r="BR81" s="1297">
        <f t="shared" si="349"/>
        <v>0</v>
      </c>
      <c r="BS81" s="1297">
        <f t="shared" si="349"/>
        <v>0</v>
      </c>
      <c r="BT81" s="1297">
        <f t="shared" si="349"/>
        <v>0</v>
      </c>
      <c r="BU81" s="1297">
        <f t="shared" si="349"/>
        <v>0</v>
      </c>
      <c r="BV81" s="1480"/>
    </row>
    <row r="82" spans="1:74" x14ac:dyDescent="0.2">
      <c r="A82" s="927" t="str">
        <f t="shared" si="304"/>
        <v>B-Syrup (Sucrosic).Straight-Line</v>
      </c>
      <c r="B82" s="1076"/>
      <c r="C82" s="1076" t="str">
        <f>C72</f>
        <v>B-Syrup (Sucrosic)</v>
      </c>
      <c r="D82" s="1076" t="str">
        <f>Assumptions!$AH$81</f>
        <v>Straight-Line</v>
      </c>
      <c r="E82" s="1076" t="str">
        <f t="shared" ref="E82:F89" si="350">E72</f>
        <v>Molasses Receival</v>
      </c>
      <c r="F82" s="1467">
        <f t="shared" si="350"/>
        <v>10000000</v>
      </c>
      <c r="G82" s="1467">
        <f t="shared" si="305"/>
        <v>12375000</v>
      </c>
      <c r="H82" s="1467">
        <f t="shared" si="306"/>
        <v>13612500.000000002</v>
      </c>
      <c r="I82" s="1467">
        <f t="shared" si="307"/>
        <v>13612500.000000002</v>
      </c>
      <c r="J82" s="1161">
        <f>Assumptions!$N$53</f>
        <v>3.3333333333333333E-2</v>
      </c>
      <c r="K82" s="1107"/>
      <c r="L82" s="1467">
        <f t="shared" si="308"/>
        <v>453750.00000000006</v>
      </c>
      <c r="M82" s="1467">
        <f t="shared" si="308"/>
        <v>453750.00000000006</v>
      </c>
      <c r="N82" s="1467">
        <f t="shared" si="308"/>
        <v>453750.00000000006</v>
      </c>
      <c r="O82" s="1467">
        <f t="shared" si="308"/>
        <v>453750.00000000006</v>
      </c>
      <c r="P82" s="1467">
        <f t="shared" si="308"/>
        <v>453750.00000000006</v>
      </c>
      <c r="Q82" s="1467">
        <f t="shared" si="308"/>
        <v>453750.00000000006</v>
      </c>
      <c r="R82" s="1467">
        <f t="shared" si="308"/>
        <v>453750.00000000006</v>
      </c>
      <c r="S82" s="1467">
        <f t="shared" si="308"/>
        <v>453750.00000000006</v>
      </c>
      <c r="T82" s="1467">
        <f t="shared" si="308"/>
        <v>453750.00000000006</v>
      </c>
      <c r="U82" s="1467">
        <f t="shared" si="308"/>
        <v>453750.00000000006</v>
      </c>
      <c r="V82" s="1467">
        <f t="shared" si="308"/>
        <v>453750.00000000006</v>
      </c>
      <c r="W82" s="1467">
        <f t="shared" si="308"/>
        <v>453750.00000000006</v>
      </c>
      <c r="X82" s="1467">
        <f t="shared" si="308"/>
        <v>453750.00000000006</v>
      </c>
      <c r="Y82" s="1467">
        <f t="shared" si="308"/>
        <v>453750.00000000006</v>
      </c>
      <c r="Z82" s="1467">
        <f t="shared" si="308"/>
        <v>453750.00000000006</v>
      </c>
      <c r="AA82" s="1467">
        <f t="shared" si="308"/>
        <v>453750.00000000006</v>
      </c>
      <c r="AB82" s="1467">
        <f t="shared" ref="AB82:AO90" si="351">$I82*$J82</f>
        <v>453750.00000000006</v>
      </c>
      <c r="AC82" s="1467">
        <f t="shared" si="351"/>
        <v>453750.00000000006</v>
      </c>
      <c r="AD82" s="1467">
        <f t="shared" si="351"/>
        <v>453750.00000000006</v>
      </c>
      <c r="AE82" s="1467">
        <f t="shared" si="351"/>
        <v>453750.00000000006</v>
      </c>
      <c r="AF82" s="1467">
        <f t="shared" si="351"/>
        <v>453750.00000000006</v>
      </c>
      <c r="AG82" s="1467">
        <f t="shared" si="351"/>
        <v>453750.00000000006</v>
      </c>
      <c r="AH82" s="1467">
        <f t="shared" si="351"/>
        <v>453750.00000000006</v>
      </c>
      <c r="AI82" s="1467">
        <f t="shared" si="351"/>
        <v>453750.00000000006</v>
      </c>
      <c r="AJ82" s="1467">
        <f t="shared" si="351"/>
        <v>453750.00000000006</v>
      </c>
      <c r="AK82" s="1467">
        <f t="shared" si="351"/>
        <v>453750.00000000006</v>
      </c>
      <c r="AL82" s="1467">
        <f t="shared" si="351"/>
        <v>453750.00000000006</v>
      </c>
      <c r="AM82" s="1467">
        <f t="shared" si="351"/>
        <v>453750.00000000006</v>
      </c>
      <c r="AN82" s="1467">
        <f t="shared" si="351"/>
        <v>453750.00000000006</v>
      </c>
      <c r="AO82" s="1467">
        <f t="shared" si="351"/>
        <v>453750.00000000006</v>
      </c>
      <c r="AP82" s="1468">
        <f t="shared" si="309"/>
        <v>13612500.000000002</v>
      </c>
      <c r="AQ82" s="1480"/>
      <c r="AR82" s="1467">
        <f t="shared" si="310"/>
        <v>13158750.000000002</v>
      </c>
      <c r="AS82" s="1467">
        <f t="shared" si="311"/>
        <v>12705000.000000002</v>
      </c>
      <c r="AT82" s="1467">
        <f t="shared" si="348"/>
        <v>12251250.000000002</v>
      </c>
      <c r="AU82" s="1467">
        <f t="shared" si="348"/>
        <v>11797500.000000002</v>
      </c>
      <c r="AV82" s="1467">
        <f t="shared" si="348"/>
        <v>11343750.000000002</v>
      </c>
      <c r="AW82" s="1467">
        <f t="shared" si="348"/>
        <v>10890000.000000002</v>
      </c>
      <c r="AX82" s="1467">
        <f t="shared" si="348"/>
        <v>10436250.000000002</v>
      </c>
      <c r="AY82" s="1467">
        <f t="shared" si="348"/>
        <v>9982500.0000000019</v>
      </c>
      <c r="AZ82" s="1467">
        <f t="shared" si="348"/>
        <v>9528750.0000000019</v>
      </c>
      <c r="BA82" s="1467">
        <f t="shared" si="348"/>
        <v>9075000.0000000019</v>
      </c>
      <c r="BB82" s="1467">
        <f t="shared" si="348"/>
        <v>8621250.0000000019</v>
      </c>
      <c r="BC82" s="1467">
        <f t="shared" si="348"/>
        <v>8167500.0000000019</v>
      </c>
      <c r="BD82" s="1467">
        <f t="shared" si="348"/>
        <v>7713750.0000000019</v>
      </c>
      <c r="BE82" s="1467">
        <f t="shared" si="348"/>
        <v>7260000.0000000019</v>
      </c>
      <c r="BF82" s="1467">
        <f t="shared" si="348"/>
        <v>6806250.0000000019</v>
      </c>
      <c r="BG82" s="1467">
        <f t="shared" si="348"/>
        <v>6352500.0000000019</v>
      </c>
      <c r="BH82" s="1467">
        <f t="shared" si="348"/>
        <v>5898750.0000000019</v>
      </c>
      <c r="BI82" s="1467">
        <f t="shared" si="348"/>
        <v>5445000.0000000019</v>
      </c>
      <c r="BJ82" s="1467">
        <f t="shared" si="349"/>
        <v>4991250.0000000019</v>
      </c>
      <c r="BK82" s="1467">
        <f t="shared" si="349"/>
        <v>4537500.0000000019</v>
      </c>
      <c r="BL82" s="1467">
        <f t="shared" si="349"/>
        <v>4083750.0000000019</v>
      </c>
      <c r="BM82" s="1467">
        <f t="shared" si="349"/>
        <v>3630000.0000000019</v>
      </c>
      <c r="BN82" s="1467">
        <f t="shared" si="349"/>
        <v>3176250.0000000019</v>
      </c>
      <c r="BO82" s="1467">
        <f t="shared" si="349"/>
        <v>2722500.0000000019</v>
      </c>
      <c r="BP82" s="1467">
        <f t="shared" si="349"/>
        <v>2268750.0000000019</v>
      </c>
      <c r="BQ82" s="1467">
        <f t="shared" si="349"/>
        <v>1815000.0000000019</v>
      </c>
      <c r="BR82" s="1467">
        <f t="shared" si="349"/>
        <v>1361250.0000000019</v>
      </c>
      <c r="BS82" s="1467">
        <f t="shared" si="349"/>
        <v>907500.00000000186</v>
      </c>
      <c r="BT82" s="1467">
        <f t="shared" si="349"/>
        <v>453750.0000000018</v>
      </c>
      <c r="BU82" s="1467">
        <f t="shared" si="349"/>
        <v>1.7462298274040222E-9</v>
      </c>
      <c r="BV82" s="1480"/>
    </row>
    <row r="83" spans="1:74" x14ac:dyDescent="0.2">
      <c r="A83" s="927" t="str">
        <f t="shared" si="304"/>
        <v>B-Syrup (Sucrosic).Straight-Line</v>
      </c>
      <c r="B83" s="1076"/>
      <c r="C83" s="1076" t="str">
        <f t="shared" ref="C83:C90" si="352">C73</f>
        <v>B-Syrup (Sucrosic)</v>
      </c>
      <c r="D83" s="1076" t="str">
        <f>Assumptions!$AH$81</f>
        <v>Straight-Line</v>
      </c>
      <c r="E83" s="1076" t="str">
        <f t="shared" si="350"/>
        <v>Fermentation Plant</v>
      </c>
      <c r="F83" s="1467">
        <f t="shared" si="350"/>
        <v>18000000</v>
      </c>
      <c r="G83" s="1467">
        <f t="shared" si="305"/>
        <v>22275000</v>
      </c>
      <c r="H83" s="1467">
        <f t="shared" si="306"/>
        <v>24502500.000000004</v>
      </c>
      <c r="I83" s="1467">
        <f t="shared" si="307"/>
        <v>24502500.000000004</v>
      </c>
      <c r="J83" s="1161">
        <f>J82</f>
        <v>3.3333333333333333E-2</v>
      </c>
      <c r="K83" s="1107"/>
      <c r="L83" s="1467">
        <f t="shared" si="308"/>
        <v>816750.00000000012</v>
      </c>
      <c r="M83" s="1467">
        <f t="shared" si="308"/>
        <v>816750.00000000012</v>
      </c>
      <c r="N83" s="1467">
        <f t="shared" si="308"/>
        <v>816750.00000000012</v>
      </c>
      <c r="O83" s="1467">
        <f t="shared" si="308"/>
        <v>816750.00000000012</v>
      </c>
      <c r="P83" s="1467">
        <f t="shared" si="308"/>
        <v>816750.00000000012</v>
      </c>
      <c r="Q83" s="1467">
        <f t="shared" si="308"/>
        <v>816750.00000000012</v>
      </c>
      <c r="R83" s="1467">
        <f t="shared" si="308"/>
        <v>816750.00000000012</v>
      </c>
      <c r="S83" s="1467">
        <f t="shared" si="308"/>
        <v>816750.00000000012</v>
      </c>
      <c r="T83" s="1467">
        <f t="shared" si="308"/>
        <v>816750.00000000012</v>
      </c>
      <c r="U83" s="1467">
        <f t="shared" si="308"/>
        <v>816750.00000000012</v>
      </c>
      <c r="V83" s="1467">
        <f t="shared" si="308"/>
        <v>816750.00000000012</v>
      </c>
      <c r="W83" s="1467">
        <f t="shared" si="308"/>
        <v>816750.00000000012</v>
      </c>
      <c r="X83" s="1467">
        <f t="shared" si="308"/>
        <v>816750.00000000012</v>
      </c>
      <c r="Y83" s="1467">
        <f t="shared" si="308"/>
        <v>816750.00000000012</v>
      </c>
      <c r="Z83" s="1467">
        <f t="shared" si="308"/>
        <v>816750.00000000012</v>
      </c>
      <c r="AA83" s="1467">
        <f t="shared" si="308"/>
        <v>816750.00000000012</v>
      </c>
      <c r="AB83" s="1467">
        <f t="shared" si="351"/>
        <v>816750.00000000012</v>
      </c>
      <c r="AC83" s="1467">
        <f t="shared" si="351"/>
        <v>816750.00000000012</v>
      </c>
      <c r="AD83" s="1467">
        <f t="shared" si="351"/>
        <v>816750.00000000012</v>
      </c>
      <c r="AE83" s="1467">
        <f t="shared" si="351"/>
        <v>816750.00000000012</v>
      </c>
      <c r="AF83" s="1467">
        <f t="shared" si="351"/>
        <v>816750.00000000012</v>
      </c>
      <c r="AG83" s="1467">
        <f t="shared" si="351"/>
        <v>816750.00000000012</v>
      </c>
      <c r="AH83" s="1467">
        <f t="shared" si="351"/>
        <v>816750.00000000012</v>
      </c>
      <c r="AI83" s="1467">
        <f t="shared" si="351"/>
        <v>816750.00000000012</v>
      </c>
      <c r="AJ83" s="1467">
        <f t="shared" si="351"/>
        <v>816750.00000000012</v>
      </c>
      <c r="AK83" s="1467">
        <f t="shared" si="351"/>
        <v>816750.00000000012</v>
      </c>
      <c r="AL83" s="1467">
        <f t="shared" si="351"/>
        <v>816750.00000000012</v>
      </c>
      <c r="AM83" s="1467">
        <f t="shared" si="351"/>
        <v>816750.00000000012</v>
      </c>
      <c r="AN83" s="1467">
        <f t="shared" si="351"/>
        <v>816750.00000000012</v>
      </c>
      <c r="AO83" s="1467">
        <f t="shared" si="351"/>
        <v>816750.00000000012</v>
      </c>
      <c r="AP83" s="1468">
        <f t="shared" si="309"/>
        <v>24502500.000000004</v>
      </c>
      <c r="AQ83" s="1480"/>
      <c r="AR83" s="1467">
        <f t="shared" si="310"/>
        <v>23685750.000000004</v>
      </c>
      <c r="AS83" s="1467">
        <f t="shared" si="311"/>
        <v>22869000.000000004</v>
      </c>
      <c r="AT83" s="1467">
        <f t="shared" si="348"/>
        <v>22052250.000000004</v>
      </c>
      <c r="AU83" s="1467">
        <f t="shared" si="348"/>
        <v>21235500.000000004</v>
      </c>
      <c r="AV83" s="1467">
        <f t="shared" si="348"/>
        <v>20418750.000000004</v>
      </c>
      <c r="AW83" s="1467">
        <f t="shared" si="348"/>
        <v>19602000.000000004</v>
      </c>
      <c r="AX83" s="1467">
        <f t="shared" si="348"/>
        <v>18785250.000000004</v>
      </c>
      <c r="AY83" s="1467">
        <f t="shared" si="348"/>
        <v>17968500.000000004</v>
      </c>
      <c r="AZ83" s="1467">
        <f t="shared" si="348"/>
        <v>17151750.000000004</v>
      </c>
      <c r="BA83" s="1467">
        <f t="shared" si="348"/>
        <v>16335000.000000004</v>
      </c>
      <c r="BB83" s="1467">
        <f t="shared" si="348"/>
        <v>15518250.000000004</v>
      </c>
      <c r="BC83" s="1467">
        <f t="shared" si="348"/>
        <v>14701500.000000004</v>
      </c>
      <c r="BD83" s="1467">
        <f t="shared" si="348"/>
        <v>13884750.000000004</v>
      </c>
      <c r="BE83" s="1467">
        <f t="shared" si="348"/>
        <v>13068000.000000004</v>
      </c>
      <c r="BF83" s="1467">
        <f t="shared" si="348"/>
        <v>12251250.000000004</v>
      </c>
      <c r="BG83" s="1467">
        <f t="shared" si="348"/>
        <v>11434500.000000004</v>
      </c>
      <c r="BH83" s="1467">
        <f t="shared" si="348"/>
        <v>10617750.000000004</v>
      </c>
      <c r="BI83" s="1467">
        <f t="shared" si="348"/>
        <v>9801000.0000000037</v>
      </c>
      <c r="BJ83" s="1467">
        <f t="shared" si="349"/>
        <v>8984250.0000000037</v>
      </c>
      <c r="BK83" s="1467">
        <f t="shared" si="349"/>
        <v>8167500.0000000037</v>
      </c>
      <c r="BL83" s="1467">
        <f t="shared" si="349"/>
        <v>7350750.0000000037</v>
      </c>
      <c r="BM83" s="1467">
        <f t="shared" si="349"/>
        <v>6534000.0000000037</v>
      </c>
      <c r="BN83" s="1467">
        <f t="shared" si="349"/>
        <v>5717250.0000000037</v>
      </c>
      <c r="BO83" s="1467">
        <f t="shared" si="349"/>
        <v>4900500.0000000037</v>
      </c>
      <c r="BP83" s="1467">
        <f t="shared" si="349"/>
        <v>4083750.0000000037</v>
      </c>
      <c r="BQ83" s="1467">
        <f t="shared" si="349"/>
        <v>3267000.0000000037</v>
      </c>
      <c r="BR83" s="1467">
        <f t="shared" si="349"/>
        <v>2450250.0000000037</v>
      </c>
      <c r="BS83" s="1467">
        <f t="shared" si="349"/>
        <v>1633500.0000000037</v>
      </c>
      <c r="BT83" s="1467">
        <f t="shared" si="349"/>
        <v>816750.00000000361</v>
      </c>
      <c r="BU83" s="1467">
        <f t="shared" si="349"/>
        <v>3.4924596548080444E-9</v>
      </c>
      <c r="BV83" s="1480"/>
    </row>
    <row r="84" spans="1:74" x14ac:dyDescent="0.2">
      <c r="A84" s="927" t="str">
        <f t="shared" si="304"/>
        <v>B-Syrup (Sucrosic).Straight-Line</v>
      </c>
      <c r="B84" s="1076"/>
      <c r="C84" s="1076" t="str">
        <f t="shared" si="352"/>
        <v>B-Syrup (Sucrosic)</v>
      </c>
      <c r="D84" s="1076" t="str">
        <f>Assumptions!$AH$81</f>
        <v>Straight-Line</v>
      </c>
      <c r="E84" s="1076" t="str">
        <f t="shared" si="350"/>
        <v>Distillation, Rectification and Dehydration</v>
      </c>
      <c r="F84" s="1467">
        <f t="shared" si="350"/>
        <v>23000000</v>
      </c>
      <c r="G84" s="1467">
        <f t="shared" si="305"/>
        <v>28462500</v>
      </c>
      <c r="H84" s="1467">
        <f t="shared" si="306"/>
        <v>31308750.000000004</v>
      </c>
      <c r="I84" s="1467">
        <f t="shared" si="307"/>
        <v>31308750.000000004</v>
      </c>
      <c r="J84" s="1161">
        <f t="shared" ref="J84:J90" si="353">J83</f>
        <v>3.3333333333333333E-2</v>
      </c>
      <c r="K84" s="1107"/>
      <c r="L84" s="1467">
        <f t="shared" si="308"/>
        <v>1043625.0000000001</v>
      </c>
      <c r="M84" s="1467">
        <f t="shared" si="308"/>
        <v>1043625.0000000001</v>
      </c>
      <c r="N84" s="1467">
        <f t="shared" si="308"/>
        <v>1043625.0000000001</v>
      </c>
      <c r="O84" s="1467">
        <f t="shared" si="308"/>
        <v>1043625.0000000001</v>
      </c>
      <c r="P84" s="1467">
        <f t="shared" si="308"/>
        <v>1043625.0000000001</v>
      </c>
      <c r="Q84" s="1467">
        <f t="shared" si="308"/>
        <v>1043625.0000000001</v>
      </c>
      <c r="R84" s="1467">
        <f t="shared" si="308"/>
        <v>1043625.0000000001</v>
      </c>
      <c r="S84" s="1467">
        <f t="shared" si="308"/>
        <v>1043625.0000000001</v>
      </c>
      <c r="T84" s="1467">
        <f t="shared" si="308"/>
        <v>1043625.0000000001</v>
      </c>
      <c r="U84" s="1467">
        <f t="shared" si="308"/>
        <v>1043625.0000000001</v>
      </c>
      <c r="V84" s="1467">
        <f t="shared" si="308"/>
        <v>1043625.0000000001</v>
      </c>
      <c r="W84" s="1467">
        <f t="shared" si="308"/>
        <v>1043625.0000000001</v>
      </c>
      <c r="X84" s="1467">
        <f t="shared" si="308"/>
        <v>1043625.0000000001</v>
      </c>
      <c r="Y84" s="1467">
        <f t="shared" si="308"/>
        <v>1043625.0000000001</v>
      </c>
      <c r="Z84" s="1467">
        <f t="shared" si="308"/>
        <v>1043625.0000000001</v>
      </c>
      <c r="AA84" s="1467">
        <f t="shared" si="308"/>
        <v>1043625.0000000001</v>
      </c>
      <c r="AB84" s="1467">
        <f t="shared" si="351"/>
        <v>1043625.0000000001</v>
      </c>
      <c r="AC84" s="1467">
        <f t="shared" si="351"/>
        <v>1043625.0000000001</v>
      </c>
      <c r="AD84" s="1467">
        <f t="shared" si="351"/>
        <v>1043625.0000000001</v>
      </c>
      <c r="AE84" s="1467">
        <f t="shared" si="351"/>
        <v>1043625.0000000001</v>
      </c>
      <c r="AF84" s="1467">
        <f t="shared" si="351"/>
        <v>1043625.0000000001</v>
      </c>
      <c r="AG84" s="1467">
        <f t="shared" si="351"/>
        <v>1043625.0000000001</v>
      </c>
      <c r="AH84" s="1467">
        <f t="shared" si="351"/>
        <v>1043625.0000000001</v>
      </c>
      <c r="AI84" s="1467">
        <f t="shared" si="351"/>
        <v>1043625.0000000001</v>
      </c>
      <c r="AJ84" s="1467">
        <f t="shared" si="351"/>
        <v>1043625.0000000001</v>
      </c>
      <c r="AK84" s="1467">
        <f t="shared" si="351"/>
        <v>1043625.0000000001</v>
      </c>
      <c r="AL84" s="1467">
        <f t="shared" si="351"/>
        <v>1043625.0000000001</v>
      </c>
      <c r="AM84" s="1467">
        <f t="shared" si="351"/>
        <v>1043625.0000000001</v>
      </c>
      <c r="AN84" s="1467">
        <f t="shared" si="351"/>
        <v>1043625.0000000001</v>
      </c>
      <c r="AO84" s="1467">
        <f t="shared" si="351"/>
        <v>1043625.0000000001</v>
      </c>
      <c r="AP84" s="1468">
        <f t="shared" si="309"/>
        <v>31308750.000000004</v>
      </c>
      <c r="AQ84" s="1480"/>
      <c r="AR84" s="1467">
        <f t="shared" si="310"/>
        <v>30265125.000000004</v>
      </c>
      <c r="AS84" s="1467">
        <f t="shared" si="311"/>
        <v>29221500.000000004</v>
      </c>
      <c r="AT84" s="1467">
        <f t="shared" si="348"/>
        <v>28177875.000000004</v>
      </c>
      <c r="AU84" s="1467">
        <f t="shared" si="348"/>
        <v>27134250.000000004</v>
      </c>
      <c r="AV84" s="1467">
        <f t="shared" si="348"/>
        <v>26090625.000000004</v>
      </c>
      <c r="AW84" s="1467">
        <f t="shared" si="348"/>
        <v>25047000.000000004</v>
      </c>
      <c r="AX84" s="1467">
        <f t="shared" si="348"/>
        <v>24003375.000000004</v>
      </c>
      <c r="AY84" s="1467">
        <f t="shared" si="348"/>
        <v>22959750.000000004</v>
      </c>
      <c r="AZ84" s="1467">
        <f t="shared" si="348"/>
        <v>21916125.000000004</v>
      </c>
      <c r="BA84" s="1467">
        <f t="shared" si="348"/>
        <v>20872500.000000004</v>
      </c>
      <c r="BB84" s="1467">
        <f t="shared" si="348"/>
        <v>19828875.000000004</v>
      </c>
      <c r="BC84" s="1467">
        <f t="shared" si="348"/>
        <v>18785250.000000004</v>
      </c>
      <c r="BD84" s="1467">
        <f t="shared" si="348"/>
        <v>17741625.000000004</v>
      </c>
      <c r="BE84" s="1467">
        <f t="shared" si="348"/>
        <v>16698000.000000004</v>
      </c>
      <c r="BF84" s="1467">
        <f t="shared" si="348"/>
        <v>15654375.000000004</v>
      </c>
      <c r="BG84" s="1467">
        <f t="shared" si="348"/>
        <v>14610750.000000004</v>
      </c>
      <c r="BH84" s="1467">
        <f t="shared" si="348"/>
        <v>13567125.000000004</v>
      </c>
      <c r="BI84" s="1467">
        <f t="shared" si="348"/>
        <v>12523500.000000004</v>
      </c>
      <c r="BJ84" s="1467">
        <f t="shared" si="349"/>
        <v>11479875.000000004</v>
      </c>
      <c r="BK84" s="1467">
        <f t="shared" si="349"/>
        <v>10436250.000000004</v>
      </c>
      <c r="BL84" s="1467">
        <f t="shared" si="349"/>
        <v>9392625.0000000037</v>
      </c>
      <c r="BM84" s="1467">
        <f t="shared" si="349"/>
        <v>8349000.0000000037</v>
      </c>
      <c r="BN84" s="1467">
        <f t="shared" si="349"/>
        <v>7305375.0000000037</v>
      </c>
      <c r="BO84" s="1467">
        <f t="shared" si="349"/>
        <v>6261750.0000000037</v>
      </c>
      <c r="BP84" s="1467">
        <f t="shared" si="349"/>
        <v>5218125.0000000037</v>
      </c>
      <c r="BQ84" s="1467">
        <f t="shared" si="349"/>
        <v>4174500.0000000037</v>
      </c>
      <c r="BR84" s="1467">
        <f t="shared" si="349"/>
        <v>3130875.0000000037</v>
      </c>
      <c r="BS84" s="1467">
        <f t="shared" si="349"/>
        <v>2087250.0000000037</v>
      </c>
      <c r="BT84" s="1467">
        <f t="shared" si="349"/>
        <v>1043625.0000000036</v>
      </c>
      <c r="BU84" s="1467">
        <f t="shared" si="349"/>
        <v>3.4924596548080444E-9</v>
      </c>
      <c r="BV84" s="1480"/>
    </row>
    <row r="85" spans="1:74" x14ac:dyDescent="0.2">
      <c r="A85" s="927" t="str">
        <f t="shared" si="304"/>
        <v>B-Syrup (Sucrosic).Straight-Line</v>
      </c>
      <c r="B85" s="1076"/>
      <c r="C85" s="1076" t="str">
        <f t="shared" si="352"/>
        <v>B-Syrup (Sucrosic)</v>
      </c>
      <c r="D85" s="1076" t="str">
        <f>Assumptions!$AH$81</f>
        <v>Straight-Line</v>
      </c>
      <c r="E85" s="1076" t="str">
        <f t="shared" si="350"/>
        <v>Alcohol Storage</v>
      </c>
      <c r="F85" s="1467">
        <f t="shared" si="350"/>
        <v>5000000</v>
      </c>
      <c r="G85" s="1467">
        <f t="shared" si="305"/>
        <v>6187500</v>
      </c>
      <c r="H85" s="1467">
        <f t="shared" si="306"/>
        <v>6806250.0000000009</v>
      </c>
      <c r="I85" s="1467">
        <f t="shared" si="307"/>
        <v>6806250.0000000009</v>
      </c>
      <c r="J85" s="1161">
        <f t="shared" si="353"/>
        <v>3.3333333333333333E-2</v>
      </c>
      <c r="K85" s="1107"/>
      <c r="L85" s="1467">
        <f t="shared" si="308"/>
        <v>226875.00000000003</v>
      </c>
      <c r="M85" s="1467">
        <f t="shared" si="308"/>
        <v>226875.00000000003</v>
      </c>
      <c r="N85" s="1467">
        <f t="shared" si="308"/>
        <v>226875.00000000003</v>
      </c>
      <c r="O85" s="1467">
        <f t="shared" si="308"/>
        <v>226875.00000000003</v>
      </c>
      <c r="P85" s="1467">
        <f t="shared" si="308"/>
        <v>226875.00000000003</v>
      </c>
      <c r="Q85" s="1467">
        <f t="shared" si="308"/>
        <v>226875.00000000003</v>
      </c>
      <c r="R85" s="1467">
        <f t="shared" si="308"/>
        <v>226875.00000000003</v>
      </c>
      <c r="S85" s="1467">
        <f t="shared" si="308"/>
        <v>226875.00000000003</v>
      </c>
      <c r="T85" s="1467">
        <f t="shared" si="308"/>
        <v>226875.00000000003</v>
      </c>
      <c r="U85" s="1467">
        <f t="shared" si="308"/>
        <v>226875.00000000003</v>
      </c>
      <c r="V85" s="1467">
        <f t="shared" si="308"/>
        <v>226875.00000000003</v>
      </c>
      <c r="W85" s="1467">
        <f t="shared" si="308"/>
        <v>226875.00000000003</v>
      </c>
      <c r="X85" s="1467">
        <f t="shared" si="308"/>
        <v>226875.00000000003</v>
      </c>
      <c r="Y85" s="1467">
        <f t="shared" si="308"/>
        <v>226875.00000000003</v>
      </c>
      <c r="Z85" s="1467">
        <f t="shared" si="308"/>
        <v>226875.00000000003</v>
      </c>
      <c r="AA85" s="1467">
        <f t="shared" si="308"/>
        <v>226875.00000000003</v>
      </c>
      <c r="AB85" s="1467">
        <f t="shared" si="351"/>
        <v>226875.00000000003</v>
      </c>
      <c r="AC85" s="1467">
        <f t="shared" si="351"/>
        <v>226875.00000000003</v>
      </c>
      <c r="AD85" s="1467">
        <f t="shared" si="351"/>
        <v>226875.00000000003</v>
      </c>
      <c r="AE85" s="1467">
        <f t="shared" si="351"/>
        <v>226875.00000000003</v>
      </c>
      <c r="AF85" s="1467">
        <f t="shared" si="351"/>
        <v>226875.00000000003</v>
      </c>
      <c r="AG85" s="1467">
        <f t="shared" si="351"/>
        <v>226875.00000000003</v>
      </c>
      <c r="AH85" s="1467">
        <f t="shared" si="351"/>
        <v>226875.00000000003</v>
      </c>
      <c r="AI85" s="1467">
        <f t="shared" si="351"/>
        <v>226875.00000000003</v>
      </c>
      <c r="AJ85" s="1467">
        <f t="shared" si="351"/>
        <v>226875.00000000003</v>
      </c>
      <c r="AK85" s="1467">
        <f t="shared" si="351"/>
        <v>226875.00000000003</v>
      </c>
      <c r="AL85" s="1467">
        <f t="shared" si="351"/>
        <v>226875.00000000003</v>
      </c>
      <c r="AM85" s="1467">
        <f t="shared" si="351"/>
        <v>226875.00000000003</v>
      </c>
      <c r="AN85" s="1467">
        <f t="shared" si="351"/>
        <v>226875.00000000003</v>
      </c>
      <c r="AO85" s="1467">
        <f t="shared" si="351"/>
        <v>226875.00000000003</v>
      </c>
      <c r="AP85" s="1468">
        <f t="shared" si="309"/>
        <v>6806250.0000000009</v>
      </c>
      <c r="AQ85" s="1480"/>
      <c r="AR85" s="1467">
        <f t="shared" si="310"/>
        <v>6579375.0000000009</v>
      </c>
      <c r="AS85" s="1467">
        <f t="shared" si="311"/>
        <v>6352500.0000000009</v>
      </c>
      <c r="AT85" s="1467">
        <f t="shared" si="348"/>
        <v>6125625.0000000009</v>
      </c>
      <c r="AU85" s="1467">
        <f t="shared" si="348"/>
        <v>5898750.0000000009</v>
      </c>
      <c r="AV85" s="1467">
        <f t="shared" si="348"/>
        <v>5671875.0000000009</v>
      </c>
      <c r="AW85" s="1467">
        <f t="shared" si="348"/>
        <v>5445000.0000000009</v>
      </c>
      <c r="AX85" s="1467">
        <f t="shared" si="348"/>
        <v>5218125.0000000009</v>
      </c>
      <c r="AY85" s="1467">
        <f t="shared" si="348"/>
        <v>4991250.0000000009</v>
      </c>
      <c r="AZ85" s="1467">
        <f t="shared" si="348"/>
        <v>4764375.0000000009</v>
      </c>
      <c r="BA85" s="1467">
        <f t="shared" si="348"/>
        <v>4537500.0000000009</v>
      </c>
      <c r="BB85" s="1467">
        <f t="shared" si="348"/>
        <v>4310625.0000000009</v>
      </c>
      <c r="BC85" s="1467">
        <f t="shared" si="348"/>
        <v>4083750.0000000009</v>
      </c>
      <c r="BD85" s="1467">
        <f t="shared" si="348"/>
        <v>3856875.0000000009</v>
      </c>
      <c r="BE85" s="1467">
        <f t="shared" si="348"/>
        <v>3630000.0000000009</v>
      </c>
      <c r="BF85" s="1467">
        <f t="shared" si="348"/>
        <v>3403125.0000000009</v>
      </c>
      <c r="BG85" s="1467">
        <f t="shared" si="348"/>
        <v>3176250.0000000009</v>
      </c>
      <c r="BH85" s="1467">
        <f t="shared" si="348"/>
        <v>2949375.0000000009</v>
      </c>
      <c r="BI85" s="1467">
        <f t="shared" si="348"/>
        <v>2722500.0000000009</v>
      </c>
      <c r="BJ85" s="1467">
        <f t="shared" si="349"/>
        <v>2495625.0000000009</v>
      </c>
      <c r="BK85" s="1467">
        <f t="shared" si="349"/>
        <v>2268750.0000000009</v>
      </c>
      <c r="BL85" s="1467">
        <f t="shared" si="349"/>
        <v>2041875.0000000009</v>
      </c>
      <c r="BM85" s="1467">
        <f t="shared" si="349"/>
        <v>1815000.0000000009</v>
      </c>
      <c r="BN85" s="1467">
        <f t="shared" si="349"/>
        <v>1588125.0000000009</v>
      </c>
      <c r="BO85" s="1467">
        <f t="shared" si="349"/>
        <v>1361250.0000000009</v>
      </c>
      <c r="BP85" s="1467">
        <f t="shared" si="349"/>
        <v>1134375.0000000009</v>
      </c>
      <c r="BQ85" s="1467">
        <f t="shared" si="349"/>
        <v>907500.00000000093</v>
      </c>
      <c r="BR85" s="1467">
        <f t="shared" si="349"/>
        <v>680625.00000000093</v>
      </c>
      <c r="BS85" s="1467">
        <f t="shared" si="349"/>
        <v>453750.00000000093</v>
      </c>
      <c r="BT85" s="1467">
        <f t="shared" si="349"/>
        <v>226875.0000000009</v>
      </c>
      <c r="BU85" s="1467">
        <f t="shared" si="349"/>
        <v>8.7311491370201111E-10</v>
      </c>
      <c r="BV85" s="1480"/>
    </row>
    <row r="86" spans="1:74" x14ac:dyDescent="0.2">
      <c r="A86" s="927" t="str">
        <f t="shared" si="304"/>
        <v>B-Syrup (Sucrosic).Straight-Line</v>
      </c>
      <c r="B86" s="1076"/>
      <c r="C86" s="1076" t="str">
        <f t="shared" si="352"/>
        <v>B-Syrup (Sucrosic)</v>
      </c>
      <c r="D86" s="1076" t="str">
        <f>Assumptions!$AH$81</f>
        <v>Straight-Line</v>
      </c>
      <c r="E86" s="1076" t="str">
        <f t="shared" si="350"/>
        <v>Dunder and Fertiliser Plant</v>
      </c>
      <c r="F86" s="1467">
        <f t="shared" si="350"/>
        <v>17000000</v>
      </c>
      <c r="G86" s="1467">
        <f t="shared" si="305"/>
        <v>21037500</v>
      </c>
      <c r="H86" s="1467">
        <f t="shared" si="306"/>
        <v>23141250.000000004</v>
      </c>
      <c r="I86" s="1467">
        <f t="shared" si="307"/>
        <v>23141250.000000004</v>
      </c>
      <c r="J86" s="1161">
        <f t="shared" si="353"/>
        <v>3.3333333333333333E-2</v>
      </c>
      <c r="K86" s="1107"/>
      <c r="L86" s="1467">
        <f t="shared" si="308"/>
        <v>771375.00000000012</v>
      </c>
      <c r="M86" s="1467">
        <f t="shared" si="308"/>
        <v>771375.00000000012</v>
      </c>
      <c r="N86" s="1467">
        <f t="shared" si="308"/>
        <v>771375.00000000012</v>
      </c>
      <c r="O86" s="1467">
        <f t="shared" si="308"/>
        <v>771375.00000000012</v>
      </c>
      <c r="P86" s="1467">
        <f t="shared" si="308"/>
        <v>771375.00000000012</v>
      </c>
      <c r="Q86" s="1467">
        <f t="shared" si="308"/>
        <v>771375.00000000012</v>
      </c>
      <c r="R86" s="1467">
        <f t="shared" si="308"/>
        <v>771375.00000000012</v>
      </c>
      <c r="S86" s="1467">
        <f t="shared" si="308"/>
        <v>771375.00000000012</v>
      </c>
      <c r="T86" s="1467">
        <f t="shared" si="308"/>
        <v>771375.00000000012</v>
      </c>
      <c r="U86" s="1467">
        <f t="shared" si="308"/>
        <v>771375.00000000012</v>
      </c>
      <c r="V86" s="1467">
        <f t="shared" si="308"/>
        <v>771375.00000000012</v>
      </c>
      <c r="W86" s="1467">
        <f t="shared" si="308"/>
        <v>771375.00000000012</v>
      </c>
      <c r="X86" s="1467">
        <f t="shared" si="308"/>
        <v>771375.00000000012</v>
      </c>
      <c r="Y86" s="1467">
        <f t="shared" si="308"/>
        <v>771375.00000000012</v>
      </c>
      <c r="Z86" s="1467">
        <f t="shared" si="308"/>
        <v>771375.00000000012</v>
      </c>
      <c r="AA86" s="1467">
        <f t="shared" si="308"/>
        <v>771375.00000000012</v>
      </c>
      <c r="AB86" s="1467">
        <f t="shared" si="351"/>
        <v>771375.00000000012</v>
      </c>
      <c r="AC86" s="1467">
        <f t="shared" si="351"/>
        <v>771375.00000000012</v>
      </c>
      <c r="AD86" s="1467">
        <f t="shared" si="351"/>
        <v>771375.00000000012</v>
      </c>
      <c r="AE86" s="1467">
        <f t="shared" si="351"/>
        <v>771375.00000000012</v>
      </c>
      <c r="AF86" s="1467">
        <f t="shared" si="351"/>
        <v>771375.00000000012</v>
      </c>
      <c r="AG86" s="1467">
        <f t="shared" si="351"/>
        <v>771375.00000000012</v>
      </c>
      <c r="AH86" s="1467">
        <f t="shared" si="351"/>
        <v>771375.00000000012</v>
      </c>
      <c r="AI86" s="1467">
        <f t="shared" si="351"/>
        <v>771375.00000000012</v>
      </c>
      <c r="AJ86" s="1467">
        <f t="shared" si="351"/>
        <v>771375.00000000012</v>
      </c>
      <c r="AK86" s="1467">
        <f t="shared" si="351"/>
        <v>771375.00000000012</v>
      </c>
      <c r="AL86" s="1467">
        <f t="shared" si="351"/>
        <v>771375.00000000012</v>
      </c>
      <c r="AM86" s="1467">
        <f t="shared" si="351"/>
        <v>771375.00000000012</v>
      </c>
      <c r="AN86" s="1467">
        <f t="shared" si="351"/>
        <v>771375.00000000012</v>
      </c>
      <c r="AO86" s="1467">
        <f t="shared" si="351"/>
        <v>771375.00000000012</v>
      </c>
      <c r="AP86" s="1468">
        <f t="shared" si="309"/>
        <v>23141250.000000004</v>
      </c>
      <c r="AQ86" s="1480"/>
      <c r="AR86" s="1467">
        <f t="shared" si="310"/>
        <v>22369875.000000004</v>
      </c>
      <c r="AS86" s="1467">
        <f t="shared" si="311"/>
        <v>21598500.000000004</v>
      </c>
      <c r="AT86" s="1467">
        <f t="shared" si="348"/>
        <v>20827125.000000004</v>
      </c>
      <c r="AU86" s="1467">
        <f t="shared" si="348"/>
        <v>20055750.000000004</v>
      </c>
      <c r="AV86" s="1467">
        <f t="shared" si="348"/>
        <v>19284375.000000004</v>
      </c>
      <c r="AW86" s="1467">
        <f t="shared" si="348"/>
        <v>18513000.000000004</v>
      </c>
      <c r="AX86" s="1467">
        <f t="shared" si="348"/>
        <v>17741625.000000004</v>
      </c>
      <c r="AY86" s="1467">
        <f t="shared" si="348"/>
        <v>16970250.000000004</v>
      </c>
      <c r="AZ86" s="1467">
        <f t="shared" si="348"/>
        <v>16198875.000000004</v>
      </c>
      <c r="BA86" s="1467">
        <f t="shared" si="348"/>
        <v>15427500.000000004</v>
      </c>
      <c r="BB86" s="1467">
        <f t="shared" si="348"/>
        <v>14656125.000000004</v>
      </c>
      <c r="BC86" s="1467">
        <f t="shared" si="348"/>
        <v>13884750.000000004</v>
      </c>
      <c r="BD86" s="1467">
        <f t="shared" si="348"/>
        <v>13113375.000000004</v>
      </c>
      <c r="BE86" s="1467">
        <f t="shared" si="348"/>
        <v>12342000.000000004</v>
      </c>
      <c r="BF86" s="1467">
        <f t="shared" si="348"/>
        <v>11570625.000000004</v>
      </c>
      <c r="BG86" s="1467">
        <f t="shared" si="348"/>
        <v>10799250.000000004</v>
      </c>
      <c r="BH86" s="1467">
        <f t="shared" si="348"/>
        <v>10027875.000000004</v>
      </c>
      <c r="BI86" s="1467">
        <f t="shared" si="348"/>
        <v>9256500.0000000037</v>
      </c>
      <c r="BJ86" s="1467">
        <f t="shared" si="349"/>
        <v>8485125.0000000037</v>
      </c>
      <c r="BK86" s="1467">
        <f t="shared" si="349"/>
        <v>7713750.0000000037</v>
      </c>
      <c r="BL86" s="1467">
        <f t="shared" si="349"/>
        <v>6942375.0000000037</v>
      </c>
      <c r="BM86" s="1467">
        <f t="shared" si="349"/>
        <v>6171000.0000000037</v>
      </c>
      <c r="BN86" s="1467">
        <f t="shared" si="349"/>
        <v>5399625.0000000037</v>
      </c>
      <c r="BO86" s="1467">
        <f t="shared" si="349"/>
        <v>4628250.0000000037</v>
      </c>
      <c r="BP86" s="1467">
        <f t="shared" si="349"/>
        <v>3856875.0000000037</v>
      </c>
      <c r="BQ86" s="1467">
        <f t="shared" si="349"/>
        <v>3085500.0000000037</v>
      </c>
      <c r="BR86" s="1467">
        <f t="shared" si="349"/>
        <v>2314125.0000000037</v>
      </c>
      <c r="BS86" s="1467">
        <f t="shared" si="349"/>
        <v>1542750.0000000037</v>
      </c>
      <c r="BT86" s="1467">
        <f t="shared" si="349"/>
        <v>771375.00000000361</v>
      </c>
      <c r="BU86" s="1467">
        <f t="shared" si="349"/>
        <v>3.4924596548080444E-9</v>
      </c>
      <c r="BV86" s="1480"/>
    </row>
    <row r="87" spans="1:74" x14ac:dyDescent="0.2">
      <c r="A87" s="927" t="str">
        <f t="shared" si="304"/>
        <v>B-Syrup (Sucrosic).Straight-Line</v>
      </c>
      <c r="B87" s="1076"/>
      <c r="C87" s="1076" t="str">
        <f t="shared" si="352"/>
        <v>B-Syrup (Sucrosic)</v>
      </c>
      <c r="D87" s="1076" t="str">
        <f>Assumptions!$AH$81</f>
        <v>Straight-Line</v>
      </c>
      <c r="E87" s="1076" t="str">
        <f t="shared" si="350"/>
        <v>Biogas Plant</v>
      </c>
      <c r="F87" s="1467">
        <f t="shared" si="350"/>
        <v>11000000</v>
      </c>
      <c r="G87" s="1467">
        <f t="shared" si="305"/>
        <v>13612500</v>
      </c>
      <c r="H87" s="1467">
        <f t="shared" si="306"/>
        <v>14973750.000000002</v>
      </c>
      <c r="I87" s="1467">
        <f t="shared" si="307"/>
        <v>14973750.000000002</v>
      </c>
      <c r="J87" s="1161">
        <f t="shared" si="353"/>
        <v>3.3333333333333333E-2</v>
      </c>
      <c r="K87" s="1107"/>
      <c r="L87" s="1467">
        <f t="shared" si="308"/>
        <v>499125.00000000006</v>
      </c>
      <c r="M87" s="1467">
        <f t="shared" si="308"/>
        <v>499125.00000000006</v>
      </c>
      <c r="N87" s="1467">
        <f t="shared" si="308"/>
        <v>499125.00000000006</v>
      </c>
      <c r="O87" s="1467">
        <f t="shared" si="308"/>
        <v>499125.00000000006</v>
      </c>
      <c r="P87" s="1467">
        <f t="shared" si="308"/>
        <v>499125.00000000006</v>
      </c>
      <c r="Q87" s="1467">
        <f t="shared" si="308"/>
        <v>499125.00000000006</v>
      </c>
      <c r="R87" s="1467">
        <f t="shared" si="308"/>
        <v>499125.00000000006</v>
      </c>
      <c r="S87" s="1467">
        <f t="shared" si="308"/>
        <v>499125.00000000006</v>
      </c>
      <c r="T87" s="1467">
        <f t="shared" si="308"/>
        <v>499125.00000000006</v>
      </c>
      <c r="U87" s="1467">
        <f t="shared" si="308"/>
        <v>499125.00000000006</v>
      </c>
      <c r="V87" s="1467">
        <f t="shared" si="308"/>
        <v>499125.00000000006</v>
      </c>
      <c r="W87" s="1467">
        <f t="shared" si="308"/>
        <v>499125.00000000006</v>
      </c>
      <c r="X87" s="1467">
        <f t="shared" si="308"/>
        <v>499125.00000000006</v>
      </c>
      <c r="Y87" s="1467">
        <f t="shared" si="308"/>
        <v>499125.00000000006</v>
      </c>
      <c r="Z87" s="1467">
        <f t="shared" si="308"/>
        <v>499125.00000000006</v>
      </c>
      <c r="AA87" s="1467">
        <f t="shared" si="308"/>
        <v>499125.00000000006</v>
      </c>
      <c r="AB87" s="1467">
        <f t="shared" si="351"/>
        <v>499125.00000000006</v>
      </c>
      <c r="AC87" s="1467">
        <f t="shared" si="351"/>
        <v>499125.00000000006</v>
      </c>
      <c r="AD87" s="1467">
        <f t="shared" si="351"/>
        <v>499125.00000000006</v>
      </c>
      <c r="AE87" s="1467">
        <f t="shared" si="351"/>
        <v>499125.00000000006</v>
      </c>
      <c r="AF87" s="1467">
        <f t="shared" si="351"/>
        <v>499125.00000000006</v>
      </c>
      <c r="AG87" s="1467">
        <f t="shared" si="351"/>
        <v>499125.00000000006</v>
      </c>
      <c r="AH87" s="1467">
        <f t="shared" si="351"/>
        <v>499125.00000000006</v>
      </c>
      <c r="AI87" s="1467">
        <f t="shared" si="351"/>
        <v>499125.00000000006</v>
      </c>
      <c r="AJ87" s="1467">
        <f t="shared" si="351"/>
        <v>499125.00000000006</v>
      </c>
      <c r="AK87" s="1467">
        <f t="shared" si="351"/>
        <v>499125.00000000006</v>
      </c>
      <c r="AL87" s="1467">
        <f t="shared" si="351"/>
        <v>499125.00000000006</v>
      </c>
      <c r="AM87" s="1467">
        <f t="shared" si="351"/>
        <v>499125.00000000006</v>
      </c>
      <c r="AN87" s="1467">
        <f t="shared" si="351"/>
        <v>499125.00000000006</v>
      </c>
      <c r="AO87" s="1467">
        <f t="shared" si="351"/>
        <v>499125.00000000006</v>
      </c>
      <c r="AP87" s="1468">
        <f t="shared" si="309"/>
        <v>14973750.000000002</v>
      </c>
      <c r="AQ87" s="1480"/>
      <c r="AR87" s="1467">
        <f t="shared" si="310"/>
        <v>14474625.000000002</v>
      </c>
      <c r="AS87" s="1467">
        <f t="shared" si="311"/>
        <v>13975500.000000002</v>
      </c>
      <c r="AT87" s="1467">
        <f t="shared" si="348"/>
        <v>13476375.000000002</v>
      </c>
      <c r="AU87" s="1467">
        <f t="shared" si="348"/>
        <v>12977250.000000002</v>
      </c>
      <c r="AV87" s="1467">
        <f t="shared" si="348"/>
        <v>12478125.000000002</v>
      </c>
      <c r="AW87" s="1467">
        <f t="shared" si="348"/>
        <v>11979000.000000002</v>
      </c>
      <c r="AX87" s="1467">
        <f t="shared" si="348"/>
        <v>11479875.000000002</v>
      </c>
      <c r="AY87" s="1467">
        <f t="shared" si="348"/>
        <v>10980750.000000002</v>
      </c>
      <c r="AZ87" s="1467">
        <f t="shared" si="348"/>
        <v>10481625.000000002</v>
      </c>
      <c r="BA87" s="1467">
        <f t="shared" si="348"/>
        <v>9982500.0000000019</v>
      </c>
      <c r="BB87" s="1467">
        <f t="shared" si="348"/>
        <v>9483375.0000000019</v>
      </c>
      <c r="BC87" s="1467">
        <f t="shared" si="348"/>
        <v>8984250.0000000019</v>
      </c>
      <c r="BD87" s="1467">
        <f t="shared" si="348"/>
        <v>8485125.0000000019</v>
      </c>
      <c r="BE87" s="1467">
        <f t="shared" si="348"/>
        <v>7986000.0000000019</v>
      </c>
      <c r="BF87" s="1467">
        <f t="shared" si="348"/>
        <v>7486875.0000000019</v>
      </c>
      <c r="BG87" s="1467">
        <f t="shared" si="348"/>
        <v>6987750.0000000019</v>
      </c>
      <c r="BH87" s="1467">
        <f t="shared" si="348"/>
        <v>6488625.0000000019</v>
      </c>
      <c r="BI87" s="1467">
        <f t="shared" si="348"/>
        <v>5989500.0000000019</v>
      </c>
      <c r="BJ87" s="1467">
        <f t="shared" si="349"/>
        <v>5490375.0000000019</v>
      </c>
      <c r="BK87" s="1467">
        <f t="shared" si="349"/>
        <v>4991250.0000000019</v>
      </c>
      <c r="BL87" s="1467">
        <f t="shared" si="349"/>
        <v>4492125.0000000019</v>
      </c>
      <c r="BM87" s="1467">
        <f t="shared" si="349"/>
        <v>3993000.0000000019</v>
      </c>
      <c r="BN87" s="1467">
        <f t="shared" si="349"/>
        <v>3493875.0000000019</v>
      </c>
      <c r="BO87" s="1467">
        <f t="shared" si="349"/>
        <v>2994750.0000000019</v>
      </c>
      <c r="BP87" s="1467">
        <f t="shared" si="349"/>
        <v>2495625.0000000019</v>
      </c>
      <c r="BQ87" s="1467">
        <f t="shared" si="349"/>
        <v>1996500.0000000019</v>
      </c>
      <c r="BR87" s="1467">
        <f t="shared" si="349"/>
        <v>1497375.0000000019</v>
      </c>
      <c r="BS87" s="1467">
        <f t="shared" si="349"/>
        <v>998250.00000000186</v>
      </c>
      <c r="BT87" s="1467">
        <f t="shared" si="349"/>
        <v>499125.0000000018</v>
      </c>
      <c r="BU87" s="1467">
        <f t="shared" si="349"/>
        <v>1.7462298274040222E-9</v>
      </c>
      <c r="BV87" s="1480"/>
    </row>
    <row r="88" spans="1:74" x14ac:dyDescent="0.2">
      <c r="A88" s="927" t="str">
        <f t="shared" si="304"/>
        <v>B-Syrup (Sucrosic).Straight-Line</v>
      </c>
      <c r="B88" s="1076"/>
      <c r="C88" s="1076" t="str">
        <f t="shared" si="352"/>
        <v>B-Syrup (Sucrosic)</v>
      </c>
      <c r="D88" s="1076" t="str">
        <f>Assumptions!$AH$81</f>
        <v>Straight-Line</v>
      </c>
      <c r="E88" s="1076" t="str">
        <f t="shared" si="350"/>
        <v>Cogenaration Plant</v>
      </c>
      <c r="F88" s="1467">
        <f t="shared" si="350"/>
        <v>7500000</v>
      </c>
      <c r="G88" s="1467">
        <f t="shared" si="305"/>
        <v>9281250</v>
      </c>
      <c r="H88" s="1467">
        <f t="shared" si="306"/>
        <v>10209375</v>
      </c>
      <c r="I88" s="1467">
        <f t="shared" si="307"/>
        <v>10209375</v>
      </c>
      <c r="J88" s="1161">
        <f t="shared" si="353"/>
        <v>3.3333333333333333E-2</v>
      </c>
      <c r="K88" s="1107"/>
      <c r="L88" s="1467">
        <f t="shared" si="308"/>
        <v>340312.5</v>
      </c>
      <c r="M88" s="1467">
        <f t="shared" si="308"/>
        <v>340312.5</v>
      </c>
      <c r="N88" s="1467">
        <f t="shared" si="308"/>
        <v>340312.5</v>
      </c>
      <c r="O88" s="1467">
        <f t="shared" si="308"/>
        <v>340312.5</v>
      </c>
      <c r="P88" s="1467">
        <f t="shared" si="308"/>
        <v>340312.5</v>
      </c>
      <c r="Q88" s="1467">
        <f t="shared" si="308"/>
        <v>340312.5</v>
      </c>
      <c r="R88" s="1467">
        <f t="shared" si="308"/>
        <v>340312.5</v>
      </c>
      <c r="S88" s="1467">
        <f t="shared" si="308"/>
        <v>340312.5</v>
      </c>
      <c r="T88" s="1467">
        <f t="shared" si="308"/>
        <v>340312.5</v>
      </c>
      <c r="U88" s="1467">
        <f t="shared" si="308"/>
        <v>340312.5</v>
      </c>
      <c r="V88" s="1467">
        <f t="shared" si="308"/>
        <v>340312.5</v>
      </c>
      <c r="W88" s="1467">
        <f t="shared" si="308"/>
        <v>340312.5</v>
      </c>
      <c r="X88" s="1467">
        <f t="shared" si="308"/>
        <v>340312.5</v>
      </c>
      <c r="Y88" s="1467">
        <f t="shared" si="308"/>
        <v>340312.5</v>
      </c>
      <c r="Z88" s="1467">
        <f t="shared" si="308"/>
        <v>340312.5</v>
      </c>
      <c r="AA88" s="1467">
        <f t="shared" si="308"/>
        <v>340312.5</v>
      </c>
      <c r="AB88" s="1467">
        <f t="shared" si="351"/>
        <v>340312.5</v>
      </c>
      <c r="AC88" s="1467">
        <f t="shared" si="351"/>
        <v>340312.5</v>
      </c>
      <c r="AD88" s="1467">
        <f t="shared" si="351"/>
        <v>340312.5</v>
      </c>
      <c r="AE88" s="1467">
        <f t="shared" si="351"/>
        <v>340312.5</v>
      </c>
      <c r="AF88" s="1467">
        <f t="shared" si="351"/>
        <v>340312.5</v>
      </c>
      <c r="AG88" s="1467">
        <f t="shared" si="351"/>
        <v>340312.5</v>
      </c>
      <c r="AH88" s="1467">
        <f t="shared" si="351"/>
        <v>340312.5</v>
      </c>
      <c r="AI88" s="1467">
        <f t="shared" si="351"/>
        <v>340312.5</v>
      </c>
      <c r="AJ88" s="1467">
        <f t="shared" si="351"/>
        <v>340312.5</v>
      </c>
      <c r="AK88" s="1467">
        <f t="shared" si="351"/>
        <v>340312.5</v>
      </c>
      <c r="AL88" s="1467">
        <f t="shared" si="351"/>
        <v>340312.5</v>
      </c>
      <c r="AM88" s="1467">
        <f t="shared" si="351"/>
        <v>340312.5</v>
      </c>
      <c r="AN88" s="1467">
        <f t="shared" si="351"/>
        <v>340312.5</v>
      </c>
      <c r="AO88" s="1467">
        <f t="shared" si="351"/>
        <v>340312.5</v>
      </c>
      <c r="AP88" s="1468">
        <f t="shared" si="309"/>
        <v>10209375</v>
      </c>
      <c r="AQ88" s="1480"/>
      <c r="AR88" s="1467">
        <f t="shared" si="310"/>
        <v>9869062.5</v>
      </c>
      <c r="AS88" s="1467">
        <f t="shared" si="311"/>
        <v>9528750</v>
      </c>
      <c r="AT88" s="1467">
        <f t="shared" si="348"/>
        <v>9188437.5</v>
      </c>
      <c r="AU88" s="1467">
        <f t="shared" si="348"/>
        <v>8848125</v>
      </c>
      <c r="AV88" s="1467">
        <f t="shared" si="348"/>
        <v>8507812.5</v>
      </c>
      <c r="AW88" s="1467">
        <f t="shared" si="348"/>
        <v>8167500</v>
      </c>
      <c r="AX88" s="1467">
        <f t="shared" si="348"/>
        <v>7827187.5</v>
      </c>
      <c r="AY88" s="1467">
        <f t="shared" si="348"/>
        <v>7486875</v>
      </c>
      <c r="AZ88" s="1467">
        <f t="shared" si="348"/>
        <v>7146562.5</v>
      </c>
      <c r="BA88" s="1467">
        <f t="shared" si="348"/>
        <v>6806250</v>
      </c>
      <c r="BB88" s="1467">
        <f t="shared" si="348"/>
        <v>6465937.5</v>
      </c>
      <c r="BC88" s="1467">
        <f t="shared" si="348"/>
        <v>6125625</v>
      </c>
      <c r="BD88" s="1467">
        <f t="shared" si="348"/>
        <v>5785312.5</v>
      </c>
      <c r="BE88" s="1467">
        <f t="shared" si="348"/>
        <v>5445000</v>
      </c>
      <c r="BF88" s="1467">
        <f t="shared" si="348"/>
        <v>5104687.5</v>
      </c>
      <c r="BG88" s="1467">
        <f t="shared" si="348"/>
        <v>4764375</v>
      </c>
      <c r="BH88" s="1467">
        <f t="shared" si="348"/>
        <v>4424062.5</v>
      </c>
      <c r="BI88" s="1467">
        <f t="shared" si="348"/>
        <v>4083750</v>
      </c>
      <c r="BJ88" s="1467">
        <f t="shared" si="349"/>
        <v>3743437.5</v>
      </c>
      <c r="BK88" s="1467">
        <f t="shared" si="349"/>
        <v>3403125</v>
      </c>
      <c r="BL88" s="1467">
        <f t="shared" si="349"/>
        <v>3062812.5</v>
      </c>
      <c r="BM88" s="1467">
        <f t="shared" si="349"/>
        <v>2722500</v>
      </c>
      <c r="BN88" s="1467">
        <f t="shared" si="349"/>
        <v>2382187.5</v>
      </c>
      <c r="BO88" s="1467">
        <f t="shared" si="349"/>
        <v>2041875</v>
      </c>
      <c r="BP88" s="1467">
        <f t="shared" si="349"/>
        <v>1701562.5</v>
      </c>
      <c r="BQ88" s="1467">
        <f t="shared" si="349"/>
        <v>1361250</v>
      </c>
      <c r="BR88" s="1467">
        <f t="shared" si="349"/>
        <v>1020937.5</v>
      </c>
      <c r="BS88" s="1467">
        <f t="shared" si="349"/>
        <v>680625</v>
      </c>
      <c r="BT88" s="1467">
        <f t="shared" si="349"/>
        <v>340312.5</v>
      </c>
      <c r="BU88" s="1467">
        <f t="shared" si="349"/>
        <v>0</v>
      </c>
      <c r="BV88" s="1480"/>
    </row>
    <row r="89" spans="1:74" x14ac:dyDescent="0.2">
      <c r="A89" s="927" t="str">
        <f t="shared" si="304"/>
        <v>B-Syrup (Sucrosic).Straight-Line</v>
      </c>
      <c r="B89" s="1076"/>
      <c r="C89" s="1168" t="str">
        <f t="shared" si="352"/>
        <v>B-Syrup (Sucrosic)</v>
      </c>
      <c r="D89" s="1168" t="str">
        <f>Assumptions!$AH$81</f>
        <v>Straight-Line</v>
      </c>
      <c r="E89" s="1168" t="str">
        <f t="shared" si="350"/>
        <v>Non-Process Buildings</v>
      </c>
      <c r="F89" s="1469">
        <f t="shared" si="350"/>
        <v>5000000</v>
      </c>
      <c r="G89" s="1469">
        <f t="shared" si="305"/>
        <v>6187500</v>
      </c>
      <c r="H89" s="1469">
        <f t="shared" si="306"/>
        <v>6806250.0000000009</v>
      </c>
      <c r="I89" s="1469">
        <f t="shared" si="307"/>
        <v>6806250.0000000009</v>
      </c>
      <c r="J89" s="1473">
        <f t="shared" si="353"/>
        <v>3.3333333333333333E-2</v>
      </c>
      <c r="K89" s="1107"/>
      <c r="L89" s="1467">
        <f t="shared" ref="L89:AA90" si="354">$I89*$J89</f>
        <v>226875.00000000003</v>
      </c>
      <c r="M89" s="1467">
        <f t="shared" si="354"/>
        <v>226875.00000000003</v>
      </c>
      <c r="N89" s="1467">
        <f t="shared" si="354"/>
        <v>226875.00000000003</v>
      </c>
      <c r="O89" s="1467">
        <f t="shared" si="354"/>
        <v>226875.00000000003</v>
      </c>
      <c r="P89" s="1467">
        <f t="shared" si="354"/>
        <v>226875.00000000003</v>
      </c>
      <c r="Q89" s="1467">
        <f t="shared" si="354"/>
        <v>226875.00000000003</v>
      </c>
      <c r="R89" s="1467">
        <f t="shared" si="354"/>
        <v>226875.00000000003</v>
      </c>
      <c r="S89" s="1467">
        <f t="shared" si="354"/>
        <v>226875.00000000003</v>
      </c>
      <c r="T89" s="1467">
        <f t="shared" si="354"/>
        <v>226875.00000000003</v>
      </c>
      <c r="U89" s="1467">
        <f t="shared" si="354"/>
        <v>226875.00000000003</v>
      </c>
      <c r="V89" s="1467">
        <f t="shared" si="354"/>
        <v>226875.00000000003</v>
      </c>
      <c r="W89" s="1467">
        <f t="shared" si="354"/>
        <v>226875.00000000003</v>
      </c>
      <c r="X89" s="1467">
        <f t="shared" si="354"/>
        <v>226875.00000000003</v>
      </c>
      <c r="Y89" s="1467">
        <f t="shared" si="354"/>
        <v>226875.00000000003</v>
      </c>
      <c r="Z89" s="1467">
        <f t="shared" si="354"/>
        <v>226875.00000000003</v>
      </c>
      <c r="AA89" s="1467">
        <f t="shared" si="354"/>
        <v>226875.00000000003</v>
      </c>
      <c r="AB89" s="1467">
        <f t="shared" si="351"/>
        <v>226875.00000000003</v>
      </c>
      <c r="AC89" s="1467">
        <f t="shared" si="351"/>
        <v>226875.00000000003</v>
      </c>
      <c r="AD89" s="1467">
        <f t="shared" si="351"/>
        <v>226875.00000000003</v>
      </c>
      <c r="AE89" s="1467">
        <f t="shared" si="351"/>
        <v>226875.00000000003</v>
      </c>
      <c r="AF89" s="1467">
        <f t="shared" si="351"/>
        <v>226875.00000000003</v>
      </c>
      <c r="AG89" s="1467">
        <f t="shared" si="351"/>
        <v>226875.00000000003</v>
      </c>
      <c r="AH89" s="1467">
        <f t="shared" si="351"/>
        <v>226875.00000000003</v>
      </c>
      <c r="AI89" s="1467">
        <f t="shared" si="351"/>
        <v>226875.00000000003</v>
      </c>
      <c r="AJ89" s="1467">
        <f t="shared" si="351"/>
        <v>226875.00000000003</v>
      </c>
      <c r="AK89" s="1467">
        <f t="shared" si="351"/>
        <v>226875.00000000003</v>
      </c>
      <c r="AL89" s="1467">
        <f t="shared" si="351"/>
        <v>226875.00000000003</v>
      </c>
      <c r="AM89" s="1467">
        <f t="shared" si="351"/>
        <v>226875.00000000003</v>
      </c>
      <c r="AN89" s="1467">
        <f t="shared" si="351"/>
        <v>226875.00000000003</v>
      </c>
      <c r="AO89" s="1467">
        <f t="shared" si="351"/>
        <v>226875.00000000003</v>
      </c>
      <c r="AP89" s="1468">
        <f t="shared" si="309"/>
        <v>6806250.0000000009</v>
      </c>
      <c r="AQ89" s="1480"/>
      <c r="AR89" s="1467">
        <f t="shared" si="310"/>
        <v>6579375.0000000009</v>
      </c>
      <c r="AS89" s="1467">
        <f t="shared" si="311"/>
        <v>6352500.0000000009</v>
      </c>
      <c r="AT89" s="1467">
        <f t="shared" si="348"/>
        <v>6125625.0000000009</v>
      </c>
      <c r="AU89" s="1467">
        <f t="shared" si="348"/>
        <v>5898750.0000000009</v>
      </c>
      <c r="AV89" s="1467">
        <f t="shared" si="348"/>
        <v>5671875.0000000009</v>
      </c>
      <c r="AW89" s="1467">
        <f t="shared" si="348"/>
        <v>5445000.0000000009</v>
      </c>
      <c r="AX89" s="1467">
        <f t="shared" si="348"/>
        <v>5218125.0000000009</v>
      </c>
      <c r="AY89" s="1467">
        <f t="shared" si="348"/>
        <v>4991250.0000000009</v>
      </c>
      <c r="AZ89" s="1467">
        <f t="shared" si="348"/>
        <v>4764375.0000000009</v>
      </c>
      <c r="BA89" s="1467">
        <f t="shared" si="348"/>
        <v>4537500.0000000009</v>
      </c>
      <c r="BB89" s="1467">
        <f t="shared" si="348"/>
        <v>4310625.0000000009</v>
      </c>
      <c r="BC89" s="1467">
        <f t="shared" si="348"/>
        <v>4083750.0000000009</v>
      </c>
      <c r="BD89" s="1467">
        <f t="shared" si="348"/>
        <v>3856875.0000000009</v>
      </c>
      <c r="BE89" s="1467">
        <f t="shared" si="348"/>
        <v>3630000.0000000009</v>
      </c>
      <c r="BF89" s="1467">
        <f t="shared" si="348"/>
        <v>3403125.0000000009</v>
      </c>
      <c r="BG89" s="1467">
        <f t="shared" si="348"/>
        <v>3176250.0000000009</v>
      </c>
      <c r="BH89" s="1467">
        <f t="shared" si="348"/>
        <v>2949375.0000000009</v>
      </c>
      <c r="BI89" s="1467">
        <f t="shared" si="348"/>
        <v>2722500.0000000009</v>
      </c>
      <c r="BJ89" s="1467">
        <f t="shared" si="349"/>
        <v>2495625.0000000009</v>
      </c>
      <c r="BK89" s="1467">
        <f t="shared" si="349"/>
        <v>2268750.0000000009</v>
      </c>
      <c r="BL89" s="1467">
        <f t="shared" si="349"/>
        <v>2041875.0000000009</v>
      </c>
      <c r="BM89" s="1467">
        <f t="shared" si="349"/>
        <v>1815000.0000000009</v>
      </c>
      <c r="BN89" s="1467">
        <f t="shared" si="349"/>
        <v>1588125.0000000009</v>
      </c>
      <c r="BO89" s="1467">
        <f t="shared" si="349"/>
        <v>1361250.0000000009</v>
      </c>
      <c r="BP89" s="1467">
        <f t="shared" si="349"/>
        <v>1134375.0000000009</v>
      </c>
      <c r="BQ89" s="1467">
        <f t="shared" si="349"/>
        <v>907500.00000000093</v>
      </c>
      <c r="BR89" s="1467">
        <f t="shared" si="349"/>
        <v>680625.00000000093</v>
      </c>
      <c r="BS89" s="1467">
        <f t="shared" si="349"/>
        <v>453750.00000000093</v>
      </c>
      <c r="BT89" s="1467">
        <f t="shared" si="349"/>
        <v>226875.0000000009</v>
      </c>
      <c r="BU89" s="1467">
        <f t="shared" si="349"/>
        <v>8.7311491370201111E-10</v>
      </c>
      <c r="BV89" s="1480"/>
    </row>
    <row r="90" spans="1:74" x14ac:dyDescent="0.2">
      <c r="C90" s="1470" t="str">
        <f t="shared" si="352"/>
        <v>B-Syrup (Sucrosic)</v>
      </c>
      <c r="D90" s="1470" t="str">
        <f>Assumptions!$AH$81</f>
        <v>Straight-Line</v>
      </c>
      <c r="E90" s="1470" t="s">
        <v>995</v>
      </c>
      <c r="F90" s="1470"/>
      <c r="G90" s="1471">
        <f>G80</f>
        <v>15000000</v>
      </c>
      <c r="H90" s="1471">
        <f t="shared" ref="H90" si="355">G90*(1+$F$5)</f>
        <v>16500000.000000002</v>
      </c>
      <c r="I90" s="1471">
        <f t="shared" ref="I90" si="356">H90*(1+$F$6)</f>
        <v>16500000.000000002</v>
      </c>
      <c r="J90" s="1475">
        <f t="shared" si="353"/>
        <v>3.3333333333333333E-2</v>
      </c>
      <c r="L90" s="1467">
        <f t="shared" si="354"/>
        <v>550000</v>
      </c>
      <c r="M90" s="1467">
        <f t="shared" si="354"/>
        <v>550000</v>
      </c>
      <c r="N90" s="1467">
        <f t="shared" si="354"/>
        <v>550000</v>
      </c>
      <c r="O90" s="1467">
        <f t="shared" si="354"/>
        <v>550000</v>
      </c>
      <c r="P90" s="1467">
        <f t="shared" si="354"/>
        <v>550000</v>
      </c>
      <c r="Q90" s="1467">
        <f t="shared" si="354"/>
        <v>550000</v>
      </c>
      <c r="R90" s="1467">
        <f t="shared" si="354"/>
        <v>550000</v>
      </c>
      <c r="S90" s="1467">
        <f t="shared" si="354"/>
        <v>550000</v>
      </c>
      <c r="T90" s="1467">
        <f t="shared" si="354"/>
        <v>550000</v>
      </c>
      <c r="U90" s="1467">
        <f t="shared" si="354"/>
        <v>550000</v>
      </c>
      <c r="V90" s="1467">
        <f t="shared" si="354"/>
        <v>550000</v>
      </c>
      <c r="W90" s="1467">
        <f t="shared" si="354"/>
        <v>550000</v>
      </c>
      <c r="X90" s="1467">
        <f t="shared" si="354"/>
        <v>550000</v>
      </c>
      <c r="Y90" s="1467">
        <f t="shared" si="354"/>
        <v>550000</v>
      </c>
      <c r="Z90" s="1467">
        <f t="shared" si="354"/>
        <v>550000</v>
      </c>
      <c r="AA90" s="1467">
        <f t="shared" si="354"/>
        <v>550000</v>
      </c>
      <c r="AB90" s="1467">
        <f t="shared" si="351"/>
        <v>550000</v>
      </c>
      <c r="AC90" s="1467">
        <f t="shared" si="351"/>
        <v>550000</v>
      </c>
      <c r="AD90" s="1467">
        <f t="shared" si="351"/>
        <v>550000</v>
      </c>
      <c r="AE90" s="1467">
        <f t="shared" si="351"/>
        <v>550000</v>
      </c>
      <c r="AF90" s="1467">
        <f t="shared" si="351"/>
        <v>550000</v>
      </c>
      <c r="AG90" s="1467">
        <f t="shared" si="351"/>
        <v>550000</v>
      </c>
      <c r="AH90" s="1467">
        <f t="shared" si="351"/>
        <v>550000</v>
      </c>
      <c r="AI90" s="1467">
        <f t="shared" si="351"/>
        <v>550000</v>
      </c>
      <c r="AJ90" s="1467">
        <f t="shared" si="351"/>
        <v>550000</v>
      </c>
      <c r="AK90" s="1467">
        <f t="shared" si="351"/>
        <v>550000</v>
      </c>
      <c r="AL90" s="1467">
        <f t="shared" si="351"/>
        <v>550000</v>
      </c>
      <c r="AM90" s="1467">
        <f t="shared" si="351"/>
        <v>550000</v>
      </c>
      <c r="AN90" s="1467">
        <f t="shared" si="351"/>
        <v>550000</v>
      </c>
      <c r="AO90" s="1467">
        <f t="shared" si="351"/>
        <v>550000</v>
      </c>
      <c r="AP90" s="1468">
        <f t="shared" ref="AP90" si="357">SUM(L90:AO90)</f>
        <v>16500000</v>
      </c>
      <c r="AQ90" s="1480"/>
      <c r="AR90" s="1467">
        <f t="shared" ref="AR90" si="358">I90-L90</f>
        <v>15950000.000000002</v>
      </c>
      <c r="AS90" s="1467">
        <f t="shared" ref="AS90" si="359">AR90-M90</f>
        <v>15400000.000000002</v>
      </c>
      <c r="AT90" s="1467">
        <f t="shared" ref="AT90" si="360">AS90-N90</f>
        <v>14850000.000000002</v>
      </c>
      <c r="AU90" s="1467">
        <f t="shared" ref="AU90" si="361">AT90-O90</f>
        <v>14300000.000000002</v>
      </c>
      <c r="AV90" s="1467">
        <f t="shared" ref="AV90" si="362">AU90-P90</f>
        <v>13750000.000000002</v>
      </c>
      <c r="AW90" s="1467">
        <f t="shared" ref="AW90" si="363">AV90-Q90</f>
        <v>13200000.000000002</v>
      </c>
      <c r="AX90" s="1467">
        <f t="shared" ref="AX90" si="364">AW90-R90</f>
        <v>12650000.000000002</v>
      </c>
      <c r="AY90" s="1467">
        <f t="shared" ref="AY90" si="365">AX90-S90</f>
        <v>12100000.000000002</v>
      </c>
      <c r="AZ90" s="1467">
        <f t="shared" ref="AZ90" si="366">AY90-T90</f>
        <v>11550000.000000002</v>
      </c>
      <c r="BA90" s="1467">
        <f t="shared" ref="BA90" si="367">AZ90-U90</f>
        <v>11000000.000000002</v>
      </c>
      <c r="BB90" s="1467">
        <f t="shared" ref="BB90" si="368">BA90-V90</f>
        <v>10450000.000000002</v>
      </c>
      <c r="BC90" s="1467">
        <f t="shared" ref="BC90" si="369">BB90-W90</f>
        <v>9900000.0000000019</v>
      </c>
      <c r="BD90" s="1467">
        <f t="shared" ref="BD90" si="370">BC90-X90</f>
        <v>9350000.0000000019</v>
      </c>
      <c r="BE90" s="1467">
        <f t="shared" ref="BE90" si="371">BD90-Y90</f>
        <v>8800000.0000000019</v>
      </c>
      <c r="BF90" s="1467">
        <f t="shared" ref="BF90" si="372">BE90-Z90</f>
        <v>8250000.0000000019</v>
      </c>
      <c r="BG90" s="1467">
        <f t="shared" ref="BG90" si="373">BF90-AA90</f>
        <v>7700000.0000000019</v>
      </c>
      <c r="BH90" s="1467">
        <f t="shared" ref="BH90" si="374">BG90-AB90</f>
        <v>7150000.0000000019</v>
      </c>
      <c r="BI90" s="1467">
        <f t="shared" ref="BI90" si="375">BH90-AC90</f>
        <v>6600000.0000000019</v>
      </c>
      <c r="BJ90" s="1467">
        <f t="shared" ref="BJ90" si="376">BI90-AD90</f>
        <v>6050000.0000000019</v>
      </c>
      <c r="BK90" s="1467">
        <f t="shared" ref="BK90" si="377">BJ90-AE90</f>
        <v>5500000.0000000019</v>
      </c>
      <c r="BL90" s="1467">
        <f t="shared" ref="BL90" si="378">BK90-AF90</f>
        <v>4950000.0000000019</v>
      </c>
      <c r="BM90" s="1467">
        <f t="shared" ref="BM90" si="379">BL90-AG90</f>
        <v>4400000.0000000019</v>
      </c>
      <c r="BN90" s="1467">
        <f t="shared" ref="BN90" si="380">BM90-AH90</f>
        <v>3850000.0000000019</v>
      </c>
      <c r="BO90" s="1467">
        <f t="shared" ref="BO90" si="381">BN90-AI90</f>
        <v>3300000.0000000019</v>
      </c>
      <c r="BP90" s="1467">
        <f t="shared" ref="BP90" si="382">BO90-AJ90</f>
        <v>2750000.0000000019</v>
      </c>
      <c r="BQ90" s="1467">
        <f t="shared" ref="BQ90" si="383">BP90-AK90</f>
        <v>2200000.0000000019</v>
      </c>
      <c r="BR90" s="1467">
        <f t="shared" ref="BR90" si="384">BQ90-AL90</f>
        <v>1650000.0000000019</v>
      </c>
      <c r="BS90" s="1467">
        <f t="shared" ref="BS90" si="385">BR90-AM90</f>
        <v>1100000.0000000019</v>
      </c>
      <c r="BT90" s="1467">
        <f t="shared" ref="BT90" si="386">BS90-AN90</f>
        <v>550000.00000000186</v>
      </c>
      <c r="BU90" s="1467">
        <f t="shared" ref="BU90" si="387">BT90-AO90</f>
        <v>1.862645149230957E-9</v>
      </c>
      <c r="BV90" s="1480"/>
    </row>
    <row r="91" spans="1:74" x14ac:dyDescent="0.2">
      <c r="B91" s="1297" t="str">
        <f>"Total Depreciation "&amp;C72&amp;" ("&amp;B71&amp;") over 30 years"</f>
        <v>Total Depreciation B-Syrup (Sucrosic) (Accelerated) over 30 years</v>
      </c>
      <c r="C91" s="1107"/>
      <c r="D91" s="1107"/>
      <c r="E91" s="1107"/>
      <c r="F91" s="1107"/>
      <c r="G91" s="1107">
        <f t="shared" ref="G91:G92" si="388">F91*(1+$F$4)</f>
        <v>0</v>
      </c>
      <c r="H91" s="1107">
        <f t="shared" ref="H91:H92" si="389">G91*(1+$F$5)</f>
        <v>0</v>
      </c>
      <c r="I91" s="1107">
        <f t="shared" ref="I91" si="390">H91*(1+$F$6)</f>
        <v>0</v>
      </c>
      <c r="J91" s="1472">
        <f>IFERROR(INDEX(Assumptions!$AI$82:$AI$164,MATCH(Depreciation!$D91,Assumptions!$AH$81:$AH$163,0)),0)</f>
        <v>0</v>
      </c>
      <c r="K91" s="1107"/>
      <c r="L91" s="1468">
        <f>SUM(L72:L80)</f>
        <v>29572125.000000004</v>
      </c>
      <c r="M91" s="1468">
        <f t="shared" ref="M91:AO91" si="391">SUM(M72:M80)</f>
        <v>23657700.000000004</v>
      </c>
      <c r="N91" s="1468">
        <f t="shared" si="391"/>
        <v>18926160</v>
      </c>
      <c r="O91" s="1468">
        <f t="shared" si="391"/>
        <v>15140928.000000002</v>
      </c>
      <c r="P91" s="1468">
        <f t="shared" si="391"/>
        <v>12112742.400000002</v>
      </c>
      <c r="Q91" s="1468">
        <f t="shared" si="391"/>
        <v>9690193.9200000018</v>
      </c>
      <c r="R91" s="1468">
        <f t="shared" si="391"/>
        <v>7752155.1359999999</v>
      </c>
      <c r="S91" s="1468">
        <f t="shared" si="391"/>
        <v>6201724.1088000014</v>
      </c>
      <c r="T91" s="1468">
        <f t="shared" si="391"/>
        <v>4961379.2870400008</v>
      </c>
      <c r="U91" s="1468">
        <f t="shared" si="391"/>
        <v>3969103.4296320002</v>
      </c>
      <c r="V91" s="1468">
        <f t="shared" si="391"/>
        <v>3175282.7437055996</v>
      </c>
      <c r="W91" s="1468">
        <f t="shared" si="391"/>
        <v>2540226.1949644792</v>
      </c>
      <c r="X91" s="1468">
        <f t="shared" si="391"/>
        <v>2032180.955971584</v>
      </c>
      <c r="Y91" s="1468">
        <f t="shared" si="391"/>
        <v>1625744.7647772674</v>
      </c>
      <c r="Z91" s="1468">
        <f t="shared" si="391"/>
        <v>1300595.8118218137</v>
      </c>
      <c r="AA91" s="1468">
        <f t="shared" si="391"/>
        <v>1040476.6494574512</v>
      </c>
      <c r="AB91" s="1468">
        <f t="shared" si="391"/>
        <v>832381.31956596149</v>
      </c>
      <c r="AC91" s="1468">
        <f t="shared" si="391"/>
        <v>665905.05565277033</v>
      </c>
      <c r="AD91" s="1468">
        <f t="shared" si="391"/>
        <v>532724.04452221619</v>
      </c>
      <c r="AE91" s="1468">
        <f t="shared" si="391"/>
        <v>426179.23561777244</v>
      </c>
      <c r="AF91" s="1468">
        <f t="shared" si="391"/>
        <v>340943.38849421853</v>
      </c>
      <c r="AG91" s="1468">
        <f t="shared" si="391"/>
        <v>272754.71079537534</v>
      </c>
      <c r="AH91" s="1468">
        <f t="shared" si="391"/>
        <v>218203.7686363004</v>
      </c>
      <c r="AI91" s="1468">
        <f t="shared" si="391"/>
        <v>174563.01490904053</v>
      </c>
      <c r="AJ91" s="1468">
        <f t="shared" si="391"/>
        <v>139650.41192723176</v>
      </c>
      <c r="AK91" s="1468">
        <f t="shared" si="391"/>
        <v>111720.32954178602</v>
      </c>
      <c r="AL91" s="1468">
        <f t="shared" si="391"/>
        <v>89376.263633429262</v>
      </c>
      <c r="AM91" s="1468">
        <f t="shared" si="391"/>
        <v>71501.010906743628</v>
      </c>
      <c r="AN91" s="1468">
        <f t="shared" si="391"/>
        <v>57200.808725396171</v>
      </c>
      <c r="AO91" s="1468">
        <f t="shared" si="391"/>
        <v>45760.646980317309</v>
      </c>
      <c r="AP91" s="1468">
        <f>SUM(AP72:AP80)</f>
        <v>147677582.41207874</v>
      </c>
      <c r="AQ91" s="1480"/>
      <c r="AR91" s="1297"/>
      <c r="AS91" s="1297"/>
      <c r="AT91" s="1297"/>
      <c r="AU91" s="1297"/>
      <c r="AV91" s="1297"/>
      <c r="AW91" s="1297"/>
      <c r="AX91" s="1297"/>
      <c r="AY91" s="1297"/>
      <c r="AZ91" s="1297"/>
      <c r="BA91" s="1297"/>
      <c r="BB91" s="1297"/>
      <c r="BC91" s="1297"/>
      <c r="BD91" s="1297"/>
      <c r="BE91" s="1297"/>
      <c r="BF91" s="1297"/>
      <c r="BG91" s="1297"/>
      <c r="BH91" s="1297"/>
      <c r="BI91" s="1297"/>
      <c r="BJ91" s="1297"/>
      <c r="BK91" s="1297"/>
      <c r="BL91" s="1297"/>
      <c r="BM91" s="1297"/>
      <c r="BN91" s="1297"/>
      <c r="BO91" s="1297"/>
      <c r="BP91" s="1297"/>
      <c r="BQ91" s="1297"/>
      <c r="BR91" s="1297"/>
      <c r="BS91" s="1297"/>
      <c r="BT91" s="1297"/>
      <c r="BU91" s="1297"/>
      <c r="BV91" s="1480"/>
    </row>
    <row r="92" spans="1:74" x14ac:dyDescent="0.2">
      <c r="B92" s="1297" t="str">
        <f>"Total Depreciation "&amp;C72&amp;" ("&amp;B81&amp;") over 30 years"</f>
        <v>Total Depreciation B-Syrup (Sucrosic) (Straight-Line) over 30 years</v>
      </c>
      <c r="C92" s="1107"/>
      <c r="D92" s="1107"/>
      <c r="E92" s="1107"/>
      <c r="F92" s="1107"/>
      <c r="G92" s="1107">
        <f t="shared" si="388"/>
        <v>0</v>
      </c>
      <c r="H92" s="1107">
        <f t="shared" si="389"/>
        <v>0</v>
      </c>
      <c r="I92" s="1468">
        <f>SUM(I82:I90)</f>
        <v>147860625.00000003</v>
      </c>
      <c r="J92" s="1472">
        <f>IFERROR(INDEX(Assumptions!$AI$82:$AI$164,MATCH(Depreciation!$D92,Assumptions!$AH$81:$AH$163,0)),0)</f>
        <v>0</v>
      </c>
      <c r="K92" s="1107"/>
      <c r="L92" s="1468">
        <f>SUM(L82:L90)</f>
        <v>4928687.5000000009</v>
      </c>
      <c r="M92" s="1468">
        <f t="shared" ref="M92:AP92" si="392">SUM(M82:M90)</f>
        <v>4928687.5000000009</v>
      </c>
      <c r="N92" s="1468">
        <f t="shared" si="392"/>
        <v>4928687.5000000009</v>
      </c>
      <c r="O92" s="1468">
        <f t="shared" si="392"/>
        <v>4928687.5000000009</v>
      </c>
      <c r="P92" s="1468">
        <f t="shared" si="392"/>
        <v>4928687.5000000009</v>
      </c>
      <c r="Q92" s="1468">
        <f t="shared" si="392"/>
        <v>4928687.5000000009</v>
      </c>
      <c r="R92" s="1468">
        <f t="shared" si="392"/>
        <v>4928687.5000000009</v>
      </c>
      <c r="S92" s="1468">
        <f t="shared" si="392"/>
        <v>4928687.5000000009</v>
      </c>
      <c r="T92" s="1468">
        <f t="shared" si="392"/>
        <v>4928687.5000000009</v>
      </c>
      <c r="U92" s="1468">
        <f t="shared" si="392"/>
        <v>4928687.5000000009</v>
      </c>
      <c r="V92" s="1468">
        <f t="shared" si="392"/>
        <v>4928687.5000000009</v>
      </c>
      <c r="W92" s="1468">
        <f t="shared" si="392"/>
        <v>4928687.5000000009</v>
      </c>
      <c r="X92" s="1468">
        <f t="shared" si="392"/>
        <v>4928687.5000000009</v>
      </c>
      <c r="Y92" s="1468">
        <f t="shared" si="392"/>
        <v>4928687.5000000009</v>
      </c>
      <c r="Z92" s="1468">
        <f t="shared" si="392"/>
        <v>4928687.5000000009</v>
      </c>
      <c r="AA92" s="1468">
        <f t="shared" si="392"/>
        <v>4928687.5000000009</v>
      </c>
      <c r="AB92" s="1468">
        <f t="shared" si="392"/>
        <v>4928687.5000000009</v>
      </c>
      <c r="AC92" s="1468">
        <f t="shared" si="392"/>
        <v>4928687.5000000009</v>
      </c>
      <c r="AD92" s="1468">
        <f t="shared" si="392"/>
        <v>4928687.5000000009</v>
      </c>
      <c r="AE92" s="1468">
        <f t="shared" si="392"/>
        <v>4928687.5000000009</v>
      </c>
      <c r="AF92" s="1468">
        <f t="shared" si="392"/>
        <v>4928687.5000000009</v>
      </c>
      <c r="AG92" s="1468">
        <f t="shared" si="392"/>
        <v>4928687.5000000009</v>
      </c>
      <c r="AH92" s="1468">
        <f t="shared" si="392"/>
        <v>4928687.5000000009</v>
      </c>
      <c r="AI92" s="1468">
        <f t="shared" si="392"/>
        <v>4928687.5000000009</v>
      </c>
      <c r="AJ92" s="1468">
        <f t="shared" si="392"/>
        <v>4928687.5000000009</v>
      </c>
      <c r="AK92" s="1468">
        <f t="shared" si="392"/>
        <v>4928687.5000000009</v>
      </c>
      <c r="AL92" s="1468">
        <f t="shared" si="392"/>
        <v>4928687.5000000009</v>
      </c>
      <c r="AM92" s="1468">
        <f t="shared" si="392"/>
        <v>4928687.5000000009</v>
      </c>
      <c r="AN92" s="1468">
        <f t="shared" si="392"/>
        <v>4928687.5000000009</v>
      </c>
      <c r="AO92" s="1468">
        <f t="shared" si="392"/>
        <v>4928687.5000000009</v>
      </c>
      <c r="AP92" s="1468">
        <f t="shared" si="392"/>
        <v>147860625</v>
      </c>
      <c r="AQ92" s="1480"/>
      <c r="AR92" s="1297"/>
      <c r="AS92" s="1297"/>
      <c r="AT92" s="1297"/>
      <c r="AU92" s="1297"/>
      <c r="AV92" s="1297"/>
      <c r="AW92" s="1297"/>
      <c r="AX92" s="1297"/>
      <c r="AY92" s="1297"/>
      <c r="AZ92" s="1297"/>
      <c r="BA92" s="1297"/>
      <c r="BB92" s="1297"/>
      <c r="BC92" s="1297"/>
      <c r="BD92" s="1297"/>
      <c r="BE92" s="1297"/>
      <c r="BF92" s="1297"/>
      <c r="BG92" s="1297"/>
      <c r="BH92" s="1297"/>
      <c r="BI92" s="1297"/>
      <c r="BJ92" s="1297"/>
      <c r="BK92" s="1297"/>
      <c r="BL92" s="1297"/>
      <c r="BM92" s="1297"/>
      <c r="BN92" s="1297"/>
      <c r="BO92" s="1297"/>
      <c r="BP92" s="1297"/>
      <c r="BQ92" s="1297"/>
      <c r="BR92" s="1297"/>
      <c r="BS92" s="1297"/>
      <c r="BT92" s="1297"/>
      <c r="BU92" s="1297"/>
      <c r="BV92" s="1480"/>
    </row>
    <row r="93" spans="1:74" x14ac:dyDescent="0.2">
      <c r="I93" s="922"/>
      <c r="L93" s="1476"/>
      <c r="AQ93" s="1480"/>
      <c r="BV93" s="1480"/>
    </row>
    <row r="94" spans="1:74" ht="15" x14ac:dyDescent="0.25">
      <c r="B94" s="1481" t="s">
        <v>700</v>
      </c>
      <c r="C94" s="1482"/>
      <c r="D94" s="1482"/>
      <c r="E94" s="1482"/>
      <c r="F94" s="1482"/>
      <c r="G94" s="1482"/>
      <c r="H94" s="1482"/>
      <c r="I94" s="1482"/>
      <c r="J94" s="1482"/>
      <c r="K94" s="1482"/>
      <c r="L94" s="1482"/>
      <c r="M94" s="1482"/>
      <c r="N94" s="1482"/>
      <c r="O94" s="1482"/>
      <c r="P94" s="1482"/>
      <c r="Q94" s="1482"/>
      <c r="R94" s="1482"/>
      <c r="S94" s="1482"/>
      <c r="T94" s="1482"/>
      <c r="U94" s="1482"/>
      <c r="V94" s="1482"/>
      <c r="W94" s="1482"/>
      <c r="X94" s="1482"/>
      <c r="Y94" s="1482"/>
      <c r="Z94" s="1482"/>
      <c r="AA94" s="1482"/>
      <c r="AB94" s="1482"/>
      <c r="AC94" s="1482"/>
      <c r="AD94" s="1482"/>
      <c r="AE94" s="1482"/>
      <c r="AF94" s="1482"/>
      <c r="AG94" s="1482"/>
      <c r="AH94" s="1482"/>
      <c r="AI94" s="1482"/>
      <c r="AJ94" s="1482"/>
      <c r="AK94" s="1482"/>
      <c r="AL94" s="1482"/>
      <c r="AM94" s="1482"/>
      <c r="AN94" s="1482"/>
      <c r="AO94" s="1482"/>
      <c r="AP94" s="1482"/>
      <c r="AQ94" s="1482"/>
      <c r="AR94" s="1482"/>
      <c r="AS94" s="1482"/>
      <c r="AT94" s="1482"/>
      <c r="AU94" s="1482"/>
      <c r="AV94" s="1482"/>
      <c r="AW94" s="1482"/>
      <c r="AX94" s="1482"/>
      <c r="AY94" s="1482"/>
      <c r="AZ94" s="1482"/>
      <c r="BA94" s="1482"/>
      <c r="BB94" s="1482"/>
      <c r="BC94" s="1482"/>
      <c r="BD94" s="1482"/>
      <c r="BE94" s="1482"/>
      <c r="BF94" s="1482"/>
      <c r="BG94" s="1482"/>
      <c r="BH94" s="1482"/>
      <c r="BI94" s="1482"/>
      <c r="BJ94" s="1482"/>
      <c r="BK94" s="1482"/>
      <c r="BL94" s="1482"/>
      <c r="BM94" s="1482"/>
      <c r="BN94" s="1482"/>
      <c r="BO94" s="1482"/>
      <c r="BP94" s="1482"/>
      <c r="BQ94" s="1482"/>
      <c r="BR94" s="1482"/>
      <c r="BS94" s="1482"/>
      <c r="BT94" s="1482"/>
      <c r="BU94" s="1482"/>
      <c r="BV94" s="1482"/>
    </row>
    <row r="95" spans="1:74" x14ac:dyDescent="0.2">
      <c r="B95" s="1297" t="str">
        <f>Assumptions!$AH$82</f>
        <v>Accelerated</v>
      </c>
      <c r="C95" s="1297"/>
      <c r="D95" s="1297"/>
      <c r="E95" s="1297"/>
      <c r="F95" s="1297"/>
      <c r="G95" s="1297"/>
      <c r="H95" s="1297"/>
      <c r="I95" s="1297"/>
      <c r="J95" s="1297"/>
      <c r="K95" s="1107"/>
      <c r="L95" s="1107"/>
      <c r="M95" s="1107"/>
      <c r="N95" s="1107"/>
      <c r="O95" s="1107"/>
      <c r="P95" s="1107"/>
      <c r="Q95" s="1107"/>
      <c r="R95" s="1107"/>
      <c r="S95" s="1107"/>
      <c r="T95" s="1107"/>
      <c r="U95" s="1107"/>
      <c r="V95" s="1107"/>
      <c r="W95" s="1107"/>
      <c r="X95" s="1107"/>
      <c r="Y95" s="1107"/>
      <c r="Z95" s="1107"/>
      <c r="AA95" s="1107"/>
      <c r="AB95" s="1107"/>
      <c r="AC95" s="1107"/>
      <c r="AD95" s="1107"/>
      <c r="AE95" s="1107"/>
      <c r="AF95" s="1107"/>
      <c r="AG95" s="1107"/>
      <c r="AH95" s="1107"/>
      <c r="AI95" s="1107"/>
      <c r="AJ95" s="1107"/>
      <c r="AK95" s="1107"/>
      <c r="AL95" s="1107"/>
      <c r="AM95" s="1107"/>
      <c r="AN95" s="1107"/>
      <c r="AO95" s="1107"/>
      <c r="AP95" s="1297"/>
      <c r="AQ95" s="1482"/>
      <c r="AR95" s="1297"/>
      <c r="AS95" s="1297"/>
      <c r="AT95" s="1297"/>
      <c r="AU95" s="1297"/>
      <c r="AV95" s="1297"/>
      <c r="AW95" s="1297"/>
      <c r="AX95" s="1297"/>
      <c r="AY95" s="1297"/>
      <c r="AZ95" s="1297"/>
      <c r="BA95" s="1297"/>
      <c r="BB95" s="1297"/>
      <c r="BC95" s="1297"/>
      <c r="BD95" s="1297"/>
      <c r="BE95" s="1297"/>
      <c r="BF95" s="1297"/>
      <c r="BG95" s="1297"/>
      <c r="BH95" s="1297"/>
      <c r="BI95" s="1297"/>
      <c r="BJ95" s="1297"/>
      <c r="BK95" s="1297"/>
      <c r="BL95" s="1297"/>
      <c r="BM95" s="1297"/>
      <c r="BN95" s="1297"/>
      <c r="BO95" s="1297"/>
      <c r="BP95" s="1297"/>
      <c r="BQ95" s="1297"/>
      <c r="BR95" s="1297"/>
      <c r="BS95" s="1297"/>
      <c r="BT95" s="1297"/>
      <c r="BU95" s="1297"/>
      <c r="BV95" s="1482"/>
    </row>
    <row r="96" spans="1:74" x14ac:dyDescent="0.2">
      <c r="A96" s="927" t="str">
        <f>C96&amp;"."&amp;D96</f>
        <v>Sorghum (Starch).Accelerated</v>
      </c>
      <c r="B96" s="1076"/>
      <c r="C96" s="1076" t="str">
        <f>B94</f>
        <v>Sorghum (Starch)</v>
      </c>
      <c r="D96" s="1076" t="str">
        <f>Assumptions!$AH$82</f>
        <v>Accelerated</v>
      </c>
      <c r="E96" s="1076" t="str">
        <f>'Sorgum (Starch)'!H250</f>
        <v>Stockpile</v>
      </c>
      <c r="F96" s="1467">
        <f>SUM('Sorgum (Starch)'!J250:K250)*1000000</f>
        <v>10000000</v>
      </c>
      <c r="G96" s="1467">
        <f>F96*(1+$F$4)</f>
        <v>12375000</v>
      </c>
      <c r="H96" s="1467">
        <f>G96*(1+$F$5)</f>
        <v>13612500.000000002</v>
      </c>
      <c r="I96" s="1467">
        <f>H96*(1+$F$6)</f>
        <v>13612500.000000002</v>
      </c>
      <c r="J96" s="1076">
        <f>Assumptions!$N$55</f>
        <v>0.2</v>
      </c>
      <c r="K96" s="1107"/>
      <c r="L96" s="1467">
        <f>$I96*$J96</f>
        <v>2722500.0000000005</v>
      </c>
      <c r="M96" s="1467">
        <f>($I96-SUM($L96:L96))*$J96</f>
        <v>2178000.0000000005</v>
      </c>
      <c r="N96" s="1467">
        <f>($I96-SUM($L96:M96))*$J96</f>
        <v>1742400</v>
      </c>
      <c r="O96" s="1467">
        <f>($I96-SUM($L96:N96))*$J96</f>
        <v>1393920.0000000002</v>
      </c>
      <c r="P96" s="1467">
        <f>($I96-SUM($L96:O96))*$J96</f>
        <v>1115136.0000000002</v>
      </c>
      <c r="Q96" s="1467">
        <f>($I96-SUM($L96:P96))*$J96</f>
        <v>892108.80000000005</v>
      </c>
      <c r="R96" s="1467">
        <f>($I96-SUM($L96:Q96))*$J96</f>
        <v>713687.03999999992</v>
      </c>
      <c r="S96" s="1467">
        <f>($I96-SUM($L96:R96))*$J96</f>
        <v>570949.6320000001</v>
      </c>
      <c r="T96" s="1467">
        <f>($I96-SUM($L96:S96))*$J96</f>
        <v>456759.70560000022</v>
      </c>
      <c r="U96" s="1467">
        <f>($I96-SUM($L96:T96))*$J96</f>
        <v>365407.76448000001</v>
      </c>
      <c r="V96" s="1467">
        <f>($I96-SUM($L96:U96))*$J96</f>
        <v>292326.21158399992</v>
      </c>
      <c r="W96" s="1467">
        <f>($I96-SUM($L96:V96))*$J96</f>
        <v>233860.96926719995</v>
      </c>
      <c r="X96" s="1467">
        <f>($I96-SUM($L96:W96))*$J96</f>
        <v>187088.77541375981</v>
      </c>
      <c r="Y96" s="1467">
        <f>($I96-SUM($L96:X96))*$J96</f>
        <v>149671.02033100798</v>
      </c>
      <c r="Z96" s="1467">
        <f>($I96-SUM($L96:Y96))*$J96</f>
        <v>119736.81626480632</v>
      </c>
      <c r="AA96" s="1467">
        <f>($I96-SUM($L96:Z96))*$J96</f>
        <v>95789.453011845064</v>
      </c>
      <c r="AB96" s="1467">
        <f>($I96-SUM($L96:AA96))*$J96</f>
        <v>76631.562409476188</v>
      </c>
      <c r="AC96" s="1467">
        <f>($I96-SUM($L96:AB96))*$J96</f>
        <v>61305.249927581106</v>
      </c>
      <c r="AD96" s="1467">
        <f>($I96-SUM($L96:AC96))*$J96</f>
        <v>49044.199942065032</v>
      </c>
      <c r="AE96" s="1467">
        <f>($I96-SUM($L96:AD96))*$J96</f>
        <v>39235.359953651954</v>
      </c>
      <c r="AF96" s="1467">
        <f>($I96-SUM($L96:AE96))*$J96</f>
        <v>31388.28796292171</v>
      </c>
      <c r="AG96" s="1467">
        <f>($I96-SUM($L96:AF96))*$J96</f>
        <v>25110.630370337516</v>
      </c>
      <c r="AH96" s="1467">
        <f>($I96-SUM($L96:AG96))*$J96</f>
        <v>20088.504296270014</v>
      </c>
      <c r="AI96" s="1467">
        <f>($I96-SUM($L96:AH96))*$J96</f>
        <v>16070.80343701616</v>
      </c>
      <c r="AJ96" s="1467">
        <f>($I96-SUM($L96:AI96))*$J96</f>
        <v>12856.64274961278</v>
      </c>
      <c r="AK96" s="1467">
        <f>($I96-SUM($L96:AJ96))*$J96</f>
        <v>10285.314199690149</v>
      </c>
      <c r="AL96" s="1467">
        <f>($I96-SUM($L96:AK96))*$J96</f>
        <v>8228.2513597521938</v>
      </c>
      <c r="AM96" s="1467">
        <f>($I96-SUM($L96:AL96))*$J96</f>
        <v>6582.6010878019042</v>
      </c>
      <c r="AN96" s="1467">
        <f>($I96-SUM($L96:AM96))*$J96</f>
        <v>5266.0808702416725</v>
      </c>
      <c r="AO96" s="1467">
        <f>($I96-SUM($L96:AN96))*$J96</f>
        <v>4212.8646961934865</v>
      </c>
      <c r="AP96" s="1468">
        <f>SUM(L96:AO96)</f>
        <v>13595648.541215228</v>
      </c>
      <c r="AQ96" s="1482"/>
      <c r="AR96" s="1467">
        <f>I96-L96</f>
        <v>10890000.000000002</v>
      </c>
      <c r="AS96" s="1467">
        <f>AR96-M96</f>
        <v>8712000.0000000019</v>
      </c>
      <c r="AT96" s="1467">
        <f t="shared" ref="AT96:AT121" si="393">AS96-N96</f>
        <v>6969600.0000000019</v>
      </c>
      <c r="AU96" s="1467">
        <f t="shared" ref="AU96:AU121" si="394">AT96-O96</f>
        <v>5575680.0000000019</v>
      </c>
      <c r="AV96" s="1467">
        <f t="shared" ref="AV96:AV121" si="395">AU96-P96</f>
        <v>4460544.0000000019</v>
      </c>
      <c r="AW96" s="1467">
        <f t="shared" ref="AW96:AW121" si="396">AV96-Q96</f>
        <v>3568435.200000002</v>
      </c>
      <c r="AX96" s="1467">
        <f t="shared" ref="AX96:AX121" si="397">AW96-R96</f>
        <v>2854748.160000002</v>
      </c>
      <c r="AY96" s="1467">
        <f t="shared" ref="AY96:AY121" si="398">AX96-S96</f>
        <v>2283798.5280000018</v>
      </c>
      <c r="AZ96" s="1467">
        <f t="shared" ref="AZ96:AZ121" si="399">AY96-T96</f>
        <v>1827038.8224000016</v>
      </c>
      <c r="BA96" s="1467">
        <f t="shared" ref="BA96:BA121" si="400">AZ96-U96</f>
        <v>1461631.0579200014</v>
      </c>
      <c r="BB96" s="1467">
        <f t="shared" ref="BB96:BB121" si="401">BA96-V96</f>
        <v>1169304.8463360015</v>
      </c>
      <c r="BC96" s="1467">
        <f t="shared" ref="BC96:BC121" si="402">BB96-W96</f>
        <v>935443.87706880155</v>
      </c>
      <c r="BD96" s="1467">
        <f t="shared" ref="BD96:BD121" si="403">BC96-X96</f>
        <v>748355.1016550418</v>
      </c>
      <c r="BE96" s="1467">
        <f t="shared" ref="BE96:BE121" si="404">BD96-Y96</f>
        <v>598684.08132403379</v>
      </c>
      <c r="BF96" s="1467">
        <f t="shared" ref="BF96:BF121" si="405">BE96-Z96</f>
        <v>478947.26505922747</v>
      </c>
      <c r="BG96" s="1467">
        <f t="shared" ref="BG96:BG121" si="406">BF96-AA96</f>
        <v>383157.81204738241</v>
      </c>
      <c r="BH96" s="1467">
        <f t="shared" ref="BH96:BH121" si="407">BG96-AB96</f>
        <v>306526.24963790621</v>
      </c>
      <c r="BI96" s="1467">
        <f t="shared" ref="BI96:BI121" si="408">BH96-AC96</f>
        <v>245220.99971032509</v>
      </c>
      <c r="BJ96" s="1467">
        <f t="shared" ref="BJ96:BJ121" si="409">BI96-AD96</f>
        <v>196176.79976826007</v>
      </c>
      <c r="BK96" s="1467">
        <f t="shared" ref="BK96:BK121" si="410">BJ96-AE96</f>
        <v>156941.43981460811</v>
      </c>
      <c r="BL96" s="1467">
        <f t="shared" ref="BL96:BL121" si="411">BK96-AF96</f>
        <v>125553.1518516864</v>
      </c>
      <c r="BM96" s="1467">
        <f t="shared" ref="BM96:BM121" si="412">BL96-AG96</f>
        <v>100442.52148134889</v>
      </c>
      <c r="BN96" s="1467">
        <f t="shared" ref="BN96:BN121" si="413">BM96-AH96</f>
        <v>80354.017185078876</v>
      </c>
      <c r="BO96" s="1467">
        <f t="shared" ref="BO96:BO121" si="414">BN96-AI96</f>
        <v>64283.213748062713</v>
      </c>
      <c r="BP96" s="1467">
        <f t="shared" ref="BP96:BP121" si="415">BO96-AJ96</f>
        <v>51426.570998449934</v>
      </c>
      <c r="BQ96" s="1467">
        <f t="shared" ref="BQ96:BQ121" si="416">BP96-AK96</f>
        <v>41141.256798759787</v>
      </c>
      <c r="BR96" s="1467">
        <f t="shared" ref="BR96:BR121" si="417">BQ96-AL96</f>
        <v>32913.005439007597</v>
      </c>
      <c r="BS96" s="1467">
        <f t="shared" ref="BS96:BS121" si="418">BR96-AM96</f>
        <v>26330.404351205692</v>
      </c>
      <c r="BT96" s="1467">
        <f t="shared" ref="BT96:BT121" si="419">BS96-AN96</f>
        <v>21064.32348096402</v>
      </c>
      <c r="BU96" s="1467">
        <f t="shared" ref="BU96:BU121" si="420">BT96-AO96</f>
        <v>16851.458784770533</v>
      </c>
      <c r="BV96" s="1482"/>
    </row>
    <row r="97" spans="1:74" x14ac:dyDescent="0.2">
      <c r="A97" s="927" t="str">
        <f t="shared" ref="A97:A121" si="421">C97&amp;"."&amp;D97</f>
        <v>Sorghum (Starch).Accelerated</v>
      </c>
      <c r="B97" s="1076"/>
      <c r="C97" s="1076" t="str">
        <f>C96</f>
        <v>Sorghum (Starch)</v>
      </c>
      <c r="D97" s="1076" t="str">
        <f>Assumptions!$AH$82</f>
        <v>Accelerated</v>
      </c>
      <c r="E97" s="1076" t="str">
        <f>'Sorgum (Starch)'!H251</f>
        <v>Dry Mill</v>
      </c>
      <c r="F97" s="1467">
        <f>SUM('Sorgum (Starch)'!J251:K251)*1000000</f>
        <v>10000000</v>
      </c>
      <c r="G97" s="1467">
        <f t="shared" ref="G97:G121" si="422">F97*(1+$F$4)</f>
        <v>12375000</v>
      </c>
      <c r="H97" s="1467">
        <f t="shared" ref="H97:H121" si="423">G97*(1+$F$5)</f>
        <v>13612500.000000002</v>
      </c>
      <c r="I97" s="1467">
        <f t="shared" ref="I97:I121" si="424">H97*(1+$F$6)</f>
        <v>13612500.000000002</v>
      </c>
      <c r="J97" s="1076">
        <f>J96</f>
        <v>0.2</v>
      </c>
      <c r="K97" s="1107"/>
      <c r="L97" s="1467">
        <f t="shared" ref="L97:AA116" si="425">$I97*$J97</f>
        <v>2722500.0000000005</v>
      </c>
      <c r="M97" s="1467">
        <f>($I97-SUM($L97:L97))*$J97</f>
        <v>2178000.0000000005</v>
      </c>
      <c r="N97" s="1467">
        <f>($I97-SUM($L97:M97))*$J97</f>
        <v>1742400</v>
      </c>
      <c r="O97" s="1467">
        <f>($I97-SUM($L97:N97))*$J97</f>
        <v>1393920.0000000002</v>
      </c>
      <c r="P97" s="1467">
        <f>($I97-SUM($L97:O97))*$J97</f>
        <v>1115136.0000000002</v>
      </c>
      <c r="Q97" s="1467">
        <f>($I97-SUM($L97:P97))*$J97</f>
        <v>892108.80000000005</v>
      </c>
      <c r="R97" s="1467">
        <f>($I97-SUM($L97:Q97))*$J97</f>
        <v>713687.03999999992</v>
      </c>
      <c r="S97" s="1467">
        <f>($I97-SUM($L97:R97))*$J97</f>
        <v>570949.6320000001</v>
      </c>
      <c r="T97" s="1467">
        <f>($I97-SUM($L97:S97))*$J97</f>
        <v>456759.70560000022</v>
      </c>
      <c r="U97" s="1467">
        <f>($I97-SUM($L97:T97))*$J97</f>
        <v>365407.76448000001</v>
      </c>
      <c r="V97" s="1467">
        <f>($I97-SUM($L97:U97))*$J97</f>
        <v>292326.21158399992</v>
      </c>
      <c r="W97" s="1467">
        <f>($I97-SUM($L97:V97))*$J97</f>
        <v>233860.96926719995</v>
      </c>
      <c r="X97" s="1467">
        <f>($I97-SUM($L97:W97))*$J97</f>
        <v>187088.77541375981</v>
      </c>
      <c r="Y97" s="1467">
        <f>($I97-SUM($L97:X97))*$J97</f>
        <v>149671.02033100798</v>
      </c>
      <c r="Z97" s="1467">
        <f>($I97-SUM($L97:Y97))*$J97</f>
        <v>119736.81626480632</v>
      </c>
      <c r="AA97" s="1467">
        <f>($I97-SUM($L97:Z97))*$J97</f>
        <v>95789.453011845064</v>
      </c>
      <c r="AB97" s="1467">
        <f>($I97-SUM($L97:AA97))*$J97</f>
        <v>76631.562409476188</v>
      </c>
      <c r="AC97" s="1467">
        <f>($I97-SUM($L97:AB97))*$J97</f>
        <v>61305.249927581106</v>
      </c>
      <c r="AD97" s="1467">
        <f>($I97-SUM($L97:AC97))*$J97</f>
        <v>49044.199942065032</v>
      </c>
      <c r="AE97" s="1467">
        <f>($I97-SUM($L97:AD97))*$J97</f>
        <v>39235.359953651954</v>
      </c>
      <c r="AF97" s="1467">
        <f>($I97-SUM($L97:AE97))*$J97</f>
        <v>31388.28796292171</v>
      </c>
      <c r="AG97" s="1467">
        <f>($I97-SUM($L97:AF97))*$J97</f>
        <v>25110.630370337516</v>
      </c>
      <c r="AH97" s="1467">
        <f>($I97-SUM($L97:AG97))*$J97</f>
        <v>20088.504296270014</v>
      </c>
      <c r="AI97" s="1467">
        <f>($I97-SUM($L97:AH97))*$J97</f>
        <v>16070.80343701616</v>
      </c>
      <c r="AJ97" s="1467">
        <f>($I97-SUM($L97:AI97))*$J97</f>
        <v>12856.64274961278</v>
      </c>
      <c r="AK97" s="1467">
        <f>($I97-SUM($L97:AJ97))*$J97</f>
        <v>10285.314199690149</v>
      </c>
      <c r="AL97" s="1467">
        <f>($I97-SUM($L97:AK97))*$J97</f>
        <v>8228.2513597521938</v>
      </c>
      <c r="AM97" s="1467">
        <f>($I97-SUM($L97:AL97))*$J97</f>
        <v>6582.6010878019042</v>
      </c>
      <c r="AN97" s="1467">
        <f>($I97-SUM($L97:AM97))*$J97</f>
        <v>5266.0808702416725</v>
      </c>
      <c r="AO97" s="1467">
        <f>($I97-SUM($L97:AN97))*$J97</f>
        <v>4212.8646961934865</v>
      </c>
      <c r="AP97" s="1468">
        <f t="shared" ref="AP97:AP115" si="426">SUM(L97:AO97)</f>
        <v>13595648.541215228</v>
      </c>
      <c r="AQ97" s="1482"/>
      <c r="AR97" s="1467">
        <f t="shared" ref="AR97:AR121" si="427">I97-L97</f>
        <v>10890000.000000002</v>
      </c>
      <c r="AS97" s="1467">
        <f t="shared" ref="AS97:AS121" si="428">AR97-M97</f>
        <v>8712000.0000000019</v>
      </c>
      <c r="AT97" s="1467">
        <f t="shared" si="393"/>
        <v>6969600.0000000019</v>
      </c>
      <c r="AU97" s="1467">
        <f t="shared" si="394"/>
        <v>5575680.0000000019</v>
      </c>
      <c r="AV97" s="1467">
        <f t="shared" si="395"/>
        <v>4460544.0000000019</v>
      </c>
      <c r="AW97" s="1467">
        <f t="shared" si="396"/>
        <v>3568435.200000002</v>
      </c>
      <c r="AX97" s="1467">
        <f t="shared" si="397"/>
        <v>2854748.160000002</v>
      </c>
      <c r="AY97" s="1467">
        <f t="shared" si="398"/>
        <v>2283798.5280000018</v>
      </c>
      <c r="AZ97" s="1467">
        <f t="shared" si="399"/>
        <v>1827038.8224000016</v>
      </c>
      <c r="BA97" s="1467">
        <f t="shared" si="400"/>
        <v>1461631.0579200014</v>
      </c>
      <c r="BB97" s="1467">
        <f t="shared" si="401"/>
        <v>1169304.8463360015</v>
      </c>
      <c r="BC97" s="1467">
        <f t="shared" si="402"/>
        <v>935443.87706880155</v>
      </c>
      <c r="BD97" s="1467">
        <f t="shared" si="403"/>
        <v>748355.1016550418</v>
      </c>
      <c r="BE97" s="1467">
        <f t="shared" si="404"/>
        <v>598684.08132403379</v>
      </c>
      <c r="BF97" s="1467">
        <f t="shared" si="405"/>
        <v>478947.26505922747</v>
      </c>
      <c r="BG97" s="1467">
        <f t="shared" si="406"/>
        <v>383157.81204738241</v>
      </c>
      <c r="BH97" s="1467">
        <f t="shared" si="407"/>
        <v>306526.24963790621</v>
      </c>
      <c r="BI97" s="1467">
        <f t="shared" si="408"/>
        <v>245220.99971032509</v>
      </c>
      <c r="BJ97" s="1467">
        <f t="shared" si="409"/>
        <v>196176.79976826007</v>
      </c>
      <c r="BK97" s="1467">
        <f t="shared" si="410"/>
        <v>156941.43981460811</v>
      </c>
      <c r="BL97" s="1467">
        <f t="shared" si="411"/>
        <v>125553.1518516864</v>
      </c>
      <c r="BM97" s="1467">
        <f t="shared" si="412"/>
        <v>100442.52148134889</v>
      </c>
      <c r="BN97" s="1467">
        <f t="shared" si="413"/>
        <v>80354.017185078876</v>
      </c>
      <c r="BO97" s="1467">
        <f t="shared" si="414"/>
        <v>64283.213748062713</v>
      </c>
      <c r="BP97" s="1467">
        <f t="shared" si="415"/>
        <v>51426.570998449934</v>
      </c>
      <c r="BQ97" s="1467">
        <f t="shared" si="416"/>
        <v>41141.256798759787</v>
      </c>
      <c r="BR97" s="1467">
        <f t="shared" si="417"/>
        <v>32913.005439007597</v>
      </c>
      <c r="BS97" s="1467">
        <f t="shared" si="418"/>
        <v>26330.404351205692</v>
      </c>
      <c r="BT97" s="1467">
        <f t="shared" si="419"/>
        <v>21064.32348096402</v>
      </c>
      <c r="BU97" s="1467">
        <f t="shared" si="420"/>
        <v>16851.458784770533</v>
      </c>
      <c r="BV97" s="1482"/>
    </row>
    <row r="98" spans="1:74" x14ac:dyDescent="0.2">
      <c r="A98" s="927" t="str">
        <f t="shared" si="421"/>
        <v>Sorghum (Starch).Accelerated</v>
      </c>
      <c r="B98" s="1076"/>
      <c r="C98" s="1076" t="str">
        <f t="shared" ref="C98:C108" si="429">C97</f>
        <v>Sorghum (Starch)</v>
      </c>
      <c r="D98" s="1076" t="str">
        <f>Assumptions!$AH$82</f>
        <v>Accelerated</v>
      </c>
      <c r="E98" s="1076" t="str">
        <f>'Sorgum (Starch)'!H252</f>
        <v>Wet Mill and gluten handling</v>
      </c>
      <c r="F98" s="1467">
        <f>SUM('Sorgum (Starch)'!J252:K252)*1000000</f>
        <v>0</v>
      </c>
      <c r="G98" s="1467">
        <f t="shared" si="422"/>
        <v>0</v>
      </c>
      <c r="H98" s="1467">
        <f t="shared" si="423"/>
        <v>0</v>
      </c>
      <c r="I98" s="1467">
        <f t="shared" si="424"/>
        <v>0</v>
      </c>
      <c r="J98" s="1076">
        <f t="shared" ref="J98:J108" si="430">J97</f>
        <v>0.2</v>
      </c>
      <c r="K98" s="1107"/>
      <c r="L98" s="1467">
        <f t="shared" si="425"/>
        <v>0</v>
      </c>
      <c r="M98" s="1467">
        <f>($I98-SUM($L98:L98))*$J98</f>
        <v>0</v>
      </c>
      <c r="N98" s="1467">
        <f>($I98-SUM($L98:M98))*$J98</f>
        <v>0</v>
      </c>
      <c r="O98" s="1467">
        <f>($I98-SUM($L98:N98))*$J98</f>
        <v>0</v>
      </c>
      <c r="P98" s="1467">
        <f>($I98-SUM($L98:O98))*$J98</f>
        <v>0</v>
      </c>
      <c r="Q98" s="1467">
        <f>($I98-SUM($L98:P98))*$J98</f>
        <v>0</v>
      </c>
      <c r="R98" s="1467">
        <f>($I98-SUM($L98:Q98))*$J98</f>
        <v>0</v>
      </c>
      <c r="S98" s="1467">
        <f>($I98-SUM($L98:R98))*$J98</f>
        <v>0</v>
      </c>
      <c r="T98" s="1467">
        <f>($I98-SUM($L98:S98))*$J98</f>
        <v>0</v>
      </c>
      <c r="U98" s="1467">
        <f>($I98-SUM($L98:T98))*$J98</f>
        <v>0</v>
      </c>
      <c r="V98" s="1467">
        <f>($I98-SUM($L98:U98))*$J98</f>
        <v>0</v>
      </c>
      <c r="W98" s="1467">
        <f>($I98-SUM($L98:V98))*$J98</f>
        <v>0</v>
      </c>
      <c r="X98" s="1467">
        <f>($I98-SUM($L98:W98))*$J98</f>
        <v>0</v>
      </c>
      <c r="Y98" s="1467">
        <f>($I98-SUM($L98:X98))*$J98</f>
        <v>0</v>
      </c>
      <c r="Z98" s="1467">
        <f>($I98-SUM($L98:Y98))*$J98</f>
        <v>0</v>
      </c>
      <c r="AA98" s="1467">
        <f>($I98-SUM($L98:Z98))*$J98</f>
        <v>0</v>
      </c>
      <c r="AB98" s="1467">
        <f>($I98-SUM($L98:AA98))*$J98</f>
        <v>0</v>
      </c>
      <c r="AC98" s="1467">
        <f>($I98-SUM($L98:AB98))*$J98</f>
        <v>0</v>
      </c>
      <c r="AD98" s="1467">
        <f>($I98-SUM($L98:AC98))*$J98</f>
        <v>0</v>
      </c>
      <c r="AE98" s="1467">
        <f>($I98-SUM($L98:AD98))*$J98</f>
        <v>0</v>
      </c>
      <c r="AF98" s="1467">
        <f>($I98-SUM($L98:AE98))*$J98</f>
        <v>0</v>
      </c>
      <c r="AG98" s="1467">
        <f>($I98-SUM($L98:AF98))*$J98</f>
        <v>0</v>
      </c>
      <c r="AH98" s="1467">
        <f>($I98-SUM($L98:AG98))*$J98</f>
        <v>0</v>
      </c>
      <c r="AI98" s="1467">
        <f>($I98-SUM($L98:AH98))*$J98</f>
        <v>0</v>
      </c>
      <c r="AJ98" s="1467">
        <f>($I98-SUM($L98:AI98))*$J98</f>
        <v>0</v>
      </c>
      <c r="AK98" s="1467">
        <f>($I98-SUM($L98:AJ98))*$J98</f>
        <v>0</v>
      </c>
      <c r="AL98" s="1467">
        <f>($I98-SUM($L98:AK98))*$J98</f>
        <v>0</v>
      </c>
      <c r="AM98" s="1467">
        <f>($I98-SUM($L98:AL98))*$J98</f>
        <v>0</v>
      </c>
      <c r="AN98" s="1467">
        <f>($I98-SUM($L98:AM98))*$J98</f>
        <v>0</v>
      </c>
      <c r="AO98" s="1467">
        <f>($I98-SUM($L98:AN98))*$J98</f>
        <v>0</v>
      </c>
      <c r="AP98" s="1468">
        <f t="shared" si="426"/>
        <v>0</v>
      </c>
      <c r="AQ98" s="1482"/>
      <c r="AR98" s="1467">
        <f t="shared" si="427"/>
        <v>0</v>
      </c>
      <c r="AS98" s="1467">
        <f t="shared" si="428"/>
        <v>0</v>
      </c>
      <c r="AT98" s="1467">
        <f t="shared" si="393"/>
        <v>0</v>
      </c>
      <c r="AU98" s="1467">
        <f t="shared" si="394"/>
        <v>0</v>
      </c>
      <c r="AV98" s="1467">
        <f t="shared" si="395"/>
        <v>0</v>
      </c>
      <c r="AW98" s="1467">
        <f t="shared" si="396"/>
        <v>0</v>
      </c>
      <c r="AX98" s="1467">
        <f t="shared" si="397"/>
        <v>0</v>
      </c>
      <c r="AY98" s="1467">
        <f t="shared" si="398"/>
        <v>0</v>
      </c>
      <c r="AZ98" s="1467">
        <f t="shared" si="399"/>
        <v>0</v>
      </c>
      <c r="BA98" s="1467">
        <f t="shared" si="400"/>
        <v>0</v>
      </c>
      <c r="BB98" s="1467">
        <f t="shared" si="401"/>
        <v>0</v>
      </c>
      <c r="BC98" s="1467">
        <f t="shared" si="402"/>
        <v>0</v>
      </c>
      <c r="BD98" s="1467">
        <f t="shared" si="403"/>
        <v>0</v>
      </c>
      <c r="BE98" s="1467">
        <f t="shared" si="404"/>
        <v>0</v>
      </c>
      <c r="BF98" s="1467">
        <f t="shared" si="405"/>
        <v>0</v>
      </c>
      <c r="BG98" s="1467">
        <f t="shared" si="406"/>
        <v>0</v>
      </c>
      <c r="BH98" s="1467">
        <f t="shared" si="407"/>
        <v>0</v>
      </c>
      <c r="BI98" s="1467">
        <f t="shared" si="408"/>
        <v>0</v>
      </c>
      <c r="BJ98" s="1467">
        <f t="shared" si="409"/>
        <v>0</v>
      </c>
      <c r="BK98" s="1467">
        <f t="shared" si="410"/>
        <v>0</v>
      </c>
      <c r="BL98" s="1467">
        <f t="shared" si="411"/>
        <v>0</v>
      </c>
      <c r="BM98" s="1467">
        <f t="shared" si="412"/>
        <v>0</v>
      </c>
      <c r="BN98" s="1467">
        <f t="shared" si="413"/>
        <v>0</v>
      </c>
      <c r="BO98" s="1467">
        <f t="shared" si="414"/>
        <v>0</v>
      </c>
      <c r="BP98" s="1467">
        <f t="shared" si="415"/>
        <v>0</v>
      </c>
      <c r="BQ98" s="1467">
        <f t="shared" si="416"/>
        <v>0</v>
      </c>
      <c r="BR98" s="1467">
        <f t="shared" si="417"/>
        <v>0</v>
      </c>
      <c r="BS98" s="1467">
        <f t="shared" si="418"/>
        <v>0</v>
      </c>
      <c r="BT98" s="1467">
        <f t="shared" si="419"/>
        <v>0</v>
      </c>
      <c r="BU98" s="1467">
        <f t="shared" si="420"/>
        <v>0</v>
      </c>
      <c r="BV98" s="1482"/>
    </row>
    <row r="99" spans="1:74" x14ac:dyDescent="0.2">
      <c r="A99" s="927" t="str">
        <f t="shared" si="421"/>
        <v>Sorghum (Starch).Accelerated</v>
      </c>
      <c r="B99" s="1076"/>
      <c r="C99" s="1076" t="str">
        <f t="shared" si="429"/>
        <v>Sorghum (Starch)</v>
      </c>
      <c r="D99" s="1076" t="str">
        <f>Assumptions!$AH$82</f>
        <v>Accelerated</v>
      </c>
      <c r="E99" s="1076" t="str">
        <f>'Sorgum (Starch)'!H253</f>
        <v>Liquefaction and saccharification</v>
      </c>
      <c r="F99" s="1467">
        <f>SUM('Sorgum (Starch)'!J253:K253)*1000000</f>
        <v>8000000</v>
      </c>
      <c r="G99" s="1467">
        <f t="shared" si="422"/>
        <v>9900000</v>
      </c>
      <c r="H99" s="1467">
        <f t="shared" si="423"/>
        <v>10890000</v>
      </c>
      <c r="I99" s="1467">
        <f t="shared" si="424"/>
        <v>10890000</v>
      </c>
      <c r="J99" s="1076">
        <f t="shared" si="430"/>
        <v>0.2</v>
      </c>
      <c r="K99" s="1107"/>
      <c r="L99" s="1467">
        <f t="shared" si="425"/>
        <v>2178000</v>
      </c>
      <c r="M99" s="1467">
        <f>($I99-SUM($L99:L99))*$J99</f>
        <v>1742400</v>
      </c>
      <c r="N99" s="1467">
        <f>($I99-SUM($L99:M99))*$J99</f>
        <v>1393920</v>
      </c>
      <c r="O99" s="1467">
        <f>($I99-SUM($L99:N99))*$J99</f>
        <v>1115136</v>
      </c>
      <c r="P99" s="1467">
        <f>($I99-SUM($L99:O99))*$J99</f>
        <v>892108.80000000005</v>
      </c>
      <c r="Q99" s="1467">
        <f>($I99-SUM($L99:P99))*$J99</f>
        <v>713687.04000000004</v>
      </c>
      <c r="R99" s="1467">
        <f>($I99-SUM($L99:Q99))*$J99</f>
        <v>570949.6320000001</v>
      </c>
      <c r="S99" s="1467">
        <f>($I99-SUM($L99:R99))*$J99</f>
        <v>456759.70560000022</v>
      </c>
      <c r="T99" s="1467">
        <f>($I99-SUM($L99:S99))*$J99</f>
        <v>365407.76448000001</v>
      </c>
      <c r="U99" s="1467">
        <f>($I99-SUM($L99:T99))*$J99</f>
        <v>292326.21158399992</v>
      </c>
      <c r="V99" s="1467">
        <f>($I99-SUM($L99:U99))*$J99</f>
        <v>233860.96926719995</v>
      </c>
      <c r="W99" s="1467">
        <f>($I99-SUM($L99:V99))*$J99</f>
        <v>187088.77541375981</v>
      </c>
      <c r="X99" s="1467">
        <f>($I99-SUM($L99:W99))*$J99</f>
        <v>149671.02033100798</v>
      </c>
      <c r="Y99" s="1467">
        <f>($I99-SUM($L99:X99))*$J99</f>
        <v>119736.81626480632</v>
      </c>
      <c r="Z99" s="1467">
        <f>($I99-SUM($L99:Y99))*$J99</f>
        <v>95789.453011845064</v>
      </c>
      <c r="AA99" s="1467">
        <f>($I99-SUM($L99:Z99))*$J99</f>
        <v>76631.562409476188</v>
      </c>
      <c r="AB99" s="1467">
        <f>($I99-SUM($L99:AA99))*$J99</f>
        <v>61305.249927581106</v>
      </c>
      <c r="AC99" s="1467">
        <f>($I99-SUM($L99:AB99))*$J99</f>
        <v>49044.199942065032</v>
      </c>
      <c r="AD99" s="1467">
        <f>($I99-SUM($L99:AC99))*$J99</f>
        <v>39235.359953651954</v>
      </c>
      <c r="AE99" s="1467">
        <f>($I99-SUM($L99:AD99))*$J99</f>
        <v>31388.28796292171</v>
      </c>
      <c r="AF99" s="1467">
        <f>($I99-SUM($L99:AE99))*$J99</f>
        <v>25110.630370337516</v>
      </c>
      <c r="AG99" s="1467">
        <f>($I99-SUM($L99:AF99))*$J99</f>
        <v>20088.504296270014</v>
      </c>
      <c r="AH99" s="1467">
        <f>($I99-SUM($L99:AG99))*$J99</f>
        <v>16070.80343701616</v>
      </c>
      <c r="AI99" s="1467">
        <f>($I99-SUM($L99:AH99))*$J99</f>
        <v>12856.64274961278</v>
      </c>
      <c r="AJ99" s="1467">
        <f>($I99-SUM($L99:AI99))*$J99</f>
        <v>10285.314199690149</v>
      </c>
      <c r="AK99" s="1467">
        <f>($I99-SUM($L99:AJ99))*$J99</f>
        <v>8228.2513597521938</v>
      </c>
      <c r="AL99" s="1467">
        <f>($I99-SUM($L99:AK99))*$J99</f>
        <v>6582.6010878019042</v>
      </c>
      <c r="AM99" s="1467">
        <f>($I99-SUM($L99:AL99))*$J99</f>
        <v>5266.0808702416725</v>
      </c>
      <c r="AN99" s="1467">
        <f>($I99-SUM($L99:AM99))*$J99</f>
        <v>4212.8646961934865</v>
      </c>
      <c r="AO99" s="1467">
        <f>($I99-SUM($L99:AN99))*$J99</f>
        <v>3370.2917569547894</v>
      </c>
      <c r="AP99" s="1468">
        <f t="shared" si="426"/>
        <v>10876518.83297218</v>
      </c>
      <c r="AQ99" s="1482"/>
      <c r="AR99" s="1467">
        <f t="shared" si="427"/>
        <v>8712000</v>
      </c>
      <c r="AS99" s="1467">
        <f t="shared" si="428"/>
        <v>6969600</v>
      </c>
      <c r="AT99" s="1467">
        <f t="shared" si="393"/>
        <v>5575680</v>
      </c>
      <c r="AU99" s="1467">
        <f t="shared" si="394"/>
        <v>4460544</v>
      </c>
      <c r="AV99" s="1467">
        <f t="shared" si="395"/>
        <v>3568435.2000000002</v>
      </c>
      <c r="AW99" s="1467">
        <f t="shared" si="396"/>
        <v>2854748.1600000001</v>
      </c>
      <c r="AX99" s="1467">
        <f t="shared" si="397"/>
        <v>2283798.5279999999</v>
      </c>
      <c r="AY99" s="1467">
        <f t="shared" si="398"/>
        <v>1827038.8223999997</v>
      </c>
      <c r="AZ99" s="1467">
        <f t="shared" si="399"/>
        <v>1461631.0579199996</v>
      </c>
      <c r="BA99" s="1467">
        <f t="shared" si="400"/>
        <v>1169304.8463359997</v>
      </c>
      <c r="BB99" s="1467">
        <f t="shared" si="401"/>
        <v>935443.87706879969</v>
      </c>
      <c r="BC99" s="1467">
        <f t="shared" si="402"/>
        <v>748355.10165503994</v>
      </c>
      <c r="BD99" s="1467">
        <f t="shared" si="403"/>
        <v>598684.08132403193</v>
      </c>
      <c r="BE99" s="1467">
        <f t="shared" si="404"/>
        <v>478947.26505922561</v>
      </c>
      <c r="BF99" s="1467">
        <f t="shared" si="405"/>
        <v>383157.81204738055</v>
      </c>
      <c r="BG99" s="1467">
        <f t="shared" si="406"/>
        <v>306526.24963790434</v>
      </c>
      <c r="BH99" s="1467">
        <f t="shared" si="407"/>
        <v>245220.99971032323</v>
      </c>
      <c r="BI99" s="1467">
        <f t="shared" si="408"/>
        <v>196176.79976825821</v>
      </c>
      <c r="BJ99" s="1467">
        <f t="shared" si="409"/>
        <v>156941.43981460624</v>
      </c>
      <c r="BK99" s="1467">
        <f t="shared" si="410"/>
        <v>125553.15185168454</v>
      </c>
      <c r="BL99" s="1467">
        <f t="shared" si="411"/>
        <v>100442.52148134702</v>
      </c>
      <c r="BM99" s="1467">
        <f t="shared" si="412"/>
        <v>80354.017185077013</v>
      </c>
      <c r="BN99" s="1467">
        <f t="shared" si="413"/>
        <v>64283.213748060851</v>
      </c>
      <c r="BO99" s="1467">
        <f t="shared" si="414"/>
        <v>51426.570998448071</v>
      </c>
      <c r="BP99" s="1467">
        <f t="shared" si="415"/>
        <v>41141.256798757924</v>
      </c>
      <c r="BQ99" s="1467">
        <f t="shared" si="416"/>
        <v>32913.005439005734</v>
      </c>
      <c r="BR99" s="1467">
        <f t="shared" si="417"/>
        <v>26330.40435120383</v>
      </c>
      <c r="BS99" s="1467">
        <f t="shared" si="418"/>
        <v>21064.323480962157</v>
      </c>
      <c r="BT99" s="1467">
        <f t="shared" si="419"/>
        <v>16851.458784768671</v>
      </c>
      <c r="BU99" s="1467">
        <f t="shared" si="420"/>
        <v>13481.167027813881</v>
      </c>
      <c r="BV99" s="1482"/>
    </row>
    <row r="100" spans="1:74" x14ac:dyDescent="0.2">
      <c r="A100" s="927" t="str">
        <f t="shared" si="421"/>
        <v>Sorghum (Starch).Accelerated</v>
      </c>
      <c r="B100" s="1076"/>
      <c r="C100" s="1076" t="str">
        <f t="shared" si="429"/>
        <v>Sorghum (Starch)</v>
      </c>
      <c r="D100" s="1076" t="str">
        <f>Assumptions!$AH$82</f>
        <v>Accelerated</v>
      </c>
      <c r="E100" s="1076" t="str">
        <f>'Sorgum (Starch)'!H254</f>
        <v>Fermentation Plant</v>
      </c>
      <c r="F100" s="1467">
        <f>SUM('Sorgum (Starch)'!J254:K254)*1000000</f>
        <v>18000000</v>
      </c>
      <c r="G100" s="1467">
        <f t="shared" si="422"/>
        <v>22275000</v>
      </c>
      <c r="H100" s="1467">
        <f t="shared" si="423"/>
        <v>24502500.000000004</v>
      </c>
      <c r="I100" s="1467">
        <f t="shared" si="424"/>
        <v>24502500.000000004</v>
      </c>
      <c r="J100" s="1076">
        <f t="shared" si="430"/>
        <v>0.2</v>
      </c>
      <c r="K100" s="1107"/>
      <c r="L100" s="1467">
        <f t="shared" si="425"/>
        <v>4900500.0000000009</v>
      </c>
      <c r="M100" s="1467">
        <f>($I100-SUM($L100:L100))*$J100</f>
        <v>3920400.0000000009</v>
      </c>
      <c r="N100" s="1467">
        <f>($I100-SUM($L100:M100))*$J100</f>
        <v>3136320.0000000005</v>
      </c>
      <c r="O100" s="1467">
        <f>($I100-SUM($L100:N100))*$J100</f>
        <v>2509056.0000000005</v>
      </c>
      <c r="P100" s="1467">
        <f>($I100-SUM($L100:O100))*$J100</f>
        <v>2007244.8000000005</v>
      </c>
      <c r="Q100" s="1467">
        <f>($I100-SUM($L100:P100))*$J100</f>
        <v>1605795.8400000003</v>
      </c>
      <c r="R100" s="1467">
        <f>($I100-SUM($L100:Q100))*$J100</f>
        <v>1284636.672</v>
      </c>
      <c r="S100" s="1467">
        <f>($I100-SUM($L100:R100))*$J100</f>
        <v>1027709.3376000002</v>
      </c>
      <c r="T100" s="1467">
        <f>($I100-SUM($L100:S100))*$J100</f>
        <v>822167.47008000023</v>
      </c>
      <c r="U100" s="1467">
        <f>($I100-SUM($L100:T100))*$J100</f>
        <v>657733.97606400028</v>
      </c>
      <c r="V100" s="1467">
        <f>($I100-SUM($L100:U100))*$J100</f>
        <v>526187.18085120025</v>
      </c>
      <c r="W100" s="1467">
        <f>($I100-SUM($L100:V100))*$J100</f>
        <v>420949.74468096049</v>
      </c>
      <c r="X100" s="1467">
        <f>($I100-SUM($L100:W100))*$J100</f>
        <v>336759.79574476858</v>
      </c>
      <c r="Y100" s="1467">
        <f>($I100-SUM($L100:X100))*$J100</f>
        <v>269407.83659581468</v>
      </c>
      <c r="Z100" s="1467">
        <f>($I100-SUM($L100:Y100))*$J100</f>
        <v>215526.26927665176</v>
      </c>
      <c r="AA100" s="1467">
        <f>($I100-SUM($L100:Z100))*$J100</f>
        <v>172421.01542132127</v>
      </c>
      <c r="AB100" s="1467">
        <f>($I100-SUM($L100:AA100))*$J100</f>
        <v>137936.81233705729</v>
      </c>
      <c r="AC100" s="1467">
        <f>($I100-SUM($L100:AB100))*$J100</f>
        <v>110349.44986964614</v>
      </c>
      <c r="AD100" s="1467">
        <f>($I100-SUM($L100:AC100))*$J100</f>
        <v>88279.559895716608</v>
      </c>
      <c r="AE100" s="1467">
        <f>($I100-SUM($L100:AD100))*$J100</f>
        <v>70623.647916573289</v>
      </c>
      <c r="AF100" s="1467">
        <f>($I100-SUM($L100:AE100))*$J100</f>
        <v>56498.91833325848</v>
      </c>
      <c r="AG100" s="1467">
        <f>($I100-SUM($L100:AF100))*$J100</f>
        <v>45199.134666606784</v>
      </c>
      <c r="AH100" s="1467">
        <f>($I100-SUM($L100:AG100))*$J100</f>
        <v>36159.30773328543</v>
      </c>
      <c r="AI100" s="1467">
        <f>($I100-SUM($L100:AH100))*$J100</f>
        <v>28927.446186628193</v>
      </c>
      <c r="AJ100" s="1467">
        <f>($I100-SUM($L100:AI100))*$J100</f>
        <v>23141.956949302556</v>
      </c>
      <c r="AK100" s="1467">
        <f>($I100-SUM($L100:AJ100))*$J100</f>
        <v>18513.565559442341</v>
      </c>
      <c r="AL100" s="1467">
        <f>($I100-SUM($L100:AK100))*$J100</f>
        <v>14810.852447553725</v>
      </c>
      <c r="AM100" s="1467">
        <f>($I100-SUM($L100:AL100))*$J100</f>
        <v>11848.681958042831</v>
      </c>
      <c r="AN100" s="1467">
        <f>($I100-SUM($L100:AM100))*$J100</f>
        <v>9478.9455664344132</v>
      </c>
      <c r="AO100" s="1467">
        <f>($I100-SUM($L100:AN100))*$J100</f>
        <v>7583.1564531475306</v>
      </c>
      <c r="AP100" s="1468">
        <f t="shared" si="426"/>
        <v>24472167.374187414</v>
      </c>
      <c r="AQ100" s="1482"/>
      <c r="AR100" s="1467">
        <f t="shared" si="427"/>
        <v>19602000.000000004</v>
      </c>
      <c r="AS100" s="1467">
        <f t="shared" si="428"/>
        <v>15681600.000000004</v>
      </c>
      <c r="AT100" s="1467">
        <f t="shared" si="393"/>
        <v>12545280.000000004</v>
      </c>
      <c r="AU100" s="1467">
        <f t="shared" si="394"/>
        <v>10036224.000000004</v>
      </c>
      <c r="AV100" s="1467">
        <f t="shared" si="395"/>
        <v>8028979.200000003</v>
      </c>
      <c r="AW100" s="1467">
        <f t="shared" si="396"/>
        <v>6423183.3600000031</v>
      </c>
      <c r="AX100" s="1467">
        <f t="shared" si="397"/>
        <v>5138546.6880000029</v>
      </c>
      <c r="AY100" s="1467">
        <f t="shared" si="398"/>
        <v>4110837.3504000027</v>
      </c>
      <c r="AZ100" s="1467">
        <f t="shared" si="399"/>
        <v>3288669.8803200023</v>
      </c>
      <c r="BA100" s="1467">
        <f t="shared" si="400"/>
        <v>2630935.904256002</v>
      </c>
      <c r="BB100" s="1467">
        <f t="shared" si="401"/>
        <v>2104748.7234048019</v>
      </c>
      <c r="BC100" s="1467">
        <f t="shared" si="402"/>
        <v>1683798.9787238415</v>
      </c>
      <c r="BD100" s="1467">
        <f t="shared" si="403"/>
        <v>1347039.1829790729</v>
      </c>
      <c r="BE100" s="1467">
        <f t="shared" si="404"/>
        <v>1077631.3463832582</v>
      </c>
      <c r="BF100" s="1467">
        <f t="shared" si="405"/>
        <v>862105.07710660645</v>
      </c>
      <c r="BG100" s="1467">
        <f t="shared" si="406"/>
        <v>689684.06168528518</v>
      </c>
      <c r="BH100" s="1467">
        <f t="shared" si="407"/>
        <v>551747.24934822787</v>
      </c>
      <c r="BI100" s="1467">
        <f t="shared" si="408"/>
        <v>441397.79947858176</v>
      </c>
      <c r="BJ100" s="1467">
        <f t="shared" si="409"/>
        <v>353118.23958286515</v>
      </c>
      <c r="BK100" s="1467">
        <f t="shared" si="410"/>
        <v>282494.59166629188</v>
      </c>
      <c r="BL100" s="1467">
        <f t="shared" si="411"/>
        <v>225995.6733330334</v>
      </c>
      <c r="BM100" s="1467">
        <f t="shared" si="412"/>
        <v>180796.53866642661</v>
      </c>
      <c r="BN100" s="1467">
        <f t="shared" si="413"/>
        <v>144637.2309331412</v>
      </c>
      <c r="BO100" s="1467">
        <f t="shared" si="414"/>
        <v>115709.784746513</v>
      </c>
      <c r="BP100" s="1467">
        <f t="shared" si="415"/>
        <v>92567.827797210455</v>
      </c>
      <c r="BQ100" s="1467">
        <f t="shared" si="416"/>
        <v>74054.262237768111</v>
      </c>
      <c r="BR100" s="1467">
        <f t="shared" si="417"/>
        <v>59243.409790214384</v>
      </c>
      <c r="BS100" s="1467">
        <f t="shared" si="418"/>
        <v>47394.727832171557</v>
      </c>
      <c r="BT100" s="1467">
        <f t="shared" si="419"/>
        <v>37915.782265737143</v>
      </c>
      <c r="BU100" s="1467">
        <f t="shared" si="420"/>
        <v>30332.625812589613</v>
      </c>
      <c r="BV100" s="1482"/>
    </row>
    <row r="101" spans="1:74" x14ac:dyDescent="0.2">
      <c r="A101" s="927" t="str">
        <f t="shared" si="421"/>
        <v>Sorghum (Starch).Accelerated</v>
      </c>
      <c r="B101" s="1076"/>
      <c r="C101" s="1076" t="str">
        <f t="shared" si="429"/>
        <v>Sorghum (Starch)</v>
      </c>
      <c r="D101" s="1076" t="str">
        <f>Assumptions!$AH$82</f>
        <v>Accelerated</v>
      </c>
      <c r="E101" s="1076" t="str">
        <f>'Sorgum (Starch)'!H255</f>
        <v>Distillation, Rectification and Dehydration</v>
      </c>
      <c r="F101" s="1467">
        <f>SUM('Sorgum (Starch)'!J255:K255)*1000000</f>
        <v>23000000</v>
      </c>
      <c r="G101" s="1467">
        <f t="shared" si="422"/>
        <v>28462500</v>
      </c>
      <c r="H101" s="1467">
        <f t="shared" si="423"/>
        <v>31308750.000000004</v>
      </c>
      <c r="I101" s="1467">
        <f t="shared" si="424"/>
        <v>31308750.000000004</v>
      </c>
      <c r="J101" s="1076">
        <f t="shared" si="430"/>
        <v>0.2</v>
      </c>
      <c r="K101" s="1107"/>
      <c r="L101" s="1467">
        <f t="shared" si="425"/>
        <v>6261750.0000000009</v>
      </c>
      <c r="M101" s="1467">
        <f>($I101-SUM($L101:L101))*$J101</f>
        <v>5009400.0000000009</v>
      </c>
      <c r="N101" s="1467">
        <f>($I101-SUM($L101:M101))*$J101</f>
        <v>4007520</v>
      </c>
      <c r="O101" s="1467">
        <f>($I101-SUM($L101:N101))*$J101</f>
        <v>3206016.0000000005</v>
      </c>
      <c r="P101" s="1467">
        <f>($I101-SUM($L101:O101))*$J101</f>
        <v>2564812.8000000003</v>
      </c>
      <c r="Q101" s="1467">
        <f>($I101-SUM($L101:P101))*$J101</f>
        <v>2051850.24</v>
      </c>
      <c r="R101" s="1467">
        <f>($I101-SUM($L101:Q101))*$J101</f>
        <v>1641480.1920000003</v>
      </c>
      <c r="S101" s="1467">
        <f>($I101-SUM($L101:R101))*$J101</f>
        <v>1313184.1535999998</v>
      </c>
      <c r="T101" s="1467">
        <f>($I101-SUM($L101:S101))*$J101</f>
        <v>1050547.3228799999</v>
      </c>
      <c r="U101" s="1467">
        <f>($I101-SUM($L101:T101))*$J101</f>
        <v>840437.85830399999</v>
      </c>
      <c r="V101" s="1467">
        <f>($I101-SUM($L101:U101))*$J101</f>
        <v>672350.28664319962</v>
      </c>
      <c r="W101" s="1467">
        <f>($I101-SUM($L101:V101))*$J101</f>
        <v>537880.22931455972</v>
      </c>
      <c r="X101" s="1467">
        <f>($I101-SUM($L101:W101))*$J101</f>
        <v>430304.1834516481</v>
      </c>
      <c r="Y101" s="1467">
        <f>($I101-SUM($L101:X101))*$J101</f>
        <v>344243.34676131833</v>
      </c>
      <c r="Z101" s="1467">
        <f>($I101-SUM($L101:Y101))*$J101</f>
        <v>275394.67740905436</v>
      </c>
      <c r="AA101" s="1467">
        <f>($I101-SUM($L101:Z101))*$J101</f>
        <v>220315.74192724377</v>
      </c>
      <c r="AB101" s="1467">
        <f>($I101-SUM($L101:AA101))*$J101</f>
        <v>176252.59354179504</v>
      </c>
      <c r="AC101" s="1467">
        <f>($I101-SUM($L101:AB101))*$J101</f>
        <v>141002.07483343632</v>
      </c>
      <c r="AD101" s="1467">
        <f>($I101-SUM($L101:AC101))*$J101</f>
        <v>112801.65986674876</v>
      </c>
      <c r="AE101" s="1467">
        <f>($I101-SUM($L101:AD101))*$J101</f>
        <v>90241.327893398702</v>
      </c>
      <c r="AF101" s="1467">
        <f>($I101-SUM($L101:AE101))*$J101</f>
        <v>72193.062314718962</v>
      </c>
      <c r="AG101" s="1467">
        <f>($I101-SUM($L101:AF101))*$J101</f>
        <v>57754.449851775171</v>
      </c>
      <c r="AH101" s="1467">
        <f>($I101-SUM($L101:AG101))*$J101</f>
        <v>46203.559881420435</v>
      </c>
      <c r="AI101" s="1467">
        <f>($I101-SUM($L101:AH101))*$J101</f>
        <v>36962.847905136645</v>
      </c>
      <c r="AJ101" s="1467">
        <f>($I101-SUM($L101:AI101))*$J101</f>
        <v>29570.278324109317</v>
      </c>
      <c r="AK101" s="1467">
        <f>($I101-SUM($L101:AJ101))*$J101</f>
        <v>23656.222659287603</v>
      </c>
      <c r="AL101" s="1467">
        <f>($I101-SUM($L101:AK101))*$J101</f>
        <v>18924.978127430379</v>
      </c>
      <c r="AM101" s="1467">
        <f>($I101-SUM($L101:AL101))*$J101</f>
        <v>15139.982501944156</v>
      </c>
      <c r="AN101" s="1467">
        <f>($I101-SUM($L101:AM101))*$J101</f>
        <v>12111.986001555622</v>
      </c>
      <c r="AO101" s="1467">
        <f>($I101-SUM($L101:AN101))*$J101</f>
        <v>9689.5888012446467</v>
      </c>
      <c r="AP101" s="1468">
        <f t="shared" si="426"/>
        <v>31269991.644795027</v>
      </c>
      <c r="AQ101" s="1482"/>
      <c r="AR101" s="1467">
        <f t="shared" si="427"/>
        <v>25047000.000000004</v>
      </c>
      <c r="AS101" s="1467">
        <f t="shared" si="428"/>
        <v>20037600.000000004</v>
      </c>
      <c r="AT101" s="1467">
        <f t="shared" si="393"/>
        <v>16030080.000000004</v>
      </c>
      <c r="AU101" s="1467">
        <f t="shared" si="394"/>
        <v>12824064.000000004</v>
      </c>
      <c r="AV101" s="1467">
        <f t="shared" si="395"/>
        <v>10259251.200000003</v>
      </c>
      <c r="AW101" s="1467">
        <f t="shared" si="396"/>
        <v>8207400.9600000028</v>
      </c>
      <c r="AX101" s="1467">
        <f t="shared" si="397"/>
        <v>6565920.768000003</v>
      </c>
      <c r="AY101" s="1467">
        <f t="shared" si="398"/>
        <v>5252736.6144000031</v>
      </c>
      <c r="AZ101" s="1467">
        <f t="shared" si="399"/>
        <v>4202189.2915200032</v>
      </c>
      <c r="BA101" s="1467">
        <f t="shared" si="400"/>
        <v>3361751.4332160032</v>
      </c>
      <c r="BB101" s="1467">
        <f t="shared" si="401"/>
        <v>2689401.1465728036</v>
      </c>
      <c r="BC101" s="1467">
        <f t="shared" si="402"/>
        <v>2151520.917258244</v>
      </c>
      <c r="BD101" s="1467">
        <f t="shared" si="403"/>
        <v>1721216.7338065959</v>
      </c>
      <c r="BE101" s="1467">
        <f t="shared" si="404"/>
        <v>1376973.3870452775</v>
      </c>
      <c r="BF101" s="1467">
        <f t="shared" si="405"/>
        <v>1101578.709636223</v>
      </c>
      <c r="BG101" s="1467">
        <f t="shared" si="406"/>
        <v>881262.96770897927</v>
      </c>
      <c r="BH101" s="1467">
        <f t="shared" si="407"/>
        <v>705010.37416718423</v>
      </c>
      <c r="BI101" s="1467">
        <f t="shared" si="408"/>
        <v>564008.29933374794</v>
      </c>
      <c r="BJ101" s="1467">
        <f t="shared" si="409"/>
        <v>451206.63946699922</v>
      </c>
      <c r="BK101" s="1467">
        <f t="shared" si="410"/>
        <v>360965.31157360051</v>
      </c>
      <c r="BL101" s="1467">
        <f t="shared" si="411"/>
        <v>288772.24925888155</v>
      </c>
      <c r="BM101" s="1467">
        <f t="shared" si="412"/>
        <v>231017.79940710639</v>
      </c>
      <c r="BN101" s="1467">
        <f t="shared" si="413"/>
        <v>184814.23952568596</v>
      </c>
      <c r="BO101" s="1467">
        <f t="shared" si="414"/>
        <v>147851.39162054932</v>
      </c>
      <c r="BP101" s="1467">
        <f t="shared" si="415"/>
        <v>118281.11329644</v>
      </c>
      <c r="BQ101" s="1467">
        <f t="shared" si="416"/>
        <v>94624.890637152392</v>
      </c>
      <c r="BR101" s="1467">
        <f t="shared" si="417"/>
        <v>75699.912509722009</v>
      </c>
      <c r="BS101" s="1467">
        <f t="shared" si="418"/>
        <v>60559.930007777853</v>
      </c>
      <c r="BT101" s="1467">
        <f t="shared" si="419"/>
        <v>48447.944006222227</v>
      </c>
      <c r="BU101" s="1467">
        <f t="shared" si="420"/>
        <v>38758.355204977583</v>
      </c>
      <c r="BV101" s="1482"/>
    </row>
    <row r="102" spans="1:74" x14ac:dyDescent="0.2">
      <c r="A102" s="927" t="str">
        <f t="shared" si="421"/>
        <v>Sorghum (Starch).Accelerated</v>
      </c>
      <c r="B102" s="1076"/>
      <c r="C102" s="1076" t="str">
        <f t="shared" si="429"/>
        <v>Sorghum (Starch)</v>
      </c>
      <c r="D102" s="1076" t="str">
        <f>Assumptions!$AH$82</f>
        <v>Accelerated</v>
      </c>
      <c r="E102" s="1076" t="str">
        <f>'Sorgum (Starch)'!H256</f>
        <v>Alcohol Storage</v>
      </c>
      <c r="F102" s="1467">
        <f>SUM('Sorgum (Starch)'!J256:K256)*1000000</f>
        <v>5000000</v>
      </c>
      <c r="G102" s="1467">
        <f t="shared" si="422"/>
        <v>6187500</v>
      </c>
      <c r="H102" s="1467">
        <f t="shared" si="423"/>
        <v>6806250.0000000009</v>
      </c>
      <c r="I102" s="1467">
        <f t="shared" si="424"/>
        <v>6806250.0000000009</v>
      </c>
      <c r="J102" s="1076">
        <f t="shared" si="430"/>
        <v>0.2</v>
      </c>
      <c r="K102" s="1107"/>
      <c r="L102" s="1467">
        <f t="shared" si="425"/>
        <v>1361250.0000000002</v>
      </c>
      <c r="M102" s="1467">
        <f>($I102-SUM($L102:L102))*$J102</f>
        <v>1089000.0000000002</v>
      </c>
      <c r="N102" s="1467">
        <f>($I102-SUM($L102:M102))*$J102</f>
        <v>871200</v>
      </c>
      <c r="O102" s="1467">
        <f>($I102-SUM($L102:N102))*$J102</f>
        <v>696960.00000000012</v>
      </c>
      <c r="P102" s="1467">
        <f>($I102-SUM($L102:O102))*$J102</f>
        <v>557568.00000000012</v>
      </c>
      <c r="Q102" s="1467">
        <f>($I102-SUM($L102:P102))*$J102</f>
        <v>446054.40000000002</v>
      </c>
      <c r="R102" s="1467">
        <f>($I102-SUM($L102:Q102))*$J102</f>
        <v>356843.51999999996</v>
      </c>
      <c r="S102" s="1467">
        <f>($I102-SUM($L102:R102))*$J102</f>
        <v>285474.81600000005</v>
      </c>
      <c r="T102" s="1467">
        <f>($I102-SUM($L102:S102))*$J102</f>
        <v>228379.85280000011</v>
      </c>
      <c r="U102" s="1467">
        <f>($I102-SUM($L102:T102))*$J102</f>
        <v>182703.88224000001</v>
      </c>
      <c r="V102" s="1467">
        <f>($I102-SUM($L102:U102))*$J102</f>
        <v>146163.10579199996</v>
      </c>
      <c r="W102" s="1467">
        <f>($I102-SUM($L102:V102))*$J102</f>
        <v>116930.48463359998</v>
      </c>
      <c r="X102" s="1467">
        <f>($I102-SUM($L102:W102))*$J102</f>
        <v>93544.387706879905</v>
      </c>
      <c r="Y102" s="1467">
        <f>($I102-SUM($L102:X102))*$J102</f>
        <v>74835.510165503991</v>
      </c>
      <c r="Z102" s="1467">
        <f>($I102-SUM($L102:Y102))*$J102</f>
        <v>59868.408132403158</v>
      </c>
      <c r="AA102" s="1467">
        <f>($I102-SUM($L102:Z102))*$J102</f>
        <v>47894.726505922532</v>
      </c>
      <c r="AB102" s="1467">
        <f>($I102-SUM($L102:AA102))*$J102</f>
        <v>38315.781204738094</v>
      </c>
      <c r="AC102" s="1467">
        <f>($I102-SUM($L102:AB102))*$J102</f>
        <v>30652.624963790553</v>
      </c>
      <c r="AD102" s="1467">
        <f>($I102-SUM($L102:AC102))*$J102</f>
        <v>24522.099971032516</v>
      </c>
      <c r="AE102" s="1467">
        <f>($I102-SUM($L102:AD102))*$J102</f>
        <v>19617.679976825977</v>
      </c>
      <c r="AF102" s="1467">
        <f>($I102-SUM($L102:AE102))*$J102</f>
        <v>15694.143981460855</v>
      </c>
      <c r="AG102" s="1467">
        <f>($I102-SUM($L102:AF102))*$J102</f>
        <v>12555.315185168758</v>
      </c>
      <c r="AH102" s="1467">
        <f>($I102-SUM($L102:AG102))*$J102</f>
        <v>10044.252148135007</v>
      </c>
      <c r="AI102" s="1467">
        <f>($I102-SUM($L102:AH102))*$J102</f>
        <v>8035.4017185080802</v>
      </c>
      <c r="AJ102" s="1467">
        <f>($I102-SUM($L102:AI102))*$J102</f>
        <v>6428.3213748063899</v>
      </c>
      <c r="AK102" s="1467">
        <f>($I102-SUM($L102:AJ102))*$J102</f>
        <v>5142.6570998450743</v>
      </c>
      <c r="AL102" s="1467">
        <f>($I102-SUM($L102:AK102))*$J102</f>
        <v>4114.1256798760969</v>
      </c>
      <c r="AM102" s="1467">
        <f>($I102-SUM($L102:AL102))*$J102</f>
        <v>3291.3005439009521</v>
      </c>
      <c r="AN102" s="1467">
        <f>($I102-SUM($L102:AM102))*$J102</f>
        <v>2633.0404351208363</v>
      </c>
      <c r="AO102" s="1467">
        <f>($I102-SUM($L102:AN102))*$J102</f>
        <v>2106.4323480967432</v>
      </c>
      <c r="AP102" s="1468">
        <f t="shared" si="426"/>
        <v>6797824.270607614</v>
      </c>
      <c r="AQ102" s="1482"/>
      <c r="AR102" s="1467">
        <f t="shared" si="427"/>
        <v>5445000.0000000009</v>
      </c>
      <c r="AS102" s="1467">
        <f t="shared" si="428"/>
        <v>4356000.0000000009</v>
      </c>
      <c r="AT102" s="1467">
        <f t="shared" si="393"/>
        <v>3484800.0000000009</v>
      </c>
      <c r="AU102" s="1467">
        <f t="shared" si="394"/>
        <v>2787840.0000000009</v>
      </c>
      <c r="AV102" s="1467">
        <f t="shared" si="395"/>
        <v>2230272.0000000009</v>
      </c>
      <c r="AW102" s="1467">
        <f t="shared" si="396"/>
        <v>1784217.600000001</v>
      </c>
      <c r="AX102" s="1467">
        <f t="shared" si="397"/>
        <v>1427374.080000001</v>
      </c>
      <c r="AY102" s="1467">
        <f t="shared" si="398"/>
        <v>1141899.2640000009</v>
      </c>
      <c r="AZ102" s="1467">
        <f t="shared" si="399"/>
        <v>913519.41120000079</v>
      </c>
      <c r="BA102" s="1467">
        <f t="shared" si="400"/>
        <v>730815.52896000072</v>
      </c>
      <c r="BB102" s="1467">
        <f t="shared" si="401"/>
        <v>584652.42316800077</v>
      </c>
      <c r="BC102" s="1467">
        <f t="shared" si="402"/>
        <v>467721.93853440078</v>
      </c>
      <c r="BD102" s="1467">
        <f t="shared" si="403"/>
        <v>374177.5508275209</v>
      </c>
      <c r="BE102" s="1467">
        <f t="shared" si="404"/>
        <v>299342.04066201689</v>
      </c>
      <c r="BF102" s="1467">
        <f t="shared" si="405"/>
        <v>239473.63252961374</v>
      </c>
      <c r="BG102" s="1467">
        <f t="shared" si="406"/>
        <v>191578.9060236912</v>
      </c>
      <c r="BH102" s="1467">
        <f t="shared" si="407"/>
        <v>153263.1248189531</v>
      </c>
      <c r="BI102" s="1467">
        <f t="shared" si="408"/>
        <v>122610.49985516255</v>
      </c>
      <c r="BJ102" s="1467">
        <f t="shared" si="409"/>
        <v>98088.399884130034</v>
      </c>
      <c r="BK102" s="1467">
        <f t="shared" si="410"/>
        <v>78470.719907304054</v>
      </c>
      <c r="BL102" s="1467">
        <f t="shared" si="411"/>
        <v>62776.575925843201</v>
      </c>
      <c r="BM102" s="1467">
        <f t="shared" si="412"/>
        <v>50221.260740674443</v>
      </c>
      <c r="BN102" s="1467">
        <f t="shared" si="413"/>
        <v>40177.008592539438</v>
      </c>
      <c r="BO102" s="1467">
        <f t="shared" si="414"/>
        <v>32141.606874031357</v>
      </c>
      <c r="BP102" s="1467">
        <f t="shared" si="415"/>
        <v>25713.285499224967</v>
      </c>
      <c r="BQ102" s="1467">
        <f t="shared" si="416"/>
        <v>20570.628399379893</v>
      </c>
      <c r="BR102" s="1467">
        <f t="shared" si="417"/>
        <v>16456.502719503798</v>
      </c>
      <c r="BS102" s="1467">
        <f t="shared" si="418"/>
        <v>13165.202175602846</v>
      </c>
      <c r="BT102" s="1467">
        <f t="shared" si="419"/>
        <v>10532.16174048201</v>
      </c>
      <c r="BU102" s="1467">
        <f t="shared" si="420"/>
        <v>8425.7293923852667</v>
      </c>
      <c r="BV102" s="1482"/>
    </row>
    <row r="103" spans="1:74" x14ac:dyDescent="0.2">
      <c r="A103" s="927" t="str">
        <f t="shared" si="421"/>
        <v>Sorghum (Starch).Accelerated</v>
      </c>
      <c r="B103" s="1076"/>
      <c r="C103" s="1076" t="str">
        <f t="shared" si="429"/>
        <v>Sorghum (Starch)</v>
      </c>
      <c r="D103" s="1076" t="str">
        <f>Assumptions!$AH$82</f>
        <v>Accelerated</v>
      </c>
      <c r="E103" s="1076" t="str">
        <f>'Sorgum (Starch)'!H257</f>
        <v>WDGS drying plant</v>
      </c>
      <c r="F103" s="1467">
        <f>SUM('Sorgum (Starch)'!J257:K257)*1000000</f>
        <v>14000000</v>
      </c>
      <c r="G103" s="1467">
        <f t="shared" si="422"/>
        <v>17325000</v>
      </c>
      <c r="H103" s="1467">
        <f t="shared" si="423"/>
        <v>19057500</v>
      </c>
      <c r="I103" s="1467">
        <f t="shared" si="424"/>
        <v>19057500</v>
      </c>
      <c r="J103" s="1076">
        <f t="shared" si="430"/>
        <v>0.2</v>
      </c>
      <c r="K103" s="1107"/>
      <c r="L103" s="1467">
        <f t="shared" si="425"/>
        <v>3811500</v>
      </c>
      <c r="M103" s="1467">
        <f>($I103-SUM($L103:L103))*$J103</f>
        <v>3049200</v>
      </c>
      <c r="N103" s="1467">
        <f>($I103-SUM($L103:M103))*$J103</f>
        <v>2439360</v>
      </c>
      <c r="O103" s="1467">
        <f>($I103-SUM($L103:N103))*$J103</f>
        <v>1951488</v>
      </c>
      <c r="P103" s="1467">
        <f>($I103-SUM($L103:O103))*$J103</f>
        <v>1561190.4000000001</v>
      </c>
      <c r="Q103" s="1467">
        <f>($I103-SUM($L103:P103))*$J103</f>
        <v>1248952.3200000001</v>
      </c>
      <c r="R103" s="1467">
        <f>($I103-SUM($L103:Q103))*$J103</f>
        <v>999161.85599999991</v>
      </c>
      <c r="S103" s="1467">
        <f>($I103-SUM($L103:R103))*$J103</f>
        <v>799329.48479999974</v>
      </c>
      <c r="T103" s="1467">
        <f>($I103-SUM($L103:S103))*$J103</f>
        <v>639463.58783999982</v>
      </c>
      <c r="U103" s="1467">
        <f>($I103-SUM($L103:T103))*$J103</f>
        <v>511570.8702719998</v>
      </c>
      <c r="V103" s="1467">
        <f>($I103-SUM($L103:U103))*$J103</f>
        <v>409256.69621759956</v>
      </c>
      <c r="W103" s="1467">
        <f>($I103-SUM($L103:V103))*$J103</f>
        <v>327405.35697407951</v>
      </c>
      <c r="X103" s="1467">
        <f>($I103-SUM($L103:W103))*$J103</f>
        <v>261924.28557926344</v>
      </c>
      <c r="Y103" s="1467">
        <f>($I103-SUM($L103:X103))*$J103</f>
        <v>209539.42846341059</v>
      </c>
      <c r="Z103" s="1467">
        <f>($I103-SUM($L103:Y103))*$J103</f>
        <v>167631.54277072847</v>
      </c>
      <c r="AA103" s="1467">
        <f>($I103-SUM($L103:Z103))*$J103</f>
        <v>134105.23421658279</v>
      </c>
      <c r="AB103" s="1467">
        <f>($I103-SUM($L103:AA103))*$J103</f>
        <v>107284.18737326638</v>
      </c>
      <c r="AC103" s="1467">
        <f>($I103-SUM($L103:AB103))*$J103</f>
        <v>85827.349898613247</v>
      </c>
      <c r="AD103" s="1467">
        <f>($I103-SUM($L103:AC103))*$J103</f>
        <v>68661.879918890452</v>
      </c>
      <c r="AE103" s="1467">
        <f>($I103-SUM($L103:AD103))*$J103</f>
        <v>54929.503935112065</v>
      </c>
      <c r="AF103" s="1467">
        <f>($I103-SUM($L103:AE103))*$J103</f>
        <v>43943.603148089351</v>
      </c>
      <c r="AG103" s="1467">
        <f>($I103-SUM($L103:AF103))*$J103</f>
        <v>35154.882518471779</v>
      </c>
      <c r="AH103" s="1467">
        <f>($I103-SUM($L103:AG103))*$J103</f>
        <v>28123.90601477772</v>
      </c>
      <c r="AI103" s="1467">
        <f>($I103-SUM($L103:AH103))*$J103</f>
        <v>22499.124811822177</v>
      </c>
      <c r="AJ103" s="1467">
        <f>($I103-SUM($L103:AI103))*$J103</f>
        <v>17999.299849458039</v>
      </c>
      <c r="AK103" s="1467">
        <f>($I103-SUM($L103:AJ103))*$J103</f>
        <v>14399.439879566431</v>
      </c>
      <c r="AL103" s="1467">
        <f>($I103-SUM($L103:AK103))*$J103</f>
        <v>11519.551903653146</v>
      </c>
      <c r="AM103" s="1467">
        <f>($I103-SUM($L103:AL103))*$J103</f>
        <v>9215.6415229223676</v>
      </c>
      <c r="AN103" s="1467">
        <f>($I103-SUM($L103:AM103))*$J103</f>
        <v>7372.5132183380429</v>
      </c>
      <c r="AO103" s="1467">
        <f>($I103-SUM($L103:AN103))*$J103</f>
        <v>5898.0105746701365</v>
      </c>
      <c r="AP103" s="1468">
        <f t="shared" si="426"/>
        <v>19033907.957701318</v>
      </c>
      <c r="AQ103" s="1482"/>
      <c r="AR103" s="1467">
        <f t="shared" si="427"/>
        <v>15246000</v>
      </c>
      <c r="AS103" s="1467">
        <f t="shared" si="428"/>
        <v>12196800</v>
      </c>
      <c r="AT103" s="1467">
        <f t="shared" si="393"/>
        <v>9757440</v>
      </c>
      <c r="AU103" s="1467">
        <f t="shared" si="394"/>
        <v>7805952</v>
      </c>
      <c r="AV103" s="1467">
        <f t="shared" si="395"/>
        <v>6244761.5999999996</v>
      </c>
      <c r="AW103" s="1467">
        <f t="shared" si="396"/>
        <v>4995809.2799999993</v>
      </c>
      <c r="AX103" s="1467">
        <f t="shared" si="397"/>
        <v>3996647.4239999996</v>
      </c>
      <c r="AY103" s="1467">
        <f t="shared" si="398"/>
        <v>3197317.9391999999</v>
      </c>
      <c r="AZ103" s="1467">
        <f t="shared" si="399"/>
        <v>2557854.3513600002</v>
      </c>
      <c r="BA103" s="1467">
        <f t="shared" si="400"/>
        <v>2046283.4810880003</v>
      </c>
      <c r="BB103" s="1467">
        <f t="shared" si="401"/>
        <v>1637026.7848704008</v>
      </c>
      <c r="BC103" s="1467">
        <f t="shared" si="402"/>
        <v>1309621.4278963213</v>
      </c>
      <c r="BD103" s="1467">
        <f t="shared" si="403"/>
        <v>1047697.1423170578</v>
      </c>
      <c r="BE103" s="1467">
        <f t="shared" si="404"/>
        <v>838157.71385364723</v>
      </c>
      <c r="BF103" s="1467">
        <f t="shared" si="405"/>
        <v>670526.17108291877</v>
      </c>
      <c r="BG103" s="1467">
        <f t="shared" si="406"/>
        <v>536420.93686633604</v>
      </c>
      <c r="BH103" s="1467">
        <f t="shared" si="407"/>
        <v>429136.74949306966</v>
      </c>
      <c r="BI103" s="1467">
        <f t="shared" si="408"/>
        <v>343309.39959445642</v>
      </c>
      <c r="BJ103" s="1467">
        <f t="shared" si="409"/>
        <v>274647.519675566</v>
      </c>
      <c r="BK103" s="1467">
        <f t="shared" si="410"/>
        <v>219718.01574045393</v>
      </c>
      <c r="BL103" s="1467">
        <f t="shared" si="411"/>
        <v>175774.41259236459</v>
      </c>
      <c r="BM103" s="1467">
        <f t="shared" si="412"/>
        <v>140619.53007389282</v>
      </c>
      <c r="BN103" s="1467">
        <f t="shared" si="413"/>
        <v>112495.6240591151</v>
      </c>
      <c r="BO103" s="1467">
        <f t="shared" si="414"/>
        <v>89996.49924729293</v>
      </c>
      <c r="BP103" s="1467">
        <f t="shared" si="415"/>
        <v>71997.199397834891</v>
      </c>
      <c r="BQ103" s="1467">
        <f t="shared" si="416"/>
        <v>57597.75951826846</v>
      </c>
      <c r="BR103" s="1467">
        <f t="shared" si="417"/>
        <v>46078.207614615312</v>
      </c>
      <c r="BS103" s="1467">
        <f t="shared" si="418"/>
        <v>36862.566091692948</v>
      </c>
      <c r="BT103" s="1467">
        <f t="shared" si="419"/>
        <v>29490.052873354907</v>
      </c>
      <c r="BU103" s="1467">
        <f t="shared" si="420"/>
        <v>23592.04229868477</v>
      </c>
      <c r="BV103" s="1482"/>
    </row>
    <row r="104" spans="1:74" x14ac:dyDescent="0.2">
      <c r="A104" s="927" t="str">
        <f t="shared" si="421"/>
        <v>Sorghum (Starch).Accelerated</v>
      </c>
      <c r="B104" s="1076"/>
      <c r="C104" s="1076" t="str">
        <f t="shared" si="429"/>
        <v>Sorghum (Starch)</v>
      </c>
      <c r="D104" s="1076" t="str">
        <f>Assumptions!$AH$82</f>
        <v>Accelerated</v>
      </c>
      <c r="E104" s="1076" t="str">
        <f>'Sorgum (Starch)'!H258</f>
        <v>Stockfeed plant - bran, germ, DDGS</v>
      </c>
      <c r="F104" s="1467">
        <f>SUM('Sorgum (Starch)'!J258:K258)*1000000</f>
        <v>4000000</v>
      </c>
      <c r="G104" s="1467">
        <f t="shared" si="422"/>
        <v>4950000</v>
      </c>
      <c r="H104" s="1467">
        <f t="shared" si="423"/>
        <v>5445000</v>
      </c>
      <c r="I104" s="1467">
        <f t="shared" si="424"/>
        <v>5445000</v>
      </c>
      <c r="J104" s="1076">
        <f t="shared" si="430"/>
        <v>0.2</v>
      </c>
      <c r="K104" s="1107"/>
      <c r="L104" s="1467">
        <f t="shared" si="425"/>
        <v>1089000</v>
      </c>
      <c r="M104" s="1467">
        <f>($I104-SUM($L104:L104))*$J104</f>
        <v>871200</v>
      </c>
      <c r="N104" s="1467">
        <f>($I104-SUM($L104:M104))*$J104</f>
        <v>696960</v>
      </c>
      <c r="O104" s="1467">
        <f>($I104-SUM($L104:N104))*$J104</f>
        <v>557568</v>
      </c>
      <c r="P104" s="1467">
        <f>($I104-SUM($L104:O104))*$J104</f>
        <v>446054.40000000002</v>
      </c>
      <c r="Q104" s="1467">
        <f>($I104-SUM($L104:P104))*$J104</f>
        <v>356843.52000000002</v>
      </c>
      <c r="R104" s="1467">
        <f>($I104-SUM($L104:Q104))*$J104</f>
        <v>285474.81600000005</v>
      </c>
      <c r="S104" s="1467">
        <f>($I104-SUM($L104:R104))*$J104</f>
        <v>228379.85280000011</v>
      </c>
      <c r="T104" s="1467">
        <f>($I104-SUM($L104:S104))*$J104</f>
        <v>182703.88224000001</v>
      </c>
      <c r="U104" s="1467">
        <f>($I104-SUM($L104:T104))*$J104</f>
        <v>146163.10579199996</v>
      </c>
      <c r="V104" s="1467">
        <f>($I104-SUM($L104:U104))*$J104</f>
        <v>116930.48463359998</v>
      </c>
      <c r="W104" s="1467">
        <f>($I104-SUM($L104:V104))*$J104</f>
        <v>93544.387706879905</v>
      </c>
      <c r="X104" s="1467">
        <f>($I104-SUM($L104:W104))*$J104</f>
        <v>74835.510165503991</v>
      </c>
      <c r="Y104" s="1467">
        <f>($I104-SUM($L104:X104))*$J104</f>
        <v>59868.408132403158</v>
      </c>
      <c r="Z104" s="1467">
        <f>($I104-SUM($L104:Y104))*$J104</f>
        <v>47894.726505922532</v>
      </c>
      <c r="AA104" s="1467">
        <f>($I104-SUM($L104:Z104))*$J104</f>
        <v>38315.781204738094</v>
      </c>
      <c r="AB104" s="1467">
        <f>($I104-SUM($L104:AA104))*$J104</f>
        <v>30652.624963790553</v>
      </c>
      <c r="AC104" s="1467">
        <f>($I104-SUM($L104:AB104))*$J104</f>
        <v>24522.099971032516</v>
      </c>
      <c r="AD104" s="1467">
        <f>($I104-SUM($L104:AC104))*$J104</f>
        <v>19617.679976825977</v>
      </c>
      <c r="AE104" s="1467">
        <f>($I104-SUM($L104:AD104))*$J104</f>
        <v>15694.143981460855</v>
      </c>
      <c r="AF104" s="1467">
        <f>($I104-SUM($L104:AE104))*$J104</f>
        <v>12555.315185168758</v>
      </c>
      <c r="AG104" s="1467">
        <f>($I104-SUM($L104:AF104))*$J104</f>
        <v>10044.252148135007</v>
      </c>
      <c r="AH104" s="1467">
        <f>($I104-SUM($L104:AG104))*$J104</f>
        <v>8035.4017185080802</v>
      </c>
      <c r="AI104" s="1467">
        <f>($I104-SUM($L104:AH104))*$J104</f>
        <v>6428.3213748063899</v>
      </c>
      <c r="AJ104" s="1467">
        <f>($I104-SUM($L104:AI104))*$J104</f>
        <v>5142.6570998450743</v>
      </c>
      <c r="AK104" s="1467">
        <f>($I104-SUM($L104:AJ104))*$J104</f>
        <v>4114.1256798760969</v>
      </c>
      <c r="AL104" s="1467">
        <f>($I104-SUM($L104:AK104))*$J104</f>
        <v>3291.3005439009521</v>
      </c>
      <c r="AM104" s="1467">
        <f>($I104-SUM($L104:AL104))*$J104</f>
        <v>2633.0404351208363</v>
      </c>
      <c r="AN104" s="1467">
        <f>($I104-SUM($L104:AM104))*$J104</f>
        <v>2106.4323480967432</v>
      </c>
      <c r="AO104" s="1467">
        <f>($I104-SUM($L104:AN104))*$J104</f>
        <v>1685.1458784773947</v>
      </c>
      <c r="AP104" s="1468">
        <f t="shared" si="426"/>
        <v>5438259.41648609</v>
      </c>
      <c r="AQ104" s="1482"/>
      <c r="AR104" s="1467">
        <f t="shared" si="427"/>
        <v>4356000</v>
      </c>
      <c r="AS104" s="1467">
        <f t="shared" si="428"/>
        <v>3484800</v>
      </c>
      <c r="AT104" s="1467">
        <f t="shared" si="393"/>
        <v>2787840</v>
      </c>
      <c r="AU104" s="1467">
        <f t="shared" si="394"/>
        <v>2230272</v>
      </c>
      <c r="AV104" s="1467">
        <f t="shared" si="395"/>
        <v>1784217.6000000001</v>
      </c>
      <c r="AW104" s="1467">
        <f t="shared" si="396"/>
        <v>1427374.0800000001</v>
      </c>
      <c r="AX104" s="1467">
        <f t="shared" si="397"/>
        <v>1141899.264</v>
      </c>
      <c r="AY104" s="1467">
        <f t="shared" si="398"/>
        <v>913519.41119999986</v>
      </c>
      <c r="AZ104" s="1467">
        <f t="shared" si="399"/>
        <v>730815.52895999979</v>
      </c>
      <c r="BA104" s="1467">
        <f t="shared" si="400"/>
        <v>584652.42316799983</v>
      </c>
      <c r="BB104" s="1467">
        <f t="shared" si="401"/>
        <v>467721.93853439984</v>
      </c>
      <c r="BC104" s="1467">
        <f t="shared" si="402"/>
        <v>374177.55082751997</v>
      </c>
      <c r="BD104" s="1467">
        <f t="shared" si="403"/>
        <v>299342.04066201596</v>
      </c>
      <c r="BE104" s="1467">
        <f t="shared" si="404"/>
        <v>239473.63252961281</v>
      </c>
      <c r="BF104" s="1467">
        <f t="shared" si="405"/>
        <v>191578.90602369027</v>
      </c>
      <c r="BG104" s="1467">
        <f t="shared" si="406"/>
        <v>153263.12481895217</v>
      </c>
      <c r="BH104" s="1467">
        <f t="shared" si="407"/>
        <v>122610.49985516162</v>
      </c>
      <c r="BI104" s="1467">
        <f t="shared" si="408"/>
        <v>98088.399884129103</v>
      </c>
      <c r="BJ104" s="1467">
        <f t="shared" si="409"/>
        <v>78470.719907303122</v>
      </c>
      <c r="BK104" s="1467">
        <f t="shared" si="410"/>
        <v>62776.575925842269</v>
      </c>
      <c r="BL104" s="1467">
        <f t="shared" si="411"/>
        <v>50221.260740673511</v>
      </c>
      <c r="BM104" s="1467">
        <f t="shared" si="412"/>
        <v>40177.008592538506</v>
      </c>
      <c r="BN104" s="1467">
        <f t="shared" si="413"/>
        <v>32141.606874030425</v>
      </c>
      <c r="BO104" s="1467">
        <f t="shared" si="414"/>
        <v>25713.285499224035</v>
      </c>
      <c r="BP104" s="1467">
        <f t="shared" si="415"/>
        <v>20570.628399378962</v>
      </c>
      <c r="BQ104" s="1467">
        <f t="shared" si="416"/>
        <v>16456.502719502867</v>
      </c>
      <c r="BR104" s="1467">
        <f t="shared" si="417"/>
        <v>13165.202175601915</v>
      </c>
      <c r="BS104" s="1467">
        <f t="shared" si="418"/>
        <v>10532.161740481079</v>
      </c>
      <c r="BT104" s="1467">
        <f t="shared" si="419"/>
        <v>8425.7293923843354</v>
      </c>
      <c r="BU104" s="1467">
        <f t="shared" si="420"/>
        <v>6740.5835139069404</v>
      </c>
      <c r="BV104" s="1482"/>
    </row>
    <row r="105" spans="1:74" x14ac:dyDescent="0.2">
      <c r="A105" s="927" t="str">
        <f t="shared" si="421"/>
        <v>Sorghum (Starch).Accelerated</v>
      </c>
      <c r="B105" s="1076"/>
      <c r="C105" s="1076" t="str">
        <f t="shared" si="429"/>
        <v>Sorghum (Starch)</v>
      </c>
      <c r="D105" s="1076" t="str">
        <f>Assumptions!$AH$82</f>
        <v>Accelerated</v>
      </c>
      <c r="E105" s="1076" t="str">
        <f>'Sorgum (Starch)'!H259</f>
        <v>Biogas Plant</v>
      </c>
      <c r="F105" s="1467">
        <f>SUM('Sorgum (Starch)'!J259:K259)*1000000</f>
        <v>13000000</v>
      </c>
      <c r="G105" s="1467">
        <f t="shared" si="422"/>
        <v>16087500</v>
      </c>
      <c r="H105" s="1467">
        <f t="shared" si="423"/>
        <v>17696250</v>
      </c>
      <c r="I105" s="1467">
        <f t="shared" si="424"/>
        <v>17696250</v>
      </c>
      <c r="J105" s="1076">
        <f t="shared" si="430"/>
        <v>0.2</v>
      </c>
      <c r="K105" s="1107"/>
      <c r="L105" s="1467">
        <f t="shared" si="425"/>
        <v>3539250</v>
      </c>
      <c r="M105" s="1467">
        <f>($I105-SUM($L105:L105))*$J105</f>
        <v>2831400</v>
      </c>
      <c r="N105" s="1467">
        <f>($I105-SUM($L105:M105))*$J105</f>
        <v>2265120</v>
      </c>
      <c r="O105" s="1467">
        <f>($I105-SUM($L105:N105))*$J105</f>
        <v>1812096</v>
      </c>
      <c r="P105" s="1467">
        <f>($I105-SUM($L105:O105))*$J105</f>
        <v>1449676.8</v>
      </c>
      <c r="Q105" s="1467">
        <f>($I105-SUM($L105:P105))*$J105</f>
        <v>1159741.4399999999</v>
      </c>
      <c r="R105" s="1467">
        <f>($I105-SUM($L105:Q105))*$J105</f>
        <v>927793.152</v>
      </c>
      <c r="S105" s="1467">
        <f>($I105-SUM($L105:R105))*$J105</f>
        <v>742234.52159999986</v>
      </c>
      <c r="T105" s="1467">
        <f>($I105-SUM($L105:S105))*$J105</f>
        <v>593787.61727999977</v>
      </c>
      <c r="U105" s="1467">
        <f>($I105-SUM($L105:T105))*$J105</f>
        <v>475030.09382399992</v>
      </c>
      <c r="V105" s="1467">
        <f>($I105-SUM($L105:U105))*$J105</f>
        <v>380024.07505920011</v>
      </c>
      <c r="W105" s="1467">
        <f>($I105-SUM($L105:V105))*$J105</f>
        <v>304019.26004736015</v>
      </c>
      <c r="X105" s="1467">
        <f>($I105-SUM($L105:W105))*$J105</f>
        <v>243215.40803788826</v>
      </c>
      <c r="Y105" s="1467">
        <f>($I105-SUM($L105:X105))*$J105</f>
        <v>194572.3264303107</v>
      </c>
      <c r="Z105" s="1467">
        <f>($I105-SUM($L105:Y105))*$J105</f>
        <v>155657.8611442484</v>
      </c>
      <c r="AA105" s="1467">
        <f>($I105-SUM($L105:Z105))*$J105</f>
        <v>124526.28891539872</v>
      </c>
      <c r="AB105" s="1467">
        <f>($I105-SUM($L105:AA105))*$J105</f>
        <v>99621.031132318836</v>
      </c>
      <c r="AC105" s="1467">
        <f>($I105-SUM($L105:AB105))*$J105</f>
        <v>79696.824905855217</v>
      </c>
      <c r="AD105" s="1467">
        <f>($I105-SUM($L105:AC105))*$J105</f>
        <v>63757.459924684466</v>
      </c>
      <c r="AE105" s="1467">
        <f>($I105-SUM($L105:AD105))*$J105</f>
        <v>51005.967939747876</v>
      </c>
      <c r="AF105" s="1467">
        <f>($I105-SUM($L105:AE105))*$J105</f>
        <v>40804.774351797998</v>
      </c>
      <c r="AG105" s="1467">
        <f>($I105-SUM($L105:AF105))*$J105</f>
        <v>32643.819481438401</v>
      </c>
      <c r="AH105" s="1467">
        <f>($I105-SUM($L105:AG105))*$J105</f>
        <v>26115.055585150421</v>
      </c>
      <c r="AI105" s="1467">
        <f>($I105-SUM($L105:AH105))*$J105</f>
        <v>20892.044468120486</v>
      </c>
      <c r="AJ105" s="1467">
        <f>($I105-SUM($L105:AI105))*$J105</f>
        <v>16713.635574496537</v>
      </c>
      <c r="AK105" s="1467">
        <f>($I105-SUM($L105:AJ105))*$J105</f>
        <v>13370.908459597082</v>
      </c>
      <c r="AL105" s="1467">
        <f>($I105-SUM($L105:AK105))*$J105</f>
        <v>10696.726767677814</v>
      </c>
      <c r="AM105" s="1467">
        <f>($I105-SUM($L105:AL105))*$J105</f>
        <v>8557.3814141422517</v>
      </c>
      <c r="AN105" s="1467">
        <f>($I105-SUM($L105:AM105))*$J105</f>
        <v>6845.9051313139498</v>
      </c>
      <c r="AO105" s="1467">
        <f>($I105-SUM($L105:AN105))*$J105</f>
        <v>5476.7241050511602</v>
      </c>
      <c r="AP105" s="1468">
        <f t="shared" si="426"/>
        <v>17674343.103579797</v>
      </c>
      <c r="AQ105" s="1482"/>
      <c r="AR105" s="1467">
        <f t="shared" si="427"/>
        <v>14157000</v>
      </c>
      <c r="AS105" s="1467">
        <f t="shared" si="428"/>
        <v>11325600</v>
      </c>
      <c r="AT105" s="1467">
        <f t="shared" si="393"/>
        <v>9060480</v>
      </c>
      <c r="AU105" s="1467">
        <f t="shared" si="394"/>
        <v>7248384</v>
      </c>
      <c r="AV105" s="1467">
        <f t="shared" si="395"/>
        <v>5798707.2000000002</v>
      </c>
      <c r="AW105" s="1467">
        <f t="shared" si="396"/>
        <v>4638965.7599999998</v>
      </c>
      <c r="AX105" s="1467">
        <f t="shared" si="397"/>
        <v>3711172.608</v>
      </c>
      <c r="AY105" s="1467">
        <f t="shared" si="398"/>
        <v>2968938.0864000004</v>
      </c>
      <c r="AZ105" s="1467">
        <f t="shared" si="399"/>
        <v>2375150.4691200005</v>
      </c>
      <c r="BA105" s="1467">
        <f t="shared" si="400"/>
        <v>1900120.3752960006</v>
      </c>
      <c r="BB105" s="1467">
        <f t="shared" si="401"/>
        <v>1520096.3002368005</v>
      </c>
      <c r="BC105" s="1467">
        <f t="shared" si="402"/>
        <v>1216077.0401894404</v>
      </c>
      <c r="BD105" s="1467">
        <f t="shared" si="403"/>
        <v>972861.63215155213</v>
      </c>
      <c r="BE105" s="1467">
        <f t="shared" si="404"/>
        <v>778289.3057212414</v>
      </c>
      <c r="BF105" s="1467">
        <f t="shared" si="405"/>
        <v>622631.444576993</v>
      </c>
      <c r="BG105" s="1467">
        <f t="shared" si="406"/>
        <v>498105.1556615943</v>
      </c>
      <c r="BH105" s="1467">
        <f t="shared" si="407"/>
        <v>398484.12452927546</v>
      </c>
      <c r="BI105" s="1467">
        <f t="shared" si="408"/>
        <v>318787.29962342023</v>
      </c>
      <c r="BJ105" s="1467">
        <f t="shared" si="409"/>
        <v>255029.83969873577</v>
      </c>
      <c r="BK105" s="1467">
        <f t="shared" si="410"/>
        <v>204023.87175898789</v>
      </c>
      <c r="BL105" s="1467">
        <f t="shared" si="411"/>
        <v>163219.0974071899</v>
      </c>
      <c r="BM105" s="1467">
        <f t="shared" si="412"/>
        <v>130575.27792575149</v>
      </c>
      <c r="BN105" s="1467">
        <f t="shared" si="413"/>
        <v>104460.22234060107</v>
      </c>
      <c r="BO105" s="1467">
        <f t="shared" si="414"/>
        <v>83568.177872480592</v>
      </c>
      <c r="BP105" s="1467">
        <f t="shared" si="415"/>
        <v>66854.542297984051</v>
      </c>
      <c r="BQ105" s="1467">
        <f t="shared" si="416"/>
        <v>53483.633838386973</v>
      </c>
      <c r="BR105" s="1467">
        <f t="shared" si="417"/>
        <v>42786.90707070916</v>
      </c>
      <c r="BS105" s="1467">
        <f t="shared" si="418"/>
        <v>34229.525656566911</v>
      </c>
      <c r="BT105" s="1467">
        <f t="shared" si="419"/>
        <v>27383.620525252962</v>
      </c>
      <c r="BU105" s="1467">
        <f t="shared" si="420"/>
        <v>21906.896420201803</v>
      </c>
      <c r="BV105" s="1482"/>
    </row>
    <row r="106" spans="1:74" x14ac:dyDescent="0.2">
      <c r="A106" s="927" t="str">
        <f t="shared" si="421"/>
        <v>Sorghum (Starch).Accelerated</v>
      </c>
      <c r="B106" s="1076"/>
      <c r="C106" s="1076" t="str">
        <f t="shared" si="429"/>
        <v>Sorghum (Starch)</v>
      </c>
      <c r="D106" s="1076" t="str">
        <f>Assumptions!$AH$82</f>
        <v>Accelerated</v>
      </c>
      <c r="E106" s="1076" t="str">
        <f>'Sorgum (Starch)'!H260</f>
        <v>Cogeneration Plant</v>
      </c>
      <c r="F106" s="1467">
        <f>SUM('Sorgum (Starch)'!J260:K260)*1000000</f>
        <v>10000000</v>
      </c>
      <c r="G106" s="1467">
        <f t="shared" si="422"/>
        <v>12375000</v>
      </c>
      <c r="H106" s="1467">
        <f t="shared" si="423"/>
        <v>13612500.000000002</v>
      </c>
      <c r="I106" s="1467">
        <f t="shared" si="424"/>
        <v>13612500.000000002</v>
      </c>
      <c r="J106" s="1076">
        <f t="shared" si="430"/>
        <v>0.2</v>
      </c>
      <c r="K106" s="1107"/>
      <c r="L106" s="1467">
        <f t="shared" si="425"/>
        <v>2722500.0000000005</v>
      </c>
      <c r="M106" s="1467">
        <f>($I106-SUM($L106:L106))*$J106</f>
        <v>2178000.0000000005</v>
      </c>
      <c r="N106" s="1467">
        <f>($I106-SUM($L106:M106))*$J106</f>
        <v>1742400</v>
      </c>
      <c r="O106" s="1467">
        <f>($I106-SUM($L106:N106))*$J106</f>
        <v>1393920.0000000002</v>
      </c>
      <c r="P106" s="1467">
        <f>($I106-SUM($L106:O106))*$J106</f>
        <v>1115136.0000000002</v>
      </c>
      <c r="Q106" s="1467">
        <f>($I106-SUM($L106:P106))*$J106</f>
        <v>892108.80000000005</v>
      </c>
      <c r="R106" s="1467">
        <f>($I106-SUM($L106:Q106))*$J106</f>
        <v>713687.03999999992</v>
      </c>
      <c r="S106" s="1467">
        <f>($I106-SUM($L106:R106))*$J106</f>
        <v>570949.6320000001</v>
      </c>
      <c r="T106" s="1467">
        <f>($I106-SUM($L106:S106))*$J106</f>
        <v>456759.70560000022</v>
      </c>
      <c r="U106" s="1467">
        <f>($I106-SUM($L106:T106))*$J106</f>
        <v>365407.76448000001</v>
      </c>
      <c r="V106" s="1467">
        <f>($I106-SUM($L106:U106))*$J106</f>
        <v>292326.21158399992</v>
      </c>
      <c r="W106" s="1467">
        <f>($I106-SUM($L106:V106))*$J106</f>
        <v>233860.96926719995</v>
      </c>
      <c r="X106" s="1467">
        <f>($I106-SUM($L106:W106))*$J106</f>
        <v>187088.77541375981</v>
      </c>
      <c r="Y106" s="1467">
        <f>($I106-SUM($L106:X106))*$J106</f>
        <v>149671.02033100798</v>
      </c>
      <c r="Z106" s="1467">
        <f>($I106-SUM($L106:Y106))*$J106</f>
        <v>119736.81626480632</v>
      </c>
      <c r="AA106" s="1467">
        <f>($I106-SUM($L106:Z106))*$J106</f>
        <v>95789.453011845064</v>
      </c>
      <c r="AB106" s="1467">
        <f>($I106-SUM($L106:AA106))*$J106</f>
        <v>76631.562409476188</v>
      </c>
      <c r="AC106" s="1467">
        <f>($I106-SUM($L106:AB106))*$J106</f>
        <v>61305.249927581106</v>
      </c>
      <c r="AD106" s="1467">
        <f>($I106-SUM($L106:AC106))*$J106</f>
        <v>49044.199942065032</v>
      </c>
      <c r="AE106" s="1467">
        <f>($I106-SUM($L106:AD106))*$J106</f>
        <v>39235.359953651954</v>
      </c>
      <c r="AF106" s="1467">
        <f>($I106-SUM($L106:AE106))*$J106</f>
        <v>31388.28796292171</v>
      </c>
      <c r="AG106" s="1467">
        <f>($I106-SUM($L106:AF106))*$J106</f>
        <v>25110.630370337516</v>
      </c>
      <c r="AH106" s="1467">
        <f>($I106-SUM($L106:AG106))*$J106</f>
        <v>20088.504296270014</v>
      </c>
      <c r="AI106" s="1467">
        <f>($I106-SUM($L106:AH106))*$J106</f>
        <v>16070.80343701616</v>
      </c>
      <c r="AJ106" s="1467">
        <f>($I106-SUM($L106:AI106))*$J106</f>
        <v>12856.64274961278</v>
      </c>
      <c r="AK106" s="1467">
        <f>($I106-SUM($L106:AJ106))*$J106</f>
        <v>10285.314199690149</v>
      </c>
      <c r="AL106" s="1467">
        <f>($I106-SUM($L106:AK106))*$J106</f>
        <v>8228.2513597521938</v>
      </c>
      <c r="AM106" s="1467">
        <f>($I106-SUM($L106:AL106))*$J106</f>
        <v>6582.6010878019042</v>
      </c>
      <c r="AN106" s="1467">
        <f>($I106-SUM($L106:AM106))*$J106</f>
        <v>5266.0808702416725</v>
      </c>
      <c r="AO106" s="1467">
        <f>($I106-SUM($L106:AN106))*$J106</f>
        <v>4212.8646961934865</v>
      </c>
      <c r="AP106" s="1468">
        <f t="shared" si="426"/>
        <v>13595648.541215228</v>
      </c>
      <c r="AQ106" s="1482"/>
      <c r="AR106" s="1467">
        <f t="shared" si="427"/>
        <v>10890000.000000002</v>
      </c>
      <c r="AS106" s="1467">
        <f t="shared" si="428"/>
        <v>8712000.0000000019</v>
      </c>
      <c r="AT106" s="1467">
        <f t="shared" si="393"/>
        <v>6969600.0000000019</v>
      </c>
      <c r="AU106" s="1467">
        <f t="shared" si="394"/>
        <v>5575680.0000000019</v>
      </c>
      <c r="AV106" s="1467">
        <f t="shared" si="395"/>
        <v>4460544.0000000019</v>
      </c>
      <c r="AW106" s="1467">
        <f t="shared" si="396"/>
        <v>3568435.200000002</v>
      </c>
      <c r="AX106" s="1467">
        <f t="shared" si="397"/>
        <v>2854748.160000002</v>
      </c>
      <c r="AY106" s="1467">
        <f t="shared" si="398"/>
        <v>2283798.5280000018</v>
      </c>
      <c r="AZ106" s="1467">
        <f t="shared" si="399"/>
        <v>1827038.8224000016</v>
      </c>
      <c r="BA106" s="1467">
        <f t="shared" si="400"/>
        <v>1461631.0579200014</v>
      </c>
      <c r="BB106" s="1467">
        <f t="shared" si="401"/>
        <v>1169304.8463360015</v>
      </c>
      <c r="BC106" s="1467">
        <f t="shared" si="402"/>
        <v>935443.87706880155</v>
      </c>
      <c r="BD106" s="1467">
        <f t="shared" si="403"/>
        <v>748355.1016550418</v>
      </c>
      <c r="BE106" s="1467">
        <f t="shared" si="404"/>
        <v>598684.08132403379</v>
      </c>
      <c r="BF106" s="1467">
        <f t="shared" si="405"/>
        <v>478947.26505922747</v>
      </c>
      <c r="BG106" s="1467">
        <f t="shared" si="406"/>
        <v>383157.81204738241</v>
      </c>
      <c r="BH106" s="1467">
        <f t="shared" si="407"/>
        <v>306526.24963790621</v>
      </c>
      <c r="BI106" s="1467">
        <f t="shared" si="408"/>
        <v>245220.99971032509</v>
      </c>
      <c r="BJ106" s="1467">
        <f t="shared" si="409"/>
        <v>196176.79976826007</v>
      </c>
      <c r="BK106" s="1467">
        <f t="shared" si="410"/>
        <v>156941.43981460811</v>
      </c>
      <c r="BL106" s="1467">
        <f t="shared" si="411"/>
        <v>125553.1518516864</v>
      </c>
      <c r="BM106" s="1467">
        <f t="shared" si="412"/>
        <v>100442.52148134889</v>
      </c>
      <c r="BN106" s="1467">
        <f t="shared" si="413"/>
        <v>80354.017185078876</v>
      </c>
      <c r="BO106" s="1467">
        <f t="shared" si="414"/>
        <v>64283.213748062713</v>
      </c>
      <c r="BP106" s="1467">
        <f t="shared" si="415"/>
        <v>51426.570998449934</v>
      </c>
      <c r="BQ106" s="1467">
        <f t="shared" si="416"/>
        <v>41141.256798759787</v>
      </c>
      <c r="BR106" s="1467">
        <f t="shared" si="417"/>
        <v>32913.005439007597</v>
      </c>
      <c r="BS106" s="1467">
        <f t="shared" si="418"/>
        <v>26330.404351205692</v>
      </c>
      <c r="BT106" s="1467">
        <f t="shared" si="419"/>
        <v>21064.32348096402</v>
      </c>
      <c r="BU106" s="1467">
        <f t="shared" si="420"/>
        <v>16851.458784770533</v>
      </c>
      <c r="BV106" s="1482"/>
    </row>
    <row r="107" spans="1:74" x14ac:dyDescent="0.2">
      <c r="A107" s="927" t="str">
        <f t="shared" si="421"/>
        <v>Sorghum (Starch).Accelerated</v>
      </c>
      <c r="B107" s="1076"/>
      <c r="C107" s="1168" t="str">
        <f t="shared" si="429"/>
        <v>Sorghum (Starch)</v>
      </c>
      <c r="D107" s="1168" t="str">
        <f>Assumptions!$AH$82</f>
        <v>Accelerated</v>
      </c>
      <c r="E107" s="1168" t="str">
        <f>'Sorgum (Starch)'!H261</f>
        <v>Non-process buildings</v>
      </c>
      <c r="F107" s="1469">
        <f>SUM('Sorgum (Starch)'!J261:K261)*1000000</f>
        <v>5000000</v>
      </c>
      <c r="G107" s="1469">
        <f t="shared" si="422"/>
        <v>6187500</v>
      </c>
      <c r="H107" s="1469">
        <f t="shared" si="423"/>
        <v>6806250.0000000009</v>
      </c>
      <c r="I107" s="1469">
        <f t="shared" si="424"/>
        <v>6806250.0000000009</v>
      </c>
      <c r="J107" s="1168">
        <f t="shared" si="430"/>
        <v>0.2</v>
      </c>
      <c r="K107" s="1107"/>
      <c r="L107" s="1467">
        <f t="shared" si="425"/>
        <v>1361250.0000000002</v>
      </c>
      <c r="M107" s="1467">
        <f>($I107-SUM($L107:L107))*$J107</f>
        <v>1089000.0000000002</v>
      </c>
      <c r="N107" s="1467">
        <f>($I107-SUM($L107:M107))*$J107</f>
        <v>871200</v>
      </c>
      <c r="O107" s="1467">
        <f>($I107-SUM($L107:N107))*$J107</f>
        <v>696960.00000000012</v>
      </c>
      <c r="P107" s="1467">
        <f>($I107-SUM($L107:O107))*$J107</f>
        <v>557568.00000000012</v>
      </c>
      <c r="Q107" s="1467">
        <f>($I107-SUM($L107:P107))*$J107</f>
        <v>446054.40000000002</v>
      </c>
      <c r="R107" s="1467">
        <f>($I107-SUM($L107:Q107))*$J107</f>
        <v>356843.51999999996</v>
      </c>
      <c r="S107" s="1467">
        <f>($I107-SUM($L107:R107))*$J107</f>
        <v>285474.81600000005</v>
      </c>
      <c r="T107" s="1467">
        <f>($I107-SUM($L107:S107))*$J107</f>
        <v>228379.85280000011</v>
      </c>
      <c r="U107" s="1467">
        <f>($I107-SUM($L107:T107))*$J107</f>
        <v>182703.88224000001</v>
      </c>
      <c r="V107" s="1467">
        <f>($I107-SUM($L107:U107))*$J107</f>
        <v>146163.10579199996</v>
      </c>
      <c r="W107" s="1467">
        <f>($I107-SUM($L107:V107))*$J107</f>
        <v>116930.48463359998</v>
      </c>
      <c r="X107" s="1467">
        <f>($I107-SUM($L107:W107))*$J107</f>
        <v>93544.387706879905</v>
      </c>
      <c r="Y107" s="1467">
        <f>($I107-SUM($L107:X107))*$J107</f>
        <v>74835.510165503991</v>
      </c>
      <c r="Z107" s="1467">
        <f>($I107-SUM($L107:Y107))*$J107</f>
        <v>59868.408132403158</v>
      </c>
      <c r="AA107" s="1467">
        <f>($I107-SUM($L107:Z107))*$J107</f>
        <v>47894.726505922532</v>
      </c>
      <c r="AB107" s="1467">
        <f>($I107-SUM($L107:AA107))*$J107</f>
        <v>38315.781204738094</v>
      </c>
      <c r="AC107" s="1467">
        <f>($I107-SUM($L107:AB107))*$J107</f>
        <v>30652.624963790553</v>
      </c>
      <c r="AD107" s="1467">
        <f>($I107-SUM($L107:AC107))*$J107</f>
        <v>24522.099971032516</v>
      </c>
      <c r="AE107" s="1467">
        <f>($I107-SUM($L107:AD107))*$J107</f>
        <v>19617.679976825977</v>
      </c>
      <c r="AF107" s="1467">
        <f>($I107-SUM($L107:AE107))*$J107</f>
        <v>15694.143981460855</v>
      </c>
      <c r="AG107" s="1467">
        <f>($I107-SUM($L107:AF107))*$J107</f>
        <v>12555.315185168758</v>
      </c>
      <c r="AH107" s="1467">
        <f>($I107-SUM($L107:AG107))*$J107</f>
        <v>10044.252148135007</v>
      </c>
      <c r="AI107" s="1467">
        <f>($I107-SUM($L107:AH107))*$J107</f>
        <v>8035.4017185080802</v>
      </c>
      <c r="AJ107" s="1467">
        <f>($I107-SUM($L107:AI107))*$J107</f>
        <v>6428.3213748063899</v>
      </c>
      <c r="AK107" s="1467">
        <f>($I107-SUM($L107:AJ107))*$J107</f>
        <v>5142.6570998450743</v>
      </c>
      <c r="AL107" s="1467">
        <f>($I107-SUM($L107:AK107))*$J107</f>
        <v>4114.1256798760969</v>
      </c>
      <c r="AM107" s="1467">
        <f>($I107-SUM($L107:AL107))*$J107</f>
        <v>3291.3005439009521</v>
      </c>
      <c r="AN107" s="1467">
        <f>($I107-SUM($L107:AM107))*$J107</f>
        <v>2633.0404351208363</v>
      </c>
      <c r="AO107" s="1467">
        <f>($I107-SUM($L107:AN107))*$J107</f>
        <v>2106.4323480967432</v>
      </c>
      <c r="AP107" s="1468">
        <f t="shared" si="426"/>
        <v>6797824.270607614</v>
      </c>
      <c r="AQ107" s="1482"/>
      <c r="AR107" s="1467">
        <f t="shared" si="427"/>
        <v>5445000.0000000009</v>
      </c>
      <c r="AS107" s="1467">
        <f t="shared" si="428"/>
        <v>4356000.0000000009</v>
      </c>
      <c r="AT107" s="1467">
        <f t="shared" si="393"/>
        <v>3484800.0000000009</v>
      </c>
      <c r="AU107" s="1467">
        <f t="shared" si="394"/>
        <v>2787840.0000000009</v>
      </c>
      <c r="AV107" s="1467">
        <f t="shared" si="395"/>
        <v>2230272.0000000009</v>
      </c>
      <c r="AW107" s="1467">
        <f t="shared" si="396"/>
        <v>1784217.600000001</v>
      </c>
      <c r="AX107" s="1467">
        <f t="shared" si="397"/>
        <v>1427374.080000001</v>
      </c>
      <c r="AY107" s="1467">
        <f t="shared" si="398"/>
        <v>1141899.2640000009</v>
      </c>
      <c r="AZ107" s="1467">
        <f t="shared" si="399"/>
        <v>913519.41120000079</v>
      </c>
      <c r="BA107" s="1467">
        <f t="shared" si="400"/>
        <v>730815.52896000072</v>
      </c>
      <c r="BB107" s="1467">
        <f t="shared" si="401"/>
        <v>584652.42316800077</v>
      </c>
      <c r="BC107" s="1467">
        <f t="shared" si="402"/>
        <v>467721.93853440078</v>
      </c>
      <c r="BD107" s="1467">
        <f t="shared" si="403"/>
        <v>374177.5508275209</v>
      </c>
      <c r="BE107" s="1467">
        <f t="shared" si="404"/>
        <v>299342.04066201689</v>
      </c>
      <c r="BF107" s="1467">
        <f t="shared" si="405"/>
        <v>239473.63252961374</v>
      </c>
      <c r="BG107" s="1467">
        <f t="shared" si="406"/>
        <v>191578.9060236912</v>
      </c>
      <c r="BH107" s="1467">
        <f t="shared" si="407"/>
        <v>153263.1248189531</v>
      </c>
      <c r="BI107" s="1467">
        <f t="shared" si="408"/>
        <v>122610.49985516255</v>
      </c>
      <c r="BJ107" s="1467">
        <f t="shared" si="409"/>
        <v>98088.399884130034</v>
      </c>
      <c r="BK107" s="1467">
        <f t="shared" si="410"/>
        <v>78470.719907304054</v>
      </c>
      <c r="BL107" s="1467">
        <f t="shared" si="411"/>
        <v>62776.575925843201</v>
      </c>
      <c r="BM107" s="1467">
        <f t="shared" si="412"/>
        <v>50221.260740674443</v>
      </c>
      <c r="BN107" s="1467">
        <f t="shared" si="413"/>
        <v>40177.008592539438</v>
      </c>
      <c r="BO107" s="1467">
        <f t="shared" si="414"/>
        <v>32141.606874031357</v>
      </c>
      <c r="BP107" s="1467">
        <f t="shared" si="415"/>
        <v>25713.285499224967</v>
      </c>
      <c r="BQ107" s="1467">
        <f t="shared" si="416"/>
        <v>20570.628399379893</v>
      </c>
      <c r="BR107" s="1467">
        <f t="shared" si="417"/>
        <v>16456.502719503798</v>
      </c>
      <c r="BS107" s="1467">
        <f t="shared" si="418"/>
        <v>13165.202175602846</v>
      </c>
      <c r="BT107" s="1467">
        <f t="shared" si="419"/>
        <v>10532.16174048201</v>
      </c>
      <c r="BU107" s="1467">
        <f t="shared" si="420"/>
        <v>8425.7293923852667</v>
      </c>
      <c r="BV107" s="1482"/>
    </row>
    <row r="108" spans="1:74" x14ac:dyDescent="0.2">
      <c r="A108" s="927" t="str">
        <f t="shared" si="421"/>
        <v>Sorghum (Starch).Accelerated</v>
      </c>
      <c r="C108" s="1470" t="str">
        <f t="shared" si="429"/>
        <v>Sorghum (Starch)</v>
      </c>
      <c r="D108" s="1470" t="str">
        <f>Assumptions!$AH$82</f>
        <v>Accelerated</v>
      </c>
      <c r="E108" s="1470" t="s">
        <v>995</v>
      </c>
      <c r="F108" s="1470"/>
      <c r="G108" s="1471">
        <f>SUM('Sorgum (Starch)'!J264:K265)*10^6</f>
        <v>15000000</v>
      </c>
      <c r="H108" s="1471">
        <f t="shared" ref="H108" si="431">G108*(1+$F$5)</f>
        <v>16500000.000000002</v>
      </c>
      <c r="I108" s="1471">
        <f t="shared" ref="I108" si="432">H108*(1+$F$6)</f>
        <v>16500000.000000002</v>
      </c>
      <c r="J108" s="1470">
        <f t="shared" si="430"/>
        <v>0.2</v>
      </c>
      <c r="K108" s="1107"/>
      <c r="L108" s="1467">
        <f t="shared" si="425"/>
        <v>3300000.0000000005</v>
      </c>
      <c r="M108" s="1467">
        <f>($I108-SUM($L108:L108))*$J108</f>
        <v>2640000.0000000005</v>
      </c>
      <c r="N108" s="1467">
        <f>($I108-SUM($L108:M108))*$J108</f>
        <v>2112000</v>
      </c>
      <c r="O108" s="1467">
        <f>($I108-SUM($L108:N108))*$J108</f>
        <v>1689600</v>
      </c>
      <c r="P108" s="1467">
        <f>($I108-SUM($L108:O108))*$J108</f>
        <v>1351680.0000000005</v>
      </c>
      <c r="Q108" s="1467">
        <f>($I108-SUM($L108:P108))*$J108</f>
        <v>1081344.0000000005</v>
      </c>
      <c r="R108" s="1467">
        <f>($I108-SUM($L108:Q108))*$J108</f>
        <v>865075.20000000042</v>
      </c>
      <c r="S108" s="1467">
        <f>($I108-SUM($L108:R108))*$J108</f>
        <v>692060.16000000015</v>
      </c>
      <c r="T108" s="1467">
        <f>($I108-SUM($L108:S108))*$J108</f>
        <v>553648.12800000014</v>
      </c>
      <c r="U108" s="1467">
        <f>($I108-SUM($L108:T108))*$J108</f>
        <v>442918.50240000006</v>
      </c>
      <c r="V108" s="1467">
        <f>($I108-SUM($L108:U108))*$J108</f>
        <v>354334.80192000011</v>
      </c>
      <c r="W108" s="1467">
        <f>($I108-SUM($L108:V108))*$J108</f>
        <v>283467.84153600002</v>
      </c>
      <c r="X108" s="1467">
        <f>($I108-SUM($L108:W108))*$J108</f>
        <v>226774.27322879992</v>
      </c>
      <c r="Y108" s="1467">
        <f>($I108-SUM($L108:X108))*$J108</f>
        <v>181419.41858303995</v>
      </c>
      <c r="Z108" s="1467">
        <f>($I108-SUM($L108:Y108))*$J108</f>
        <v>145135.53486643211</v>
      </c>
      <c r="AA108" s="1467">
        <f>($I108-SUM($L108:Z108))*$J108</f>
        <v>116108.42789314577</v>
      </c>
      <c r="AB108" s="1467">
        <f>($I108-SUM($L108:AA108))*$J108</f>
        <v>92886.742314516756</v>
      </c>
      <c r="AC108" s="1467">
        <f>($I108-SUM($L108:AB108))*$J108</f>
        <v>74309.393851613262</v>
      </c>
      <c r="AD108" s="1467">
        <f>($I108-SUM($L108:AC108))*$J108</f>
        <v>59447.515081290534</v>
      </c>
      <c r="AE108" s="1467">
        <f>($I108-SUM($L108:AD108))*$J108</f>
        <v>47558.012065032497</v>
      </c>
      <c r="AF108" s="1467">
        <f>($I108-SUM($L108:AE108))*$J108</f>
        <v>38046.409652025999</v>
      </c>
      <c r="AG108" s="1467">
        <f>($I108-SUM($L108:AF108))*$J108</f>
        <v>30437.127721620724</v>
      </c>
      <c r="AH108" s="1467">
        <f>($I108-SUM($L108:AG108))*$J108</f>
        <v>24349.702177296582</v>
      </c>
      <c r="AI108" s="1467">
        <f>($I108-SUM($L108:AH108))*$J108</f>
        <v>19479.761741837116</v>
      </c>
      <c r="AJ108" s="1467">
        <f>($I108-SUM($L108:AI108))*$J108</f>
        <v>15583.809393469617</v>
      </c>
      <c r="AK108" s="1467">
        <f>($I108-SUM($L108:AJ108))*$J108</f>
        <v>12467.047514775768</v>
      </c>
      <c r="AL108" s="1467">
        <f>($I108-SUM($L108:AK108))*$J108</f>
        <v>9973.6380118206143</v>
      </c>
      <c r="AM108" s="1467">
        <f>($I108-SUM($L108:AL108))*$J108</f>
        <v>7978.9104094564918</v>
      </c>
      <c r="AN108" s="1467">
        <f>($I108-SUM($L108:AM108))*$J108</f>
        <v>6383.1283275652677</v>
      </c>
      <c r="AO108" s="1467">
        <f>($I108-SUM($L108:AN108))*$J108</f>
        <v>5106.5026620522149</v>
      </c>
      <c r="AP108" s="1468">
        <f t="shared" ref="AP108" si="433">SUM(L108:AO108)</f>
        <v>16479573.989351792</v>
      </c>
      <c r="AQ108" s="1482"/>
      <c r="AR108" s="1467">
        <f t="shared" ref="AR108" si="434">I108-L108</f>
        <v>13200000.000000002</v>
      </c>
      <c r="AS108" s="1467">
        <f t="shared" ref="AS108" si="435">AR108-M108</f>
        <v>10560000.000000002</v>
      </c>
      <c r="AT108" s="1467">
        <f t="shared" ref="AT108" si="436">AS108-N108</f>
        <v>8448000.0000000019</v>
      </c>
      <c r="AU108" s="1467">
        <f t="shared" ref="AU108" si="437">AT108-O108</f>
        <v>6758400.0000000019</v>
      </c>
      <c r="AV108" s="1467">
        <f t="shared" ref="AV108" si="438">AU108-P108</f>
        <v>5406720.0000000019</v>
      </c>
      <c r="AW108" s="1467">
        <f t="shared" ref="AW108" si="439">AV108-Q108</f>
        <v>4325376.0000000019</v>
      </c>
      <c r="AX108" s="1467">
        <f t="shared" ref="AX108" si="440">AW108-R108</f>
        <v>3460300.8000000017</v>
      </c>
      <c r="AY108" s="1467">
        <f t="shared" ref="AY108" si="441">AX108-S108</f>
        <v>2768240.6400000015</v>
      </c>
      <c r="AZ108" s="1467">
        <f t="shared" ref="AZ108" si="442">AY108-T108</f>
        <v>2214592.5120000015</v>
      </c>
      <c r="BA108" s="1467">
        <f t="shared" ref="BA108" si="443">AZ108-U108</f>
        <v>1771674.0096000014</v>
      </c>
      <c r="BB108" s="1467">
        <f t="shared" ref="BB108" si="444">BA108-V108</f>
        <v>1417339.2076800014</v>
      </c>
      <c r="BC108" s="1467">
        <f t="shared" ref="BC108" si="445">BB108-W108</f>
        <v>1133871.3661440015</v>
      </c>
      <c r="BD108" s="1467">
        <f t="shared" ref="BD108" si="446">BC108-X108</f>
        <v>907097.09291520156</v>
      </c>
      <c r="BE108" s="1467">
        <f t="shared" ref="BE108" si="447">BD108-Y108</f>
        <v>725677.67433216167</v>
      </c>
      <c r="BF108" s="1467">
        <f t="shared" ref="BF108" si="448">BE108-Z108</f>
        <v>580542.13946572959</v>
      </c>
      <c r="BG108" s="1467">
        <f t="shared" ref="BG108" si="449">BF108-AA108</f>
        <v>464433.71157258382</v>
      </c>
      <c r="BH108" s="1467">
        <f t="shared" ref="BH108" si="450">BG108-AB108</f>
        <v>371546.96925806708</v>
      </c>
      <c r="BI108" s="1467">
        <f t="shared" ref="BI108" si="451">BH108-AC108</f>
        <v>297237.57540645381</v>
      </c>
      <c r="BJ108" s="1467">
        <f t="shared" ref="BJ108" si="452">BI108-AD108</f>
        <v>237790.06032516327</v>
      </c>
      <c r="BK108" s="1467">
        <f t="shared" ref="BK108" si="453">BJ108-AE108</f>
        <v>190232.04826013077</v>
      </c>
      <c r="BL108" s="1467">
        <f t="shared" ref="BL108" si="454">BK108-AF108</f>
        <v>152185.63860810478</v>
      </c>
      <c r="BM108" s="1467">
        <f t="shared" ref="BM108" si="455">BL108-AG108</f>
        <v>121748.51088648406</v>
      </c>
      <c r="BN108" s="1467">
        <f t="shared" ref="BN108" si="456">BM108-AH108</f>
        <v>97398.808709187477</v>
      </c>
      <c r="BO108" s="1467">
        <f t="shared" ref="BO108" si="457">BN108-AI108</f>
        <v>77919.046967350354</v>
      </c>
      <c r="BP108" s="1467">
        <f t="shared" ref="BP108" si="458">BO108-AJ108</f>
        <v>62335.237573880739</v>
      </c>
      <c r="BQ108" s="1467">
        <f t="shared" ref="BQ108" si="459">BP108-AK108</f>
        <v>49868.190059104971</v>
      </c>
      <c r="BR108" s="1467">
        <f t="shared" ref="BR108" si="460">BQ108-AL108</f>
        <v>39894.552047284356</v>
      </c>
      <c r="BS108" s="1467">
        <f t="shared" ref="BS108" si="461">BR108-AM108</f>
        <v>31915.641637827866</v>
      </c>
      <c r="BT108" s="1467">
        <f t="shared" ref="BT108" si="462">BS108-AN108</f>
        <v>25532.513310262599</v>
      </c>
      <c r="BU108" s="1467">
        <f t="shared" ref="BU108" si="463">BT108-AO108</f>
        <v>20426.010648210384</v>
      </c>
      <c r="BV108" s="1482"/>
    </row>
    <row r="109" spans="1:74" x14ac:dyDescent="0.2">
      <c r="A109" s="927" t="str">
        <f t="shared" si="421"/>
        <v>.</v>
      </c>
      <c r="B109" s="1297" t="str">
        <f>Assumptions!$AH$81</f>
        <v>Straight-Line</v>
      </c>
      <c r="C109" s="1107"/>
      <c r="D109" s="1107"/>
      <c r="E109" s="1107"/>
      <c r="F109" s="1107"/>
      <c r="G109" s="1107">
        <f t="shared" si="422"/>
        <v>0</v>
      </c>
      <c r="H109" s="1107">
        <f t="shared" si="423"/>
        <v>0</v>
      </c>
      <c r="I109" s="1107">
        <f t="shared" si="424"/>
        <v>0</v>
      </c>
      <c r="J109" s="1472">
        <f>IFERROR(INDEX(Assumptions!$AI$82:$AI$164,MATCH(Depreciation!$D109,Assumptions!$AH$81:$AH$163,0)),0)</f>
        <v>0</v>
      </c>
      <c r="K109" s="1107"/>
      <c r="L109" s="1107">
        <f t="shared" si="425"/>
        <v>0</v>
      </c>
      <c r="M109" s="1107">
        <f t="shared" ref="M109" si="464">L109*$J109</f>
        <v>0</v>
      </c>
      <c r="N109" s="1107"/>
      <c r="O109" s="1107"/>
      <c r="P109" s="1107"/>
      <c r="Q109" s="1107"/>
      <c r="R109" s="1107"/>
      <c r="S109" s="1107"/>
      <c r="T109" s="1107"/>
      <c r="U109" s="1107"/>
      <c r="V109" s="1107"/>
      <c r="W109" s="1107"/>
      <c r="X109" s="1107"/>
      <c r="Y109" s="1107"/>
      <c r="Z109" s="1107"/>
      <c r="AA109" s="1107"/>
      <c r="AB109" s="1107"/>
      <c r="AC109" s="1107"/>
      <c r="AD109" s="1107"/>
      <c r="AE109" s="1107"/>
      <c r="AF109" s="1107"/>
      <c r="AG109" s="1107"/>
      <c r="AH109" s="1107"/>
      <c r="AI109" s="1107"/>
      <c r="AJ109" s="1107"/>
      <c r="AK109" s="1107"/>
      <c r="AL109" s="1107"/>
      <c r="AM109" s="1107"/>
      <c r="AN109" s="1107"/>
      <c r="AO109" s="1107"/>
      <c r="AP109" s="1107">
        <f t="shared" si="426"/>
        <v>0</v>
      </c>
      <c r="AQ109" s="1482"/>
      <c r="AR109" s="1297">
        <f t="shared" si="427"/>
        <v>0</v>
      </c>
      <c r="AS109" s="1297">
        <f t="shared" si="428"/>
        <v>0</v>
      </c>
      <c r="AT109" s="1297">
        <f t="shared" si="393"/>
        <v>0</v>
      </c>
      <c r="AU109" s="1297">
        <f t="shared" si="394"/>
        <v>0</v>
      </c>
      <c r="AV109" s="1297">
        <f t="shared" si="395"/>
        <v>0</v>
      </c>
      <c r="AW109" s="1297">
        <f t="shared" si="396"/>
        <v>0</v>
      </c>
      <c r="AX109" s="1297">
        <f t="shared" si="397"/>
        <v>0</v>
      </c>
      <c r="AY109" s="1297">
        <f t="shared" si="398"/>
        <v>0</v>
      </c>
      <c r="AZ109" s="1297">
        <f t="shared" si="399"/>
        <v>0</v>
      </c>
      <c r="BA109" s="1297">
        <f t="shared" si="400"/>
        <v>0</v>
      </c>
      <c r="BB109" s="1297">
        <f t="shared" si="401"/>
        <v>0</v>
      </c>
      <c r="BC109" s="1297">
        <f t="shared" si="402"/>
        <v>0</v>
      </c>
      <c r="BD109" s="1297">
        <f t="shared" si="403"/>
        <v>0</v>
      </c>
      <c r="BE109" s="1297">
        <f t="shared" si="404"/>
        <v>0</v>
      </c>
      <c r="BF109" s="1297">
        <f t="shared" si="405"/>
        <v>0</v>
      </c>
      <c r="BG109" s="1297">
        <f t="shared" si="406"/>
        <v>0</v>
      </c>
      <c r="BH109" s="1297">
        <f t="shared" si="407"/>
        <v>0</v>
      </c>
      <c r="BI109" s="1297">
        <f t="shared" si="408"/>
        <v>0</v>
      </c>
      <c r="BJ109" s="1297">
        <f t="shared" si="409"/>
        <v>0</v>
      </c>
      <c r="BK109" s="1297">
        <f t="shared" si="410"/>
        <v>0</v>
      </c>
      <c r="BL109" s="1297">
        <f t="shared" si="411"/>
        <v>0</v>
      </c>
      <c r="BM109" s="1297">
        <f t="shared" si="412"/>
        <v>0</v>
      </c>
      <c r="BN109" s="1297">
        <f t="shared" si="413"/>
        <v>0</v>
      </c>
      <c r="BO109" s="1297">
        <f t="shared" si="414"/>
        <v>0</v>
      </c>
      <c r="BP109" s="1297">
        <f t="shared" si="415"/>
        <v>0</v>
      </c>
      <c r="BQ109" s="1297">
        <f t="shared" si="416"/>
        <v>0</v>
      </c>
      <c r="BR109" s="1297">
        <f t="shared" si="417"/>
        <v>0</v>
      </c>
      <c r="BS109" s="1297">
        <f t="shared" si="418"/>
        <v>0</v>
      </c>
      <c r="BT109" s="1297">
        <f t="shared" si="419"/>
        <v>0</v>
      </c>
      <c r="BU109" s="1297">
        <f t="shared" si="420"/>
        <v>0</v>
      </c>
      <c r="BV109" s="1482"/>
    </row>
    <row r="110" spans="1:74" x14ac:dyDescent="0.2">
      <c r="A110" s="927" t="str">
        <f t="shared" si="421"/>
        <v>Sorghum (Starch).Straight-Line</v>
      </c>
      <c r="B110" s="1076"/>
      <c r="C110" s="1076" t="str">
        <f>C96</f>
        <v>Sorghum (Starch)</v>
      </c>
      <c r="D110" s="1076" t="str">
        <f>Assumptions!$AH$81</f>
        <v>Straight-Line</v>
      </c>
      <c r="E110" s="1076" t="str">
        <f t="shared" ref="E110:F110" si="465">E96</f>
        <v>Stockpile</v>
      </c>
      <c r="F110" s="1467">
        <f t="shared" si="465"/>
        <v>10000000</v>
      </c>
      <c r="G110" s="1467">
        <f t="shared" si="422"/>
        <v>12375000</v>
      </c>
      <c r="H110" s="1467">
        <f t="shared" si="423"/>
        <v>13612500.000000002</v>
      </c>
      <c r="I110" s="1467">
        <f t="shared" si="424"/>
        <v>13612500.000000002</v>
      </c>
      <c r="J110" s="1161">
        <f>Assumptions!$N$53</f>
        <v>3.3333333333333333E-2</v>
      </c>
      <c r="K110" s="1107"/>
      <c r="L110" s="1467">
        <f t="shared" si="425"/>
        <v>453750.00000000006</v>
      </c>
      <c r="M110" s="1467">
        <f t="shared" si="425"/>
        <v>453750.00000000006</v>
      </c>
      <c r="N110" s="1467">
        <f t="shared" si="425"/>
        <v>453750.00000000006</v>
      </c>
      <c r="O110" s="1467">
        <f t="shared" si="425"/>
        <v>453750.00000000006</v>
      </c>
      <c r="P110" s="1467">
        <f t="shared" si="425"/>
        <v>453750.00000000006</v>
      </c>
      <c r="Q110" s="1467">
        <f t="shared" si="425"/>
        <v>453750.00000000006</v>
      </c>
      <c r="R110" s="1467">
        <f t="shared" si="425"/>
        <v>453750.00000000006</v>
      </c>
      <c r="S110" s="1467">
        <f t="shared" si="425"/>
        <v>453750.00000000006</v>
      </c>
      <c r="T110" s="1467">
        <f t="shared" si="425"/>
        <v>453750.00000000006</v>
      </c>
      <c r="U110" s="1467">
        <f t="shared" si="425"/>
        <v>453750.00000000006</v>
      </c>
      <c r="V110" s="1467">
        <f t="shared" si="425"/>
        <v>453750.00000000006</v>
      </c>
      <c r="W110" s="1467">
        <f t="shared" si="425"/>
        <v>453750.00000000006</v>
      </c>
      <c r="X110" s="1467">
        <f t="shared" si="425"/>
        <v>453750.00000000006</v>
      </c>
      <c r="Y110" s="1467">
        <f t="shared" si="425"/>
        <v>453750.00000000006</v>
      </c>
      <c r="Z110" s="1467">
        <f t="shared" si="425"/>
        <v>453750.00000000006</v>
      </c>
      <c r="AA110" s="1467">
        <f t="shared" si="425"/>
        <v>453750.00000000006</v>
      </c>
      <c r="AB110" s="1467">
        <f t="shared" ref="AB110:AO122" si="466">$I110*$J110</f>
        <v>453750.00000000006</v>
      </c>
      <c r="AC110" s="1467">
        <f t="shared" si="466"/>
        <v>453750.00000000006</v>
      </c>
      <c r="AD110" s="1467">
        <f t="shared" si="466"/>
        <v>453750.00000000006</v>
      </c>
      <c r="AE110" s="1467">
        <f t="shared" si="466"/>
        <v>453750.00000000006</v>
      </c>
      <c r="AF110" s="1467">
        <f t="shared" si="466"/>
        <v>453750.00000000006</v>
      </c>
      <c r="AG110" s="1467">
        <f t="shared" si="466"/>
        <v>453750.00000000006</v>
      </c>
      <c r="AH110" s="1467">
        <f t="shared" si="466"/>
        <v>453750.00000000006</v>
      </c>
      <c r="AI110" s="1467">
        <f t="shared" si="466"/>
        <v>453750.00000000006</v>
      </c>
      <c r="AJ110" s="1467">
        <f t="shared" si="466"/>
        <v>453750.00000000006</v>
      </c>
      <c r="AK110" s="1467">
        <f t="shared" si="466"/>
        <v>453750.00000000006</v>
      </c>
      <c r="AL110" s="1467">
        <f t="shared" si="466"/>
        <v>453750.00000000006</v>
      </c>
      <c r="AM110" s="1467">
        <f t="shared" si="466"/>
        <v>453750.00000000006</v>
      </c>
      <c r="AN110" s="1467">
        <f t="shared" si="466"/>
        <v>453750.00000000006</v>
      </c>
      <c r="AO110" s="1467">
        <f t="shared" si="466"/>
        <v>453750.00000000006</v>
      </c>
      <c r="AP110" s="1468">
        <f t="shared" si="426"/>
        <v>13612500.000000002</v>
      </c>
      <c r="AQ110" s="1482"/>
      <c r="AR110" s="1467">
        <f t="shared" si="427"/>
        <v>13158750.000000002</v>
      </c>
      <c r="AS110" s="1467">
        <f t="shared" si="428"/>
        <v>12705000.000000002</v>
      </c>
      <c r="AT110" s="1467">
        <f t="shared" si="393"/>
        <v>12251250.000000002</v>
      </c>
      <c r="AU110" s="1467">
        <f t="shared" si="394"/>
        <v>11797500.000000002</v>
      </c>
      <c r="AV110" s="1467">
        <f t="shared" si="395"/>
        <v>11343750.000000002</v>
      </c>
      <c r="AW110" s="1467">
        <f t="shared" si="396"/>
        <v>10890000.000000002</v>
      </c>
      <c r="AX110" s="1467">
        <f t="shared" si="397"/>
        <v>10436250.000000002</v>
      </c>
      <c r="AY110" s="1467">
        <f t="shared" si="398"/>
        <v>9982500.0000000019</v>
      </c>
      <c r="AZ110" s="1467">
        <f t="shared" si="399"/>
        <v>9528750.0000000019</v>
      </c>
      <c r="BA110" s="1467">
        <f t="shared" si="400"/>
        <v>9075000.0000000019</v>
      </c>
      <c r="BB110" s="1467">
        <f t="shared" si="401"/>
        <v>8621250.0000000019</v>
      </c>
      <c r="BC110" s="1467">
        <f t="shared" si="402"/>
        <v>8167500.0000000019</v>
      </c>
      <c r="BD110" s="1467">
        <f t="shared" si="403"/>
        <v>7713750.0000000019</v>
      </c>
      <c r="BE110" s="1467">
        <f t="shared" si="404"/>
        <v>7260000.0000000019</v>
      </c>
      <c r="BF110" s="1467">
        <f t="shared" si="405"/>
        <v>6806250.0000000019</v>
      </c>
      <c r="BG110" s="1467">
        <f t="shared" si="406"/>
        <v>6352500.0000000019</v>
      </c>
      <c r="BH110" s="1467">
        <f t="shared" si="407"/>
        <v>5898750.0000000019</v>
      </c>
      <c r="BI110" s="1467">
        <f t="shared" si="408"/>
        <v>5445000.0000000019</v>
      </c>
      <c r="BJ110" s="1467">
        <f t="shared" si="409"/>
        <v>4991250.0000000019</v>
      </c>
      <c r="BK110" s="1467">
        <f t="shared" si="410"/>
        <v>4537500.0000000019</v>
      </c>
      <c r="BL110" s="1467">
        <f t="shared" si="411"/>
        <v>4083750.0000000019</v>
      </c>
      <c r="BM110" s="1467">
        <f t="shared" si="412"/>
        <v>3630000.0000000019</v>
      </c>
      <c r="BN110" s="1467">
        <f t="shared" si="413"/>
        <v>3176250.0000000019</v>
      </c>
      <c r="BO110" s="1467">
        <f t="shared" si="414"/>
        <v>2722500.0000000019</v>
      </c>
      <c r="BP110" s="1467">
        <f t="shared" si="415"/>
        <v>2268750.0000000019</v>
      </c>
      <c r="BQ110" s="1467">
        <f t="shared" si="416"/>
        <v>1815000.0000000019</v>
      </c>
      <c r="BR110" s="1467">
        <f t="shared" si="417"/>
        <v>1361250.0000000019</v>
      </c>
      <c r="BS110" s="1467">
        <f t="shared" si="418"/>
        <v>907500.00000000186</v>
      </c>
      <c r="BT110" s="1467">
        <f t="shared" si="419"/>
        <v>453750.0000000018</v>
      </c>
      <c r="BU110" s="1467">
        <f t="shared" si="420"/>
        <v>1.7462298274040222E-9</v>
      </c>
      <c r="BV110" s="1482"/>
    </row>
    <row r="111" spans="1:74" x14ac:dyDescent="0.2">
      <c r="A111" s="927" t="str">
        <f t="shared" si="421"/>
        <v>Sorghum (Starch).Straight-Line</v>
      </c>
      <c r="B111" s="1076"/>
      <c r="C111" s="1076" t="str">
        <f t="shared" ref="C111:C123" si="467">C97</f>
        <v>Sorghum (Starch)</v>
      </c>
      <c r="D111" s="1076" t="str">
        <f>Assumptions!$AH$81</f>
        <v>Straight-Line</v>
      </c>
      <c r="E111" s="1076" t="str">
        <f t="shared" ref="E111:F111" si="468">E97</f>
        <v>Dry Mill</v>
      </c>
      <c r="F111" s="1467">
        <f t="shared" si="468"/>
        <v>10000000</v>
      </c>
      <c r="G111" s="1467">
        <f t="shared" si="422"/>
        <v>12375000</v>
      </c>
      <c r="H111" s="1467">
        <f t="shared" si="423"/>
        <v>13612500.000000002</v>
      </c>
      <c r="I111" s="1467">
        <f t="shared" si="424"/>
        <v>13612500.000000002</v>
      </c>
      <c r="J111" s="1161">
        <f>J110</f>
        <v>3.3333333333333333E-2</v>
      </c>
      <c r="K111" s="1107"/>
      <c r="L111" s="1467">
        <f t="shared" si="425"/>
        <v>453750.00000000006</v>
      </c>
      <c r="M111" s="1467">
        <f t="shared" si="425"/>
        <v>453750.00000000006</v>
      </c>
      <c r="N111" s="1467">
        <f t="shared" si="425"/>
        <v>453750.00000000006</v>
      </c>
      <c r="O111" s="1467">
        <f t="shared" si="425"/>
        <v>453750.00000000006</v>
      </c>
      <c r="P111" s="1467">
        <f t="shared" si="425"/>
        <v>453750.00000000006</v>
      </c>
      <c r="Q111" s="1467">
        <f t="shared" si="425"/>
        <v>453750.00000000006</v>
      </c>
      <c r="R111" s="1467">
        <f t="shared" si="425"/>
        <v>453750.00000000006</v>
      </c>
      <c r="S111" s="1467">
        <f t="shared" si="425"/>
        <v>453750.00000000006</v>
      </c>
      <c r="T111" s="1467">
        <f t="shared" si="425"/>
        <v>453750.00000000006</v>
      </c>
      <c r="U111" s="1467">
        <f t="shared" si="425"/>
        <v>453750.00000000006</v>
      </c>
      <c r="V111" s="1467">
        <f t="shared" si="425"/>
        <v>453750.00000000006</v>
      </c>
      <c r="W111" s="1467">
        <f t="shared" si="425"/>
        <v>453750.00000000006</v>
      </c>
      <c r="X111" s="1467">
        <f t="shared" si="425"/>
        <v>453750.00000000006</v>
      </c>
      <c r="Y111" s="1467">
        <f t="shared" si="425"/>
        <v>453750.00000000006</v>
      </c>
      <c r="Z111" s="1467">
        <f t="shared" si="425"/>
        <v>453750.00000000006</v>
      </c>
      <c r="AA111" s="1467">
        <f t="shared" si="425"/>
        <v>453750.00000000006</v>
      </c>
      <c r="AB111" s="1467">
        <f t="shared" si="466"/>
        <v>453750.00000000006</v>
      </c>
      <c r="AC111" s="1467">
        <f t="shared" si="466"/>
        <v>453750.00000000006</v>
      </c>
      <c r="AD111" s="1467">
        <f t="shared" si="466"/>
        <v>453750.00000000006</v>
      </c>
      <c r="AE111" s="1467">
        <f t="shared" si="466"/>
        <v>453750.00000000006</v>
      </c>
      <c r="AF111" s="1467">
        <f t="shared" si="466"/>
        <v>453750.00000000006</v>
      </c>
      <c r="AG111" s="1467">
        <f t="shared" si="466"/>
        <v>453750.00000000006</v>
      </c>
      <c r="AH111" s="1467">
        <f t="shared" si="466"/>
        <v>453750.00000000006</v>
      </c>
      <c r="AI111" s="1467">
        <f t="shared" si="466"/>
        <v>453750.00000000006</v>
      </c>
      <c r="AJ111" s="1467">
        <f t="shared" si="466"/>
        <v>453750.00000000006</v>
      </c>
      <c r="AK111" s="1467">
        <f t="shared" si="466"/>
        <v>453750.00000000006</v>
      </c>
      <c r="AL111" s="1467">
        <f t="shared" si="466"/>
        <v>453750.00000000006</v>
      </c>
      <c r="AM111" s="1467">
        <f t="shared" si="466"/>
        <v>453750.00000000006</v>
      </c>
      <c r="AN111" s="1467">
        <f t="shared" si="466"/>
        <v>453750.00000000006</v>
      </c>
      <c r="AO111" s="1467">
        <f t="shared" si="466"/>
        <v>453750.00000000006</v>
      </c>
      <c r="AP111" s="1468">
        <f t="shared" si="426"/>
        <v>13612500.000000002</v>
      </c>
      <c r="AQ111" s="1482"/>
      <c r="AR111" s="1467">
        <f t="shared" si="427"/>
        <v>13158750.000000002</v>
      </c>
      <c r="AS111" s="1467">
        <f t="shared" si="428"/>
        <v>12705000.000000002</v>
      </c>
      <c r="AT111" s="1467">
        <f t="shared" si="393"/>
        <v>12251250.000000002</v>
      </c>
      <c r="AU111" s="1467">
        <f t="shared" si="394"/>
        <v>11797500.000000002</v>
      </c>
      <c r="AV111" s="1467">
        <f t="shared" si="395"/>
        <v>11343750.000000002</v>
      </c>
      <c r="AW111" s="1467">
        <f t="shared" si="396"/>
        <v>10890000.000000002</v>
      </c>
      <c r="AX111" s="1467">
        <f t="shared" si="397"/>
        <v>10436250.000000002</v>
      </c>
      <c r="AY111" s="1467">
        <f t="shared" si="398"/>
        <v>9982500.0000000019</v>
      </c>
      <c r="AZ111" s="1467">
        <f t="shared" si="399"/>
        <v>9528750.0000000019</v>
      </c>
      <c r="BA111" s="1467">
        <f t="shared" si="400"/>
        <v>9075000.0000000019</v>
      </c>
      <c r="BB111" s="1467">
        <f t="shared" si="401"/>
        <v>8621250.0000000019</v>
      </c>
      <c r="BC111" s="1467">
        <f t="shared" si="402"/>
        <v>8167500.0000000019</v>
      </c>
      <c r="BD111" s="1467">
        <f t="shared" si="403"/>
        <v>7713750.0000000019</v>
      </c>
      <c r="BE111" s="1467">
        <f t="shared" si="404"/>
        <v>7260000.0000000019</v>
      </c>
      <c r="BF111" s="1467">
        <f t="shared" si="405"/>
        <v>6806250.0000000019</v>
      </c>
      <c r="BG111" s="1467">
        <f t="shared" si="406"/>
        <v>6352500.0000000019</v>
      </c>
      <c r="BH111" s="1467">
        <f t="shared" si="407"/>
        <v>5898750.0000000019</v>
      </c>
      <c r="BI111" s="1467">
        <f t="shared" si="408"/>
        <v>5445000.0000000019</v>
      </c>
      <c r="BJ111" s="1467">
        <f t="shared" si="409"/>
        <v>4991250.0000000019</v>
      </c>
      <c r="BK111" s="1467">
        <f t="shared" si="410"/>
        <v>4537500.0000000019</v>
      </c>
      <c r="BL111" s="1467">
        <f t="shared" si="411"/>
        <v>4083750.0000000019</v>
      </c>
      <c r="BM111" s="1467">
        <f t="shared" si="412"/>
        <v>3630000.0000000019</v>
      </c>
      <c r="BN111" s="1467">
        <f t="shared" si="413"/>
        <v>3176250.0000000019</v>
      </c>
      <c r="BO111" s="1467">
        <f t="shared" si="414"/>
        <v>2722500.0000000019</v>
      </c>
      <c r="BP111" s="1467">
        <f t="shared" si="415"/>
        <v>2268750.0000000019</v>
      </c>
      <c r="BQ111" s="1467">
        <f t="shared" si="416"/>
        <v>1815000.0000000019</v>
      </c>
      <c r="BR111" s="1467">
        <f t="shared" si="417"/>
        <v>1361250.0000000019</v>
      </c>
      <c r="BS111" s="1467">
        <f t="shared" si="418"/>
        <v>907500.00000000186</v>
      </c>
      <c r="BT111" s="1467">
        <f t="shared" si="419"/>
        <v>453750.0000000018</v>
      </c>
      <c r="BU111" s="1467">
        <f t="shared" si="420"/>
        <v>1.7462298274040222E-9</v>
      </c>
      <c r="BV111" s="1482"/>
    </row>
    <row r="112" spans="1:74" x14ac:dyDescent="0.2">
      <c r="A112" s="927" t="str">
        <f t="shared" si="421"/>
        <v>Sorghum (Starch).Straight-Line</v>
      </c>
      <c r="B112" s="1076"/>
      <c r="C112" s="1076" t="str">
        <f t="shared" si="467"/>
        <v>Sorghum (Starch)</v>
      </c>
      <c r="D112" s="1076" t="str">
        <f>Assumptions!$AH$81</f>
        <v>Straight-Line</v>
      </c>
      <c r="E112" s="1076" t="str">
        <f t="shared" ref="E112:F112" si="469">E98</f>
        <v>Wet Mill and gluten handling</v>
      </c>
      <c r="F112" s="1467">
        <f t="shared" si="469"/>
        <v>0</v>
      </c>
      <c r="G112" s="1467">
        <f t="shared" si="422"/>
        <v>0</v>
      </c>
      <c r="H112" s="1467">
        <f t="shared" si="423"/>
        <v>0</v>
      </c>
      <c r="I112" s="1467">
        <f t="shared" si="424"/>
        <v>0</v>
      </c>
      <c r="J112" s="1161">
        <f t="shared" ref="J112:J122" si="470">J111</f>
        <v>3.3333333333333333E-2</v>
      </c>
      <c r="K112" s="1107"/>
      <c r="L112" s="1467">
        <f t="shared" si="425"/>
        <v>0</v>
      </c>
      <c r="M112" s="1467">
        <f t="shared" si="425"/>
        <v>0</v>
      </c>
      <c r="N112" s="1467">
        <f t="shared" si="425"/>
        <v>0</v>
      </c>
      <c r="O112" s="1467">
        <f t="shared" si="425"/>
        <v>0</v>
      </c>
      <c r="P112" s="1467">
        <f t="shared" si="425"/>
        <v>0</v>
      </c>
      <c r="Q112" s="1467">
        <f t="shared" si="425"/>
        <v>0</v>
      </c>
      <c r="R112" s="1467">
        <f t="shared" si="425"/>
        <v>0</v>
      </c>
      <c r="S112" s="1467">
        <f t="shared" si="425"/>
        <v>0</v>
      </c>
      <c r="T112" s="1467">
        <f t="shared" si="425"/>
        <v>0</v>
      </c>
      <c r="U112" s="1467">
        <f t="shared" si="425"/>
        <v>0</v>
      </c>
      <c r="V112" s="1467">
        <f t="shared" si="425"/>
        <v>0</v>
      </c>
      <c r="W112" s="1467">
        <f t="shared" si="425"/>
        <v>0</v>
      </c>
      <c r="X112" s="1467">
        <f t="shared" si="425"/>
        <v>0</v>
      </c>
      <c r="Y112" s="1467">
        <f t="shared" si="425"/>
        <v>0</v>
      </c>
      <c r="Z112" s="1467">
        <f t="shared" si="425"/>
        <v>0</v>
      </c>
      <c r="AA112" s="1467">
        <f t="shared" si="425"/>
        <v>0</v>
      </c>
      <c r="AB112" s="1467">
        <f t="shared" si="466"/>
        <v>0</v>
      </c>
      <c r="AC112" s="1467">
        <f t="shared" si="466"/>
        <v>0</v>
      </c>
      <c r="AD112" s="1467">
        <f t="shared" si="466"/>
        <v>0</v>
      </c>
      <c r="AE112" s="1467">
        <f t="shared" si="466"/>
        <v>0</v>
      </c>
      <c r="AF112" s="1467">
        <f t="shared" si="466"/>
        <v>0</v>
      </c>
      <c r="AG112" s="1467">
        <f t="shared" si="466"/>
        <v>0</v>
      </c>
      <c r="AH112" s="1467">
        <f t="shared" si="466"/>
        <v>0</v>
      </c>
      <c r="AI112" s="1467">
        <f t="shared" si="466"/>
        <v>0</v>
      </c>
      <c r="AJ112" s="1467">
        <f t="shared" si="466"/>
        <v>0</v>
      </c>
      <c r="AK112" s="1467">
        <f t="shared" si="466"/>
        <v>0</v>
      </c>
      <c r="AL112" s="1467">
        <f t="shared" si="466"/>
        <v>0</v>
      </c>
      <c r="AM112" s="1467">
        <f t="shared" si="466"/>
        <v>0</v>
      </c>
      <c r="AN112" s="1467">
        <f t="shared" si="466"/>
        <v>0</v>
      </c>
      <c r="AO112" s="1467">
        <f t="shared" si="466"/>
        <v>0</v>
      </c>
      <c r="AP112" s="1468">
        <f t="shared" si="426"/>
        <v>0</v>
      </c>
      <c r="AQ112" s="1482"/>
      <c r="AR112" s="1467">
        <f t="shared" si="427"/>
        <v>0</v>
      </c>
      <c r="AS112" s="1467">
        <f t="shared" si="428"/>
        <v>0</v>
      </c>
      <c r="AT112" s="1467">
        <f t="shared" si="393"/>
        <v>0</v>
      </c>
      <c r="AU112" s="1467">
        <f t="shared" si="394"/>
        <v>0</v>
      </c>
      <c r="AV112" s="1467">
        <f t="shared" si="395"/>
        <v>0</v>
      </c>
      <c r="AW112" s="1467">
        <f t="shared" si="396"/>
        <v>0</v>
      </c>
      <c r="AX112" s="1467">
        <f t="shared" si="397"/>
        <v>0</v>
      </c>
      <c r="AY112" s="1467">
        <f t="shared" si="398"/>
        <v>0</v>
      </c>
      <c r="AZ112" s="1467">
        <f t="shared" si="399"/>
        <v>0</v>
      </c>
      <c r="BA112" s="1467">
        <f t="shared" si="400"/>
        <v>0</v>
      </c>
      <c r="BB112" s="1467">
        <f t="shared" si="401"/>
        <v>0</v>
      </c>
      <c r="BC112" s="1467">
        <f t="shared" si="402"/>
        <v>0</v>
      </c>
      <c r="BD112" s="1467">
        <f t="shared" si="403"/>
        <v>0</v>
      </c>
      <c r="BE112" s="1467">
        <f t="shared" si="404"/>
        <v>0</v>
      </c>
      <c r="BF112" s="1467">
        <f t="shared" si="405"/>
        <v>0</v>
      </c>
      <c r="BG112" s="1467">
        <f t="shared" si="406"/>
        <v>0</v>
      </c>
      <c r="BH112" s="1467">
        <f t="shared" si="407"/>
        <v>0</v>
      </c>
      <c r="BI112" s="1467">
        <f t="shared" si="408"/>
        <v>0</v>
      </c>
      <c r="BJ112" s="1467">
        <f t="shared" si="409"/>
        <v>0</v>
      </c>
      <c r="BK112" s="1467">
        <f t="shared" si="410"/>
        <v>0</v>
      </c>
      <c r="BL112" s="1467">
        <f t="shared" si="411"/>
        <v>0</v>
      </c>
      <c r="BM112" s="1467">
        <f t="shared" si="412"/>
        <v>0</v>
      </c>
      <c r="BN112" s="1467">
        <f t="shared" si="413"/>
        <v>0</v>
      </c>
      <c r="BO112" s="1467">
        <f t="shared" si="414"/>
        <v>0</v>
      </c>
      <c r="BP112" s="1467">
        <f t="shared" si="415"/>
        <v>0</v>
      </c>
      <c r="BQ112" s="1467">
        <f t="shared" si="416"/>
        <v>0</v>
      </c>
      <c r="BR112" s="1467">
        <f t="shared" si="417"/>
        <v>0</v>
      </c>
      <c r="BS112" s="1467">
        <f t="shared" si="418"/>
        <v>0</v>
      </c>
      <c r="BT112" s="1467">
        <f t="shared" si="419"/>
        <v>0</v>
      </c>
      <c r="BU112" s="1467">
        <f t="shared" si="420"/>
        <v>0</v>
      </c>
      <c r="BV112" s="1482"/>
    </row>
    <row r="113" spans="1:74" x14ac:dyDescent="0.2">
      <c r="A113" s="927" t="str">
        <f t="shared" si="421"/>
        <v>Sorghum (Starch).Straight-Line</v>
      </c>
      <c r="B113" s="1076"/>
      <c r="C113" s="1076" t="str">
        <f t="shared" si="467"/>
        <v>Sorghum (Starch)</v>
      </c>
      <c r="D113" s="1076" t="str">
        <f>Assumptions!$AH$81</f>
        <v>Straight-Line</v>
      </c>
      <c r="E113" s="1076" t="str">
        <f t="shared" ref="E113:F113" si="471">E99</f>
        <v>Liquefaction and saccharification</v>
      </c>
      <c r="F113" s="1467">
        <f t="shared" si="471"/>
        <v>8000000</v>
      </c>
      <c r="G113" s="1467">
        <f t="shared" si="422"/>
        <v>9900000</v>
      </c>
      <c r="H113" s="1467">
        <f t="shared" si="423"/>
        <v>10890000</v>
      </c>
      <c r="I113" s="1467">
        <f t="shared" si="424"/>
        <v>10890000</v>
      </c>
      <c r="J113" s="1161">
        <f t="shared" si="470"/>
        <v>3.3333333333333333E-2</v>
      </c>
      <c r="K113" s="1107"/>
      <c r="L113" s="1467">
        <f t="shared" si="425"/>
        <v>363000</v>
      </c>
      <c r="M113" s="1467">
        <f t="shared" si="425"/>
        <v>363000</v>
      </c>
      <c r="N113" s="1467">
        <f t="shared" si="425"/>
        <v>363000</v>
      </c>
      <c r="O113" s="1467">
        <f t="shared" si="425"/>
        <v>363000</v>
      </c>
      <c r="P113" s="1467">
        <f t="shared" si="425"/>
        <v>363000</v>
      </c>
      <c r="Q113" s="1467">
        <f t="shared" si="425"/>
        <v>363000</v>
      </c>
      <c r="R113" s="1467">
        <f t="shared" si="425"/>
        <v>363000</v>
      </c>
      <c r="S113" s="1467">
        <f t="shared" si="425"/>
        <v>363000</v>
      </c>
      <c r="T113" s="1467">
        <f t="shared" si="425"/>
        <v>363000</v>
      </c>
      <c r="U113" s="1467">
        <f t="shared" si="425"/>
        <v>363000</v>
      </c>
      <c r="V113" s="1467">
        <f t="shared" si="425"/>
        <v>363000</v>
      </c>
      <c r="W113" s="1467">
        <f t="shared" si="425"/>
        <v>363000</v>
      </c>
      <c r="X113" s="1467">
        <f t="shared" si="425"/>
        <v>363000</v>
      </c>
      <c r="Y113" s="1467">
        <f t="shared" si="425"/>
        <v>363000</v>
      </c>
      <c r="Z113" s="1467">
        <f t="shared" si="425"/>
        <v>363000</v>
      </c>
      <c r="AA113" s="1467">
        <f t="shared" si="425"/>
        <v>363000</v>
      </c>
      <c r="AB113" s="1467">
        <f t="shared" si="466"/>
        <v>363000</v>
      </c>
      <c r="AC113" s="1467">
        <f t="shared" si="466"/>
        <v>363000</v>
      </c>
      <c r="AD113" s="1467">
        <f t="shared" si="466"/>
        <v>363000</v>
      </c>
      <c r="AE113" s="1467">
        <f t="shared" si="466"/>
        <v>363000</v>
      </c>
      <c r="AF113" s="1467">
        <f t="shared" si="466"/>
        <v>363000</v>
      </c>
      <c r="AG113" s="1467">
        <f t="shared" si="466"/>
        <v>363000</v>
      </c>
      <c r="AH113" s="1467">
        <f t="shared" si="466"/>
        <v>363000</v>
      </c>
      <c r="AI113" s="1467">
        <f t="shared" si="466"/>
        <v>363000</v>
      </c>
      <c r="AJ113" s="1467">
        <f t="shared" si="466"/>
        <v>363000</v>
      </c>
      <c r="AK113" s="1467">
        <f t="shared" si="466"/>
        <v>363000</v>
      </c>
      <c r="AL113" s="1467">
        <f t="shared" si="466"/>
        <v>363000</v>
      </c>
      <c r="AM113" s="1467">
        <f t="shared" si="466"/>
        <v>363000</v>
      </c>
      <c r="AN113" s="1467">
        <f t="shared" si="466"/>
        <v>363000</v>
      </c>
      <c r="AO113" s="1467">
        <f t="shared" si="466"/>
        <v>363000</v>
      </c>
      <c r="AP113" s="1468">
        <f t="shared" si="426"/>
        <v>10890000</v>
      </c>
      <c r="AQ113" s="1482"/>
      <c r="AR113" s="1467">
        <f t="shared" si="427"/>
        <v>10527000</v>
      </c>
      <c r="AS113" s="1467">
        <f t="shared" si="428"/>
        <v>10164000</v>
      </c>
      <c r="AT113" s="1467">
        <f t="shared" si="393"/>
        <v>9801000</v>
      </c>
      <c r="AU113" s="1467">
        <f t="shared" si="394"/>
        <v>9438000</v>
      </c>
      <c r="AV113" s="1467">
        <f t="shared" si="395"/>
        <v>9075000</v>
      </c>
      <c r="AW113" s="1467">
        <f t="shared" si="396"/>
        <v>8712000</v>
      </c>
      <c r="AX113" s="1467">
        <f t="shared" si="397"/>
        <v>8349000</v>
      </c>
      <c r="AY113" s="1467">
        <f t="shared" si="398"/>
        <v>7986000</v>
      </c>
      <c r="AZ113" s="1467">
        <f t="shared" si="399"/>
        <v>7623000</v>
      </c>
      <c r="BA113" s="1467">
        <f t="shared" si="400"/>
        <v>7260000</v>
      </c>
      <c r="BB113" s="1467">
        <f t="shared" si="401"/>
        <v>6897000</v>
      </c>
      <c r="BC113" s="1467">
        <f t="shared" si="402"/>
        <v>6534000</v>
      </c>
      <c r="BD113" s="1467">
        <f t="shared" si="403"/>
        <v>6171000</v>
      </c>
      <c r="BE113" s="1467">
        <f t="shared" si="404"/>
        <v>5808000</v>
      </c>
      <c r="BF113" s="1467">
        <f t="shared" si="405"/>
        <v>5445000</v>
      </c>
      <c r="BG113" s="1467">
        <f t="shared" si="406"/>
        <v>5082000</v>
      </c>
      <c r="BH113" s="1467">
        <f t="shared" si="407"/>
        <v>4719000</v>
      </c>
      <c r="BI113" s="1467">
        <f t="shared" si="408"/>
        <v>4356000</v>
      </c>
      <c r="BJ113" s="1467">
        <f t="shared" si="409"/>
        <v>3993000</v>
      </c>
      <c r="BK113" s="1467">
        <f t="shared" si="410"/>
        <v>3630000</v>
      </c>
      <c r="BL113" s="1467">
        <f t="shared" si="411"/>
        <v>3267000</v>
      </c>
      <c r="BM113" s="1467">
        <f t="shared" si="412"/>
        <v>2904000</v>
      </c>
      <c r="BN113" s="1467">
        <f t="shared" si="413"/>
        <v>2541000</v>
      </c>
      <c r="BO113" s="1467">
        <f t="shared" si="414"/>
        <v>2178000</v>
      </c>
      <c r="BP113" s="1467">
        <f t="shared" si="415"/>
        <v>1815000</v>
      </c>
      <c r="BQ113" s="1467">
        <f t="shared" si="416"/>
        <v>1452000</v>
      </c>
      <c r="BR113" s="1467">
        <f t="shared" si="417"/>
        <v>1089000</v>
      </c>
      <c r="BS113" s="1467">
        <f t="shared" si="418"/>
        <v>726000</v>
      </c>
      <c r="BT113" s="1467">
        <f t="shared" si="419"/>
        <v>363000</v>
      </c>
      <c r="BU113" s="1467">
        <f t="shared" si="420"/>
        <v>0</v>
      </c>
      <c r="BV113" s="1482"/>
    </row>
    <row r="114" spans="1:74" x14ac:dyDescent="0.2">
      <c r="A114" s="927" t="str">
        <f t="shared" si="421"/>
        <v>Sorghum (Starch).Straight-Line</v>
      </c>
      <c r="B114" s="1076"/>
      <c r="C114" s="1076" t="str">
        <f t="shared" si="467"/>
        <v>Sorghum (Starch)</v>
      </c>
      <c r="D114" s="1076" t="str">
        <f>Assumptions!$AH$81</f>
        <v>Straight-Line</v>
      </c>
      <c r="E114" s="1076" t="str">
        <f t="shared" ref="E114:F114" si="472">E100</f>
        <v>Fermentation Plant</v>
      </c>
      <c r="F114" s="1467">
        <f t="shared" si="472"/>
        <v>18000000</v>
      </c>
      <c r="G114" s="1467">
        <f t="shared" si="422"/>
        <v>22275000</v>
      </c>
      <c r="H114" s="1467">
        <f t="shared" si="423"/>
        <v>24502500.000000004</v>
      </c>
      <c r="I114" s="1467">
        <f t="shared" si="424"/>
        <v>24502500.000000004</v>
      </c>
      <c r="J114" s="1161">
        <f t="shared" si="470"/>
        <v>3.3333333333333333E-2</v>
      </c>
      <c r="K114" s="1107"/>
      <c r="L114" s="1467">
        <f t="shared" si="425"/>
        <v>816750.00000000012</v>
      </c>
      <c r="M114" s="1467">
        <f t="shared" si="425"/>
        <v>816750.00000000012</v>
      </c>
      <c r="N114" s="1467">
        <f t="shared" si="425"/>
        <v>816750.00000000012</v>
      </c>
      <c r="O114" s="1467">
        <f t="shared" si="425"/>
        <v>816750.00000000012</v>
      </c>
      <c r="P114" s="1467">
        <f t="shared" si="425"/>
        <v>816750.00000000012</v>
      </c>
      <c r="Q114" s="1467">
        <f t="shared" si="425"/>
        <v>816750.00000000012</v>
      </c>
      <c r="R114" s="1467">
        <f t="shared" si="425"/>
        <v>816750.00000000012</v>
      </c>
      <c r="S114" s="1467">
        <f t="shared" si="425"/>
        <v>816750.00000000012</v>
      </c>
      <c r="T114" s="1467">
        <f t="shared" si="425"/>
        <v>816750.00000000012</v>
      </c>
      <c r="U114" s="1467">
        <f t="shared" si="425"/>
        <v>816750.00000000012</v>
      </c>
      <c r="V114" s="1467">
        <f t="shared" si="425"/>
        <v>816750.00000000012</v>
      </c>
      <c r="W114" s="1467">
        <f t="shared" si="425"/>
        <v>816750.00000000012</v>
      </c>
      <c r="X114" s="1467">
        <f t="shared" si="425"/>
        <v>816750.00000000012</v>
      </c>
      <c r="Y114" s="1467">
        <f t="shared" si="425"/>
        <v>816750.00000000012</v>
      </c>
      <c r="Z114" s="1467">
        <f t="shared" si="425"/>
        <v>816750.00000000012</v>
      </c>
      <c r="AA114" s="1467">
        <f t="shared" si="425"/>
        <v>816750.00000000012</v>
      </c>
      <c r="AB114" s="1467">
        <f t="shared" si="466"/>
        <v>816750.00000000012</v>
      </c>
      <c r="AC114" s="1467">
        <f t="shared" si="466"/>
        <v>816750.00000000012</v>
      </c>
      <c r="AD114" s="1467">
        <f t="shared" si="466"/>
        <v>816750.00000000012</v>
      </c>
      <c r="AE114" s="1467">
        <f t="shared" si="466"/>
        <v>816750.00000000012</v>
      </c>
      <c r="AF114" s="1467">
        <f t="shared" si="466"/>
        <v>816750.00000000012</v>
      </c>
      <c r="AG114" s="1467">
        <f t="shared" si="466"/>
        <v>816750.00000000012</v>
      </c>
      <c r="AH114" s="1467">
        <f t="shared" si="466"/>
        <v>816750.00000000012</v>
      </c>
      <c r="AI114" s="1467">
        <f t="shared" si="466"/>
        <v>816750.00000000012</v>
      </c>
      <c r="AJ114" s="1467">
        <f t="shared" si="466"/>
        <v>816750.00000000012</v>
      </c>
      <c r="AK114" s="1467">
        <f t="shared" si="466"/>
        <v>816750.00000000012</v>
      </c>
      <c r="AL114" s="1467">
        <f t="shared" si="466"/>
        <v>816750.00000000012</v>
      </c>
      <c r="AM114" s="1467">
        <f t="shared" si="466"/>
        <v>816750.00000000012</v>
      </c>
      <c r="AN114" s="1467">
        <f t="shared" si="466"/>
        <v>816750.00000000012</v>
      </c>
      <c r="AO114" s="1467">
        <f t="shared" si="466"/>
        <v>816750.00000000012</v>
      </c>
      <c r="AP114" s="1468">
        <f t="shared" si="426"/>
        <v>24502500.000000004</v>
      </c>
      <c r="AQ114" s="1482"/>
      <c r="AR114" s="1467">
        <f t="shared" si="427"/>
        <v>23685750.000000004</v>
      </c>
      <c r="AS114" s="1467">
        <f t="shared" si="428"/>
        <v>22869000.000000004</v>
      </c>
      <c r="AT114" s="1467">
        <f t="shared" si="393"/>
        <v>22052250.000000004</v>
      </c>
      <c r="AU114" s="1467">
        <f t="shared" si="394"/>
        <v>21235500.000000004</v>
      </c>
      <c r="AV114" s="1467">
        <f t="shared" si="395"/>
        <v>20418750.000000004</v>
      </c>
      <c r="AW114" s="1467">
        <f t="shared" si="396"/>
        <v>19602000.000000004</v>
      </c>
      <c r="AX114" s="1467">
        <f t="shared" si="397"/>
        <v>18785250.000000004</v>
      </c>
      <c r="AY114" s="1467">
        <f t="shared" si="398"/>
        <v>17968500.000000004</v>
      </c>
      <c r="AZ114" s="1467">
        <f t="shared" si="399"/>
        <v>17151750.000000004</v>
      </c>
      <c r="BA114" s="1467">
        <f t="shared" si="400"/>
        <v>16335000.000000004</v>
      </c>
      <c r="BB114" s="1467">
        <f t="shared" si="401"/>
        <v>15518250.000000004</v>
      </c>
      <c r="BC114" s="1467">
        <f t="shared" si="402"/>
        <v>14701500.000000004</v>
      </c>
      <c r="BD114" s="1467">
        <f t="shared" si="403"/>
        <v>13884750.000000004</v>
      </c>
      <c r="BE114" s="1467">
        <f t="shared" si="404"/>
        <v>13068000.000000004</v>
      </c>
      <c r="BF114" s="1467">
        <f t="shared" si="405"/>
        <v>12251250.000000004</v>
      </c>
      <c r="BG114" s="1467">
        <f t="shared" si="406"/>
        <v>11434500.000000004</v>
      </c>
      <c r="BH114" s="1467">
        <f t="shared" si="407"/>
        <v>10617750.000000004</v>
      </c>
      <c r="BI114" s="1467">
        <f t="shared" si="408"/>
        <v>9801000.0000000037</v>
      </c>
      <c r="BJ114" s="1467">
        <f t="shared" si="409"/>
        <v>8984250.0000000037</v>
      </c>
      <c r="BK114" s="1467">
        <f t="shared" si="410"/>
        <v>8167500.0000000037</v>
      </c>
      <c r="BL114" s="1467">
        <f t="shared" si="411"/>
        <v>7350750.0000000037</v>
      </c>
      <c r="BM114" s="1467">
        <f t="shared" si="412"/>
        <v>6534000.0000000037</v>
      </c>
      <c r="BN114" s="1467">
        <f t="shared" si="413"/>
        <v>5717250.0000000037</v>
      </c>
      <c r="BO114" s="1467">
        <f t="shared" si="414"/>
        <v>4900500.0000000037</v>
      </c>
      <c r="BP114" s="1467">
        <f t="shared" si="415"/>
        <v>4083750.0000000037</v>
      </c>
      <c r="BQ114" s="1467">
        <f t="shared" si="416"/>
        <v>3267000.0000000037</v>
      </c>
      <c r="BR114" s="1467">
        <f t="shared" si="417"/>
        <v>2450250.0000000037</v>
      </c>
      <c r="BS114" s="1467">
        <f t="shared" si="418"/>
        <v>1633500.0000000037</v>
      </c>
      <c r="BT114" s="1467">
        <f t="shared" si="419"/>
        <v>816750.00000000361</v>
      </c>
      <c r="BU114" s="1467">
        <f t="shared" si="420"/>
        <v>3.4924596548080444E-9</v>
      </c>
      <c r="BV114" s="1482"/>
    </row>
    <row r="115" spans="1:74" x14ac:dyDescent="0.2">
      <c r="A115" s="927" t="str">
        <f t="shared" si="421"/>
        <v>Sorghum (Starch).Straight-Line</v>
      </c>
      <c r="B115" s="1076"/>
      <c r="C115" s="1076" t="str">
        <f t="shared" si="467"/>
        <v>Sorghum (Starch)</v>
      </c>
      <c r="D115" s="1076" t="str">
        <f>Assumptions!$AH$81</f>
        <v>Straight-Line</v>
      </c>
      <c r="E115" s="1076" t="str">
        <f t="shared" ref="E115:F115" si="473">E101</f>
        <v>Distillation, Rectification and Dehydration</v>
      </c>
      <c r="F115" s="1467">
        <f t="shared" si="473"/>
        <v>23000000</v>
      </c>
      <c r="G115" s="1467">
        <f t="shared" si="422"/>
        <v>28462500</v>
      </c>
      <c r="H115" s="1467">
        <f t="shared" si="423"/>
        <v>31308750.000000004</v>
      </c>
      <c r="I115" s="1467">
        <f t="shared" si="424"/>
        <v>31308750.000000004</v>
      </c>
      <c r="J115" s="1161">
        <f t="shared" si="470"/>
        <v>3.3333333333333333E-2</v>
      </c>
      <c r="K115" s="1107"/>
      <c r="L115" s="1467">
        <f t="shared" si="425"/>
        <v>1043625.0000000001</v>
      </c>
      <c r="M115" s="1467">
        <f t="shared" si="425"/>
        <v>1043625.0000000001</v>
      </c>
      <c r="N115" s="1467">
        <f t="shared" si="425"/>
        <v>1043625.0000000001</v>
      </c>
      <c r="O115" s="1467">
        <f t="shared" si="425"/>
        <v>1043625.0000000001</v>
      </c>
      <c r="P115" s="1467">
        <f t="shared" si="425"/>
        <v>1043625.0000000001</v>
      </c>
      <c r="Q115" s="1467">
        <f t="shared" si="425"/>
        <v>1043625.0000000001</v>
      </c>
      <c r="R115" s="1467">
        <f t="shared" si="425"/>
        <v>1043625.0000000001</v>
      </c>
      <c r="S115" s="1467">
        <f t="shared" si="425"/>
        <v>1043625.0000000001</v>
      </c>
      <c r="T115" s="1467">
        <f t="shared" si="425"/>
        <v>1043625.0000000001</v>
      </c>
      <c r="U115" s="1467">
        <f t="shared" si="425"/>
        <v>1043625.0000000001</v>
      </c>
      <c r="V115" s="1467">
        <f t="shared" si="425"/>
        <v>1043625.0000000001</v>
      </c>
      <c r="W115" s="1467">
        <f t="shared" si="425"/>
        <v>1043625.0000000001</v>
      </c>
      <c r="X115" s="1467">
        <f t="shared" si="425"/>
        <v>1043625.0000000001</v>
      </c>
      <c r="Y115" s="1467">
        <f t="shared" si="425"/>
        <v>1043625.0000000001</v>
      </c>
      <c r="Z115" s="1467">
        <f t="shared" si="425"/>
        <v>1043625.0000000001</v>
      </c>
      <c r="AA115" s="1467">
        <f t="shared" si="425"/>
        <v>1043625.0000000001</v>
      </c>
      <c r="AB115" s="1467">
        <f t="shared" si="466"/>
        <v>1043625.0000000001</v>
      </c>
      <c r="AC115" s="1467">
        <f t="shared" si="466"/>
        <v>1043625.0000000001</v>
      </c>
      <c r="AD115" s="1467">
        <f t="shared" si="466"/>
        <v>1043625.0000000001</v>
      </c>
      <c r="AE115" s="1467">
        <f t="shared" si="466"/>
        <v>1043625.0000000001</v>
      </c>
      <c r="AF115" s="1467">
        <f t="shared" si="466"/>
        <v>1043625.0000000001</v>
      </c>
      <c r="AG115" s="1467">
        <f t="shared" si="466"/>
        <v>1043625.0000000001</v>
      </c>
      <c r="AH115" s="1467">
        <f t="shared" si="466"/>
        <v>1043625.0000000001</v>
      </c>
      <c r="AI115" s="1467">
        <f t="shared" si="466"/>
        <v>1043625.0000000001</v>
      </c>
      <c r="AJ115" s="1467">
        <f t="shared" si="466"/>
        <v>1043625.0000000001</v>
      </c>
      <c r="AK115" s="1467">
        <f t="shared" si="466"/>
        <v>1043625.0000000001</v>
      </c>
      <c r="AL115" s="1467">
        <f t="shared" si="466"/>
        <v>1043625.0000000001</v>
      </c>
      <c r="AM115" s="1467">
        <f t="shared" si="466"/>
        <v>1043625.0000000001</v>
      </c>
      <c r="AN115" s="1467">
        <f t="shared" si="466"/>
        <v>1043625.0000000001</v>
      </c>
      <c r="AO115" s="1467">
        <f t="shared" si="466"/>
        <v>1043625.0000000001</v>
      </c>
      <c r="AP115" s="1468">
        <f t="shared" si="426"/>
        <v>31308750.000000004</v>
      </c>
      <c r="AQ115" s="1482"/>
      <c r="AR115" s="1467">
        <f t="shared" si="427"/>
        <v>30265125.000000004</v>
      </c>
      <c r="AS115" s="1467">
        <f t="shared" si="428"/>
        <v>29221500.000000004</v>
      </c>
      <c r="AT115" s="1467">
        <f t="shared" si="393"/>
        <v>28177875.000000004</v>
      </c>
      <c r="AU115" s="1467">
        <f t="shared" si="394"/>
        <v>27134250.000000004</v>
      </c>
      <c r="AV115" s="1467">
        <f t="shared" si="395"/>
        <v>26090625.000000004</v>
      </c>
      <c r="AW115" s="1467">
        <f t="shared" si="396"/>
        <v>25047000.000000004</v>
      </c>
      <c r="AX115" s="1467">
        <f t="shared" si="397"/>
        <v>24003375.000000004</v>
      </c>
      <c r="AY115" s="1467">
        <f t="shared" si="398"/>
        <v>22959750.000000004</v>
      </c>
      <c r="AZ115" s="1467">
        <f t="shared" si="399"/>
        <v>21916125.000000004</v>
      </c>
      <c r="BA115" s="1467">
        <f t="shared" si="400"/>
        <v>20872500.000000004</v>
      </c>
      <c r="BB115" s="1467">
        <f t="shared" si="401"/>
        <v>19828875.000000004</v>
      </c>
      <c r="BC115" s="1467">
        <f t="shared" si="402"/>
        <v>18785250.000000004</v>
      </c>
      <c r="BD115" s="1467">
        <f t="shared" si="403"/>
        <v>17741625.000000004</v>
      </c>
      <c r="BE115" s="1467">
        <f t="shared" si="404"/>
        <v>16698000.000000004</v>
      </c>
      <c r="BF115" s="1467">
        <f t="shared" si="405"/>
        <v>15654375.000000004</v>
      </c>
      <c r="BG115" s="1467">
        <f t="shared" si="406"/>
        <v>14610750.000000004</v>
      </c>
      <c r="BH115" s="1467">
        <f t="shared" si="407"/>
        <v>13567125.000000004</v>
      </c>
      <c r="BI115" s="1467">
        <f t="shared" si="408"/>
        <v>12523500.000000004</v>
      </c>
      <c r="BJ115" s="1467">
        <f t="shared" si="409"/>
        <v>11479875.000000004</v>
      </c>
      <c r="BK115" s="1467">
        <f t="shared" si="410"/>
        <v>10436250.000000004</v>
      </c>
      <c r="BL115" s="1467">
        <f t="shared" si="411"/>
        <v>9392625.0000000037</v>
      </c>
      <c r="BM115" s="1467">
        <f t="shared" si="412"/>
        <v>8349000.0000000037</v>
      </c>
      <c r="BN115" s="1467">
        <f t="shared" si="413"/>
        <v>7305375.0000000037</v>
      </c>
      <c r="BO115" s="1467">
        <f t="shared" si="414"/>
        <v>6261750.0000000037</v>
      </c>
      <c r="BP115" s="1467">
        <f t="shared" si="415"/>
        <v>5218125.0000000037</v>
      </c>
      <c r="BQ115" s="1467">
        <f t="shared" si="416"/>
        <v>4174500.0000000037</v>
      </c>
      <c r="BR115" s="1467">
        <f t="shared" si="417"/>
        <v>3130875.0000000037</v>
      </c>
      <c r="BS115" s="1467">
        <f t="shared" si="418"/>
        <v>2087250.0000000037</v>
      </c>
      <c r="BT115" s="1467">
        <f t="shared" si="419"/>
        <v>1043625.0000000036</v>
      </c>
      <c r="BU115" s="1467">
        <f t="shared" si="420"/>
        <v>3.4924596548080444E-9</v>
      </c>
      <c r="BV115" s="1482"/>
    </row>
    <row r="116" spans="1:74" x14ac:dyDescent="0.2">
      <c r="A116" s="927" t="str">
        <f t="shared" si="421"/>
        <v>Sorghum (Starch).Straight-Line</v>
      </c>
      <c r="B116" s="1076"/>
      <c r="C116" s="1076" t="str">
        <f t="shared" si="467"/>
        <v>Sorghum (Starch)</v>
      </c>
      <c r="D116" s="1076" t="str">
        <f>Assumptions!$AH$81</f>
        <v>Straight-Line</v>
      </c>
      <c r="E116" s="1076" t="str">
        <f t="shared" ref="E116:F116" si="474">E102</f>
        <v>Alcohol Storage</v>
      </c>
      <c r="F116" s="1467">
        <f t="shared" si="474"/>
        <v>5000000</v>
      </c>
      <c r="G116" s="1467">
        <f t="shared" si="422"/>
        <v>6187500</v>
      </c>
      <c r="H116" s="1467">
        <f t="shared" si="423"/>
        <v>6806250.0000000009</v>
      </c>
      <c r="I116" s="1467">
        <f t="shared" si="424"/>
        <v>6806250.0000000009</v>
      </c>
      <c r="J116" s="1161">
        <f t="shared" si="470"/>
        <v>3.3333333333333333E-2</v>
      </c>
      <c r="K116" s="1107"/>
      <c r="L116" s="1467">
        <f t="shared" si="425"/>
        <v>226875.00000000003</v>
      </c>
      <c r="M116" s="1467">
        <f t="shared" si="425"/>
        <v>226875.00000000003</v>
      </c>
      <c r="N116" s="1467">
        <f t="shared" si="425"/>
        <v>226875.00000000003</v>
      </c>
      <c r="O116" s="1467">
        <f t="shared" si="425"/>
        <v>226875.00000000003</v>
      </c>
      <c r="P116" s="1467">
        <f t="shared" si="425"/>
        <v>226875.00000000003</v>
      </c>
      <c r="Q116" s="1467">
        <f t="shared" si="425"/>
        <v>226875.00000000003</v>
      </c>
      <c r="R116" s="1467">
        <f t="shared" si="425"/>
        <v>226875.00000000003</v>
      </c>
      <c r="S116" s="1467">
        <f t="shared" si="425"/>
        <v>226875.00000000003</v>
      </c>
      <c r="T116" s="1467">
        <f t="shared" si="425"/>
        <v>226875.00000000003</v>
      </c>
      <c r="U116" s="1467">
        <f t="shared" si="425"/>
        <v>226875.00000000003</v>
      </c>
      <c r="V116" s="1467">
        <f t="shared" si="425"/>
        <v>226875.00000000003</v>
      </c>
      <c r="W116" s="1467">
        <f t="shared" si="425"/>
        <v>226875.00000000003</v>
      </c>
      <c r="X116" s="1467">
        <f t="shared" si="425"/>
        <v>226875.00000000003</v>
      </c>
      <c r="Y116" s="1467">
        <f t="shared" si="425"/>
        <v>226875.00000000003</v>
      </c>
      <c r="Z116" s="1467">
        <f t="shared" si="425"/>
        <v>226875.00000000003</v>
      </c>
      <c r="AA116" s="1467">
        <f t="shared" si="425"/>
        <v>226875.00000000003</v>
      </c>
      <c r="AB116" s="1467">
        <f t="shared" si="466"/>
        <v>226875.00000000003</v>
      </c>
      <c r="AC116" s="1467">
        <f t="shared" si="466"/>
        <v>226875.00000000003</v>
      </c>
      <c r="AD116" s="1467">
        <f t="shared" si="466"/>
        <v>226875.00000000003</v>
      </c>
      <c r="AE116" s="1467">
        <f t="shared" si="466"/>
        <v>226875.00000000003</v>
      </c>
      <c r="AF116" s="1467">
        <f t="shared" si="466"/>
        <v>226875.00000000003</v>
      </c>
      <c r="AG116" s="1467">
        <f t="shared" si="466"/>
        <v>226875.00000000003</v>
      </c>
      <c r="AH116" s="1467">
        <f t="shared" si="466"/>
        <v>226875.00000000003</v>
      </c>
      <c r="AI116" s="1467">
        <f t="shared" si="466"/>
        <v>226875.00000000003</v>
      </c>
      <c r="AJ116" s="1467">
        <f t="shared" si="466"/>
        <v>226875.00000000003</v>
      </c>
      <c r="AK116" s="1467">
        <f t="shared" si="466"/>
        <v>226875.00000000003</v>
      </c>
      <c r="AL116" s="1467">
        <f t="shared" si="466"/>
        <v>226875.00000000003</v>
      </c>
      <c r="AM116" s="1467">
        <f t="shared" si="466"/>
        <v>226875.00000000003</v>
      </c>
      <c r="AN116" s="1467">
        <f t="shared" si="466"/>
        <v>226875.00000000003</v>
      </c>
      <c r="AO116" s="1467">
        <f t="shared" si="466"/>
        <v>226875.00000000003</v>
      </c>
      <c r="AP116" s="1468">
        <f t="shared" ref="AP116:AP121" si="475">SUM(L116:AO116)</f>
        <v>6806250.0000000009</v>
      </c>
      <c r="AQ116" s="1482"/>
      <c r="AR116" s="1467">
        <f t="shared" si="427"/>
        <v>6579375.0000000009</v>
      </c>
      <c r="AS116" s="1467">
        <f t="shared" si="428"/>
        <v>6352500.0000000009</v>
      </c>
      <c r="AT116" s="1467">
        <f t="shared" si="393"/>
        <v>6125625.0000000009</v>
      </c>
      <c r="AU116" s="1467">
        <f t="shared" si="394"/>
        <v>5898750.0000000009</v>
      </c>
      <c r="AV116" s="1467">
        <f t="shared" si="395"/>
        <v>5671875.0000000009</v>
      </c>
      <c r="AW116" s="1467">
        <f t="shared" si="396"/>
        <v>5445000.0000000009</v>
      </c>
      <c r="AX116" s="1467">
        <f t="shared" si="397"/>
        <v>5218125.0000000009</v>
      </c>
      <c r="AY116" s="1467">
        <f t="shared" si="398"/>
        <v>4991250.0000000009</v>
      </c>
      <c r="AZ116" s="1467">
        <f t="shared" si="399"/>
        <v>4764375.0000000009</v>
      </c>
      <c r="BA116" s="1467">
        <f t="shared" si="400"/>
        <v>4537500.0000000009</v>
      </c>
      <c r="BB116" s="1467">
        <f t="shared" si="401"/>
        <v>4310625.0000000009</v>
      </c>
      <c r="BC116" s="1467">
        <f t="shared" si="402"/>
        <v>4083750.0000000009</v>
      </c>
      <c r="BD116" s="1467">
        <f t="shared" si="403"/>
        <v>3856875.0000000009</v>
      </c>
      <c r="BE116" s="1467">
        <f t="shared" si="404"/>
        <v>3630000.0000000009</v>
      </c>
      <c r="BF116" s="1467">
        <f t="shared" si="405"/>
        <v>3403125.0000000009</v>
      </c>
      <c r="BG116" s="1467">
        <f t="shared" si="406"/>
        <v>3176250.0000000009</v>
      </c>
      <c r="BH116" s="1467">
        <f t="shared" si="407"/>
        <v>2949375.0000000009</v>
      </c>
      <c r="BI116" s="1467">
        <f t="shared" si="408"/>
        <v>2722500.0000000009</v>
      </c>
      <c r="BJ116" s="1467">
        <f t="shared" si="409"/>
        <v>2495625.0000000009</v>
      </c>
      <c r="BK116" s="1467">
        <f t="shared" si="410"/>
        <v>2268750.0000000009</v>
      </c>
      <c r="BL116" s="1467">
        <f t="shared" si="411"/>
        <v>2041875.0000000009</v>
      </c>
      <c r="BM116" s="1467">
        <f t="shared" si="412"/>
        <v>1815000.0000000009</v>
      </c>
      <c r="BN116" s="1467">
        <f t="shared" si="413"/>
        <v>1588125.0000000009</v>
      </c>
      <c r="BO116" s="1467">
        <f t="shared" si="414"/>
        <v>1361250.0000000009</v>
      </c>
      <c r="BP116" s="1467">
        <f t="shared" si="415"/>
        <v>1134375.0000000009</v>
      </c>
      <c r="BQ116" s="1467">
        <f t="shared" si="416"/>
        <v>907500.00000000093</v>
      </c>
      <c r="BR116" s="1467">
        <f t="shared" si="417"/>
        <v>680625.00000000093</v>
      </c>
      <c r="BS116" s="1467">
        <f t="shared" si="418"/>
        <v>453750.00000000093</v>
      </c>
      <c r="BT116" s="1467">
        <f t="shared" si="419"/>
        <v>226875.0000000009</v>
      </c>
      <c r="BU116" s="1467">
        <f t="shared" si="420"/>
        <v>8.7311491370201111E-10</v>
      </c>
      <c r="BV116" s="1482"/>
    </row>
    <row r="117" spans="1:74" x14ac:dyDescent="0.2">
      <c r="A117" s="927" t="str">
        <f t="shared" si="421"/>
        <v>Sorghum (Starch).Straight-Line</v>
      </c>
      <c r="B117" s="1076"/>
      <c r="C117" s="1076" t="str">
        <f t="shared" si="467"/>
        <v>Sorghum (Starch)</v>
      </c>
      <c r="D117" s="1076" t="str">
        <f>Assumptions!$AH$81</f>
        <v>Straight-Line</v>
      </c>
      <c r="E117" s="1076" t="str">
        <f t="shared" ref="E117:F117" si="476">E103</f>
        <v>WDGS drying plant</v>
      </c>
      <c r="F117" s="1467">
        <f t="shared" si="476"/>
        <v>14000000</v>
      </c>
      <c r="G117" s="1467">
        <f t="shared" si="422"/>
        <v>17325000</v>
      </c>
      <c r="H117" s="1467">
        <f t="shared" si="423"/>
        <v>19057500</v>
      </c>
      <c r="I117" s="1467">
        <f t="shared" si="424"/>
        <v>19057500</v>
      </c>
      <c r="J117" s="1161">
        <f t="shared" si="470"/>
        <v>3.3333333333333333E-2</v>
      </c>
      <c r="K117" s="1107"/>
      <c r="L117" s="1467">
        <f t="shared" ref="L117:AA122" si="477">$I117*$J117</f>
        <v>635250</v>
      </c>
      <c r="M117" s="1467">
        <f t="shared" si="477"/>
        <v>635250</v>
      </c>
      <c r="N117" s="1467">
        <f t="shared" si="477"/>
        <v>635250</v>
      </c>
      <c r="O117" s="1467">
        <f t="shared" si="477"/>
        <v>635250</v>
      </c>
      <c r="P117" s="1467">
        <f t="shared" si="477"/>
        <v>635250</v>
      </c>
      <c r="Q117" s="1467">
        <f t="shared" si="477"/>
        <v>635250</v>
      </c>
      <c r="R117" s="1467">
        <f t="shared" si="477"/>
        <v>635250</v>
      </c>
      <c r="S117" s="1467">
        <f t="shared" si="477"/>
        <v>635250</v>
      </c>
      <c r="T117" s="1467">
        <f t="shared" si="477"/>
        <v>635250</v>
      </c>
      <c r="U117" s="1467">
        <f t="shared" si="477"/>
        <v>635250</v>
      </c>
      <c r="V117" s="1467">
        <f t="shared" si="477"/>
        <v>635250</v>
      </c>
      <c r="W117" s="1467">
        <f t="shared" si="477"/>
        <v>635250</v>
      </c>
      <c r="X117" s="1467">
        <f t="shared" si="477"/>
        <v>635250</v>
      </c>
      <c r="Y117" s="1467">
        <f t="shared" si="477"/>
        <v>635250</v>
      </c>
      <c r="Z117" s="1467">
        <f t="shared" si="477"/>
        <v>635250</v>
      </c>
      <c r="AA117" s="1467">
        <f t="shared" si="477"/>
        <v>635250</v>
      </c>
      <c r="AB117" s="1467">
        <f t="shared" si="466"/>
        <v>635250</v>
      </c>
      <c r="AC117" s="1467">
        <f t="shared" si="466"/>
        <v>635250</v>
      </c>
      <c r="AD117" s="1467">
        <f t="shared" si="466"/>
        <v>635250</v>
      </c>
      <c r="AE117" s="1467">
        <f t="shared" si="466"/>
        <v>635250</v>
      </c>
      <c r="AF117" s="1467">
        <f t="shared" si="466"/>
        <v>635250</v>
      </c>
      <c r="AG117" s="1467">
        <f t="shared" si="466"/>
        <v>635250</v>
      </c>
      <c r="AH117" s="1467">
        <f t="shared" si="466"/>
        <v>635250</v>
      </c>
      <c r="AI117" s="1467">
        <f t="shared" si="466"/>
        <v>635250</v>
      </c>
      <c r="AJ117" s="1467">
        <f t="shared" si="466"/>
        <v>635250</v>
      </c>
      <c r="AK117" s="1467">
        <f t="shared" si="466"/>
        <v>635250</v>
      </c>
      <c r="AL117" s="1467">
        <f t="shared" si="466"/>
        <v>635250</v>
      </c>
      <c r="AM117" s="1467">
        <f t="shared" si="466"/>
        <v>635250</v>
      </c>
      <c r="AN117" s="1467">
        <f t="shared" si="466"/>
        <v>635250</v>
      </c>
      <c r="AO117" s="1467">
        <f t="shared" si="466"/>
        <v>635250</v>
      </c>
      <c r="AP117" s="1468">
        <f t="shared" si="475"/>
        <v>19057500</v>
      </c>
      <c r="AQ117" s="1482"/>
      <c r="AR117" s="1467">
        <f t="shared" si="427"/>
        <v>18422250</v>
      </c>
      <c r="AS117" s="1467">
        <f t="shared" si="428"/>
        <v>17787000</v>
      </c>
      <c r="AT117" s="1467">
        <f t="shared" si="393"/>
        <v>17151750</v>
      </c>
      <c r="AU117" s="1467">
        <f t="shared" si="394"/>
        <v>16516500</v>
      </c>
      <c r="AV117" s="1467">
        <f t="shared" si="395"/>
        <v>15881250</v>
      </c>
      <c r="AW117" s="1467">
        <f t="shared" si="396"/>
        <v>15246000</v>
      </c>
      <c r="AX117" s="1467">
        <f t="shared" si="397"/>
        <v>14610750</v>
      </c>
      <c r="AY117" s="1467">
        <f t="shared" si="398"/>
        <v>13975500</v>
      </c>
      <c r="AZ117" s="1467">
        <f t="shared" si="399"/>
        <v>13340250</v>
      </c>
      <c r="BA117" s="1467">
        <f t="shared" si="400"/>
        <v>12705000</v>
      </c>
      <c r="BB117" s="1467">
        <f t="shared" si="401"/>
        <v>12069750</v>
      </c>
      <c r="BC117" s="1467">
        <f t="shared" si="402"/>
        <v>11434500</v>
      </c>
      <c r="BD117" s="1467">
        <f t="shared" si="403"/>
        <v>10799250</v>
      </c>
      <c r="BE117" s="1467">
        <f t="shared" si="404"/>
        <v>10164000</v>
      </c>
      <c r="BF117" s="1467">
        <f t="shared" si="405"/>
        <v>9528750</v>
      </c>
      <c r="BG117" s="1467">
        <f t="shared" si="406"/>
        <v>8893500</v>
      </c>
      <c r="BH117" s="1467">
        <f t="shared" si="407"/>
        <v>8258250</v>
      </c>
      <c r="BI117" s="1467">
        <f t="shared" si="408"/>
        <v>7623000</v>
      </c>
      <c r="BJ117" s="1467">
        <f t="shared" si="409"/>
        <v>6987750</v>
      </c>
      <c r="BK117" s="1467">
        <f t="shared" si="410"/>
        <v>6352500</v>
      </c>
      <c r="BL117" s="1467">
        <f t="shared" si="411"/>
        <v>5717250</v>
      </c>
      <c r="BM117" s="1467">
        <f t="shared" si="412"/>
        <v>5082000</v>
      </c>
      <c r="BN117" s="1467">
        <f t="shared" si="413"/>
        <v>4446750</v>
      </c>
      <c r="BO117" s="1467">
        <f t="shared" si="414"/>
        <v>3811500</v>
      </c>
      <c r="BP117" s="1467">
        <f t="shared" si="415"/>
        <v>3176250</v>
      </c>
      <c r="BQ117" s="1467">
        <f t="shared" si="416"/>
        <v>2541000</v>
      </c>
      <c r="BR117" s="1467">
        <f t="shared" si="417"/>
        <v>1905750</v>
      </c>
      <c r="BS117" s="1467">
        <f t="shared" si="418"/>
        <v>1270500</v>
      </c>
      <c r="BT117" s="1467">
        <f t="shared" si="419"/>
        <v>635250</v>
      </c>
      <c r="BU117" s="1467">
        <f t="shared" si="420"/>
        <v>0</v>
      </c>
      <c r="BV117" s="1482"/>
    </row>
    <row r="118" spans="1:74" x14ac:dyDescent="0.2">
      <c r="A118" s="927" t="str">
        <f t="shared" si="421"/>
        <v>Sorghum (Starch).Straight-Line</v>
      </c>
      <c r="B118" s="1076"/>
      <c r="C118" s="1076" t="str">
        <f t="shared" si="467"/>
        <v>Sorghum (Starch)</v>
      </c>
      <c r="D118" s="1076" t="str">
        <f>Assumptions!$AH$81</f>
        <v>Straight-Line</v>
      </c>
      <c r="E118" s="1076" t="str">
        <f t="shared" ref="E118:F118" si="478">E104</f>
        <v>Stockfeed plant - bran, germ, DDGS</v>
      </c>
      <c r="F118" s="1467">
        <f t="shared" si="478"/>
        <v>4000000</v>
      </c>
      <c r="G118" s="1467">
        <f t="shared" si="422"/>
        <v>4950000</v>
      </c>
      <c r="H118" s="1467">
        <f t="shared" si="423"/>
        <v>5445000</v>
      </c>
      <c r="I118" s="1467">
        <f t="shared" si="424"/>
        <v>5445000</v>
      </c>
      <c r="J118" s="1161">
        <f t="shared" si="470"/>
        <v>3.3333333333333333E-2</v>
      </c>
      <c r="K118" s="1107"/>
      <c r="L118" s="1467">
        <f t="shared" si="477"/>
        <v>181500</v>
      </c>
      <c r="M118" s="1467">
        <f t="shared" si="477"/>
        <v>181500</v>
      </c>
      <c r="N118" s="1467">
        <f t="shared" si="477"/>
        <v>181500</v>
      </c>
      <c r="O118" s="1467">
        <f t="shared" si="477"/>
        <v>181500</v>
      </c>
      <c r="P118" s="1467">
        <f t="shared" si="477"/>
        <v>181500</v>
      </c>
      <c r="Q118" s="1467">
        <f t="shared" si="477"/>
        <v>181500</v>
      </c>
      <c r="R118" s="1467">
        <f t="shared" si="477"/>
        <v>181500</v>
      </c>
      <c r="S118" s="1467">
        <f t="shared" si="477"/>
        <v>181500</v>
      </c>
      <c r="T118" s="1467">
        <f t="shared" si="477"/>
        <v>181500</v>
      </c>
      <c r="U118" s="1467">
        <f t="shared" si="477"/>
        <v>181500</v>
      </c>
      <c r="V118" s="1467">
        <f t="shared" si="477"/>
        <v>181500</v>
      </c>
      <c r="W118" s="1467">
        <f t="shared" si="477"/>
        <v>181500</v>
      </c>
      <c r="X118" s="1467">
        <f t="shared" si="477"/>
        <v>181500</v>
      </c>
      <c r="Y118" s="1467">
        <f t="shared" si="477"/>
        <v>181500</v>
      </c>
      <c r="Z118" s="1467">
        <f t="shared" si="477"/>
        <v>181500</v>
      </c>
      <c r="AA118" s="1467">
        <f t="shared" si="477"/>
        <v>181500</v>
      </c>
      <c r="AB118" s="1467">
        <f t="shared" si="466"/>
        <v>181500</v>
      </c>
      <c r="AC118" s="1467">
        <f t="shared" si="466"/>
        <v>181500</v>
      </c>
      <c r="AD118" s="1467">
        <f t="shared" si="466"/>
        <v>181500</v>
      </c>
      <c r="AE118" s="1467">
        <f t="shared" si="466"/>
        <v>181500</v>
      </c>
      <c r="AF118" s="1467">
        <f t="shared" si="466"/>
        <v>181500</v>
      </c>
      <c r="AG118" s="1467">
        <f t="shared" si="466"/>
        <v>181500</v>
      </c>
      <c r="AH118" s="1467">
        <f t="shared" si="466"/>
        <v>181500</v>
      </c>
      <c r="AI118" s="1467">
        <f t="shared" si="466"/>
        <v>181500</v>
      </c>
      <c r="AJ118" s="1467">
        <f t="shared" si="466"/>
        <v>181500</v>
      </c>
      <c r="AK118" s="1467">
        <f t="shared" si="466"/>
        <v>181500</v>
      </c>
      <c r="AL118" s="1467">
        <f t="shared" si="466"/>
        <v>181500</v>
      </c>
      <c r="AM118" s="1467">
        <f t="shared" si="466"/>
        <v>181500</v>
      </c>
      <c r="AN118" s="1467">
        <f t="shared" si="466"/>
        <v>181500</v>
      </c>
      <c r="AO118" s="1467">
        <f t="shared" si="466"/>
        <v>181500</v>
      </c>
      <c r="AP118" s="1468">
        <f t="shared" si="475"/>
        <v>5445000</v>
      </c>
      <c r="AQ118" s="1482"/>
      <c r="AR118" s="1467">
        <f t="shared" si="427"/>
        <v>5263500</v>
      </c>
      <c r="AS118" s="1467">
        <f t="shared" si="428"/>
        <v>5082000</v>
      </c>
      <c r="AT118" s="1467">
        <f t="shared" si="393"/>
        <v>4900500</v>
      </c>
      <c r="AU118" s="1467">
        <f t="shared" si="394"/>
        <v>4719000</v>
      </c>
      <c r="AV118" s="1467">
        <f t="shared" si="395"/>
        <v>4537500</v>
      </c>
      <c r="AW118" s="1467">
        <f t="shared" si="396"/>
        <v>4356000</v>
      </c>
      <c r="AX118" s="1467">
        <f t="shared" si="397"/>
        <v>4174500</v>
      </c>
      <c r="AY118" s="1467">
        <f t="shared" si="398"/>
        <v>3993000</v>
      </c>
      <c r="AZ118" s="1467">
        <f t="shared" si="399"/>
        <v>3811500</v>
      </c>
      <c r="BA118" s="1467">
        <f t="shared" si="400"/>
        <v>3630000</v>
      </c>
      <c r="BB118" s="1467">
        <f t="shared" si="401"/>
        <v>3448500</v>
      </c>
      <c r="BC118" s="1467">
        <f t="shared" si="402"/>
        <v>3267000</v>
      </c>
      <c r="BD118" s="1467">
        <f t="shared" si="403"/>
        <v>3085500</v>
      </c>
      <c r="BE118" s="1467">
        <f t="shared" si="404"/>
        <v>2904000</v>
      </c>
      <c r="BF118" s="1467">
        <f t="shared" si="405"/>
        <v>2722500</v>
      </c>
      <c r="BG118" s="1467">
        <f t="shared" si="406"/>
        <v>2541000</v>
      </c>
      <c r="BH118" s="1467">
        <f t="shared" si="407"/>
        <v>2359500</v>
      </c>
      <c r="BI118" s="1467">
        <f t="shared" si="408"/>
        <v>2178000</v>
      </c>
      <c r="BJ118" s="1467">
        <f t="shared" si="409"/>
        <v>1996500</v>
      </c>
      <c r="BK118" s="1467">
        <f t="shared" si="410"/>
        <v>1815000</v>
      </c>
      <c r="BL118" s="1467">
        <f t="shared" si="411"/>
        <v>1633500</v>
      </c>
      <c r="BM118" s="1467">
        <f t="shared" si="412"/>
        <v>1452000</v>
      </c>
      <c r="BN118" s="1467">
        <f t="shared" si="413"/>
        <v>1270500</v>
      </c>
      <c r="BO118" s="1467">
        <f t="shared" si="414"/>
        <v>1089000</v>
      </c>
      <c r="BP118" s="1467">
        <f t="shared" si="415"/>
        <v>907500</v>
      </c>
      <c r="BQ118" s="1467">
        <f t="shared" si="416"/>
        <v>726000</v>
      </c>
      <c r="BR118" s="1467">
        <f t="shared" si="417"/>
        <v>544500</v>
      </c>
      <c r="BS118" s="1467">
        <f t="shared" si="418"/>
        <v>363000</v>
      </c>
      <c r="BT118" s="1467">
        <f t="shared" si="419"/>
        <v>181500</v>
      </c>
      <c r="BU118" s="1467">
        <f t="shared" si="420"/>
        <v>0</v>
      </c>
      <c r="BV118" s="1482"/>
    </row>
    <row r="119" spans="1:74" x14ac:dyDescent="0.2">
      <c r="A119" s="927" t="str">
        <f t="shared" si="421"/>
        <v>Sorghum (Starch).Straight-Line</v>
      </c>
      <c r="B119" s="1076"/>
      <c r="C119" s="1076" t="str">
        <f t="shared" si="467"/>
        <v>Sorghum (Starch)</v>
      </c>
      <c r="D119" s="1076" t="str">
        <f>Assumptions!$AH$81</f>
        <v>Straight-Line</v>
      </c>
      <c r="E119" s="1076" t="str">
        <f t="shared" ref="E119:F119" si="479">E105</f>
        <v>Biogas Plant</v>
      </c>
      <c r="F119" s="1467">
        <f t="shared" si="479"/>
        <v>13000000</v>
      </c>
      <c r="G119" s="1467">
        <f t="shared" si="422"/>
        <v>16087500</v>
      </c>
      <c r="H119" s="1467">
        <f t="shared" si="423"/>
        <v>17696250</v>
      </c>
      <c r="I119" s="1467">
        <f t="shared" si="424"/>
        <v>17696250</v>
      </c>
      <c r="J119" s="1161">
        <f t="shared" si="470"/>
        <v>3.3333333333333333E-2</v>
      </c>
      <c r="K119" s="1107"/>
      <c r="L119" s="1467">
        <f t="shared" si="477"/>
        <v>589875</v>
      </c>
      <c r="M119" s="1467">
        <f t="shared" si="477"/>
        <v>589875</v>
      </c>
      <c r="N119" s="1467">
        <f t="shared" si="477"/>
        <v>589875</v>
      </c>
      <c r="O119" s="1467">
        <f t="shared" si="477"/>
        <v>589875</v>
      </c>
      <c r="P119" s="1467">
        <f t="shared" si="477"/>
        <v>589875</v>
      </c>
      <c r="Q119" s="1467">
        <f t="shared" si="477"/>
        <v>589875</v>
      </c>
      <c r="R119" s="1467">
        <f t="shared" si="477"/>
        <v>589875</v>
      </c>
      <c r="S119" s="1467">
        <f t="shared" si="477"/>
        <v>589875</v>
      </c>
      <c r="T119" s="1467">
        <f t="shared" si="477"/>
        <v>589875</v>
      </c>
      <c r="U119" s="1467">
        <f t="shared" si="477"/>
        <v>589875</v>
      </c>
      <c r="V119" s="1467">
        <f t="shared" si="477"/>
        <v>589875</v>
      </c>
      <c r="W119" s="1467">
        <f t="shared" si="477"/>
        <v>589875</v>
      </c>
      <c r="X119" s="1467">
        <f t="shared" si="477"/>
        <v>589875</v>
      </c>
      <c r="Y119" s="1467">
        <f t="shared" si="477"/>
        <v>589875</v>
      </c>
      <c r="Z119" s="1467">
        <f t="shared" si="477"/>
        <v>589875</v>
      </c>
      <c r="AA119" s="1467">
        <f t="shared" si="477"/>
        <v>589875</v>
      </c>
      <c r="AB119" s="1467">
        <f t="shared" si="466"/>
        <v>589875</v>
      </c>
      <c r="AC119" s="1467">
        <f t="shared" si="466"/>
        <v>589875</v>
      </c>
      <c r="AD119" s="1467">
        <f t="shared" si="466"/>
        <v>589875</v>
      </c>
      <c r="AE119" s="1467">
        <f t="shared" si="466"/>
        <v>589875</v>
      </c>
      <c r="AF119" s="1467">
        <f t="shared" si="466"/>
        <v>589875</v>
      </c>
      <c r="AG119" s="1467">
        <f t="shared" si="466"/>
        <v>589875</v>
      </c>
      <c r="AH119" s="1467">
        <f t="shared" si="466"/>
        <v>589875</v>
      </c>
      <c r="AI119" s="1467">
        <f t="shared" si="466"/>
        <v>589875</v>
      </c>
      <c r="AJ119" s="1467">
        <f t="shared" si="466"/>
        <v>589875</v>
      </c>
      <c r="AK119" s="1467">
        <f t="shared" si="466"/>
        <v>589875</v>
      </c>
      <c r="AL119" s="1467">
        <f t="shared" si="466"/>
        <v>589875</v>
      </c>
      <c r="AM119" s="1467">
        <f t="shared" si="466"/>
        <v>589875</v>
      </c>
      <c r="AN119" s="1467">
        <f t="shared" si="466"/>
        <v>589875</v>
      </c>
      <c r="AO119" s="1467">
        <f t="shared" si="466"/>
        <v>589875</v>
      </c>
      <c r="AP119" s="1468">
        <f t="shared" si="475"/>
        <v>17696250</v>
      </c>
      <c r="AQ119" s="1482"/>
      <c r="AR119" s="1467">
        <f t="shared" si="427"/>
        <v>17106375</v>
      </c>
      <c r="AS119" s="1467">
        <f t="shared" si="428"/>
        <v>16516500</v>
      </c>
      <c r="AT119" s="1467">
        <f t="shared" si="393"/>
        <v>15926625</v>
      </c>
      <c r="AU119" s="1467">
        <f t="shared" si="394"/>
        <v>15336750</v>
      </c>
      <c r="AV119" s="1467">
        <f t="shared" si="395"/>
        <v>14746875</v>
      </c>
      <c r="AW119" s="1467">
        <f t="shared" si="396"/>
        <v>14157000</v>
      </c>
      <c r="AX119" s="1467">
        <f t="shared" si="397"/>
        <v>13567125</v>
      </c>
      <c r="AY119" s="1467">
        <f t="shared" si="398"/>
        <v>12977250</v>
      </c>
      <c r="AZ119" s="1467">
        <f t="shared" si="399"/>
        <v>12387375</v>
      </c>
      <c r="BA119" s="1467">
        <f t="shared" si="400"/>
        <v>11797500</v>
      </c>
      <c r="BB119" s="1467">
        <f t="shared" si="401"/>
        <v>11207625</v>
      </c>
      <c r="BC119" s="1467">
        <f t="shared" si="402"/>
        <v>10617750</v>
      </c>
      <c r="BD119" s="1467">
        <f t="shared" si="403"/>
        <v>10027875</v>
      </c>
      <c r="BE119" s="1467">
        <f t="shared" si="404"/>
        <v>9438000</v>
      </c>
      <c r="BF119" s="1467">
        <f t="shared" si="405"/>
        <v>8848125</v>
      </c>
      <c r="BG119" s="1467">
        <f t="shared" si="406"/>
        <v>8258250</v>
      </c>
      <c r="BH119" s="1467">
        <f t="shared" si="407"/>
        <v>7668375</v>
      </c>
      <c r="BI119" s="1467">
        <f t="shared" si="408"/>
        <v>7078500</v>
      </c>
      <c r="BJ119" s="1467">
        <f t="shared" si="409"/>
        <v>6488625</v>
      </c>
      <c r="BK119" s="1467">
        <f t="shared" si="410"/>
        <v>5898750</v>
      </c>
      <c r="BL119" s="1467">
        <f t="shared" si="411"/>
        <v>5308875</v>
      </c>
      <c r="BM119" s="1467">
        <f t="shared" si="412"/>
        <v>4719000</v>
      </c>
      <c r="BN119" s="1467">
        <f t="shared" si="413"/>
        <v>4129125</v>
      </c>
      <c r="BO119" s="1467">
        <f t="shared" si="414"/>
        <v>3539250</v>
      </c>
      <c r="BP119" s="1467">
        <f t="shared" si="415"/>
        <v>2949375</v>
      </c>
      <c r="BQ119" s="1467">
        <f t="shared" si="416"/>
        <v>2359500</v>
      </c>
      <c r="BR119" s="1467">
        <f t="shared" si="417"/>
        <v>1769625</v>
      </c>
      <c r="BS119" s="1467">
        <f t="shared" si="418"/>
        <v>1179750</v>
      </c>
      <c r="BT119" s="1467">
        <f t="shared" si="419"/>
        <v>589875</v>
      </c>
      <c r="BU119" s="1467">
        <f t="shared" si="420"/>
        <v>0</v>
      </c>
      <c r="BV119" s="1482"/>
    </row>
    <row r="120" spans="1:74" x14ac:dyDescent="0.2">
      <c r="A120" s="927" t="str">
        <f t="shared" si="421"/>
        <v>Sorghum (Starch).Straight-Line</v>
      </c>
      <c r="B120" s="1076"/>
      <c r="C120" s="1076" t="str">
        <f t="shared" si="467"/>
        <v>Sorghum (Starch)</v>
      </c>
      <c r="D120" s="1076" t="str">
        <f>Assumptions!$AH$81</f>
        <v>Straight-Line</v>
      </c>
      <c r="E120" s="1076" t="str">
        <f t="shared" ref="E120:F121" si="480">E106</f>
        <v>Cogeneration Plant</v>
      </c>
      <c r="F120" s="1467">
        <f t="shared" si="480"/>
        <v>10000000</v>
      </c>
      <c r="G120" s="1467">
        <f t="shared" si="422"/>
        <v>12375000</v>
      </c>
      <c r="H120" s="1467">
        <f t="shared" si="423"/>
        <v>13612500.000000002</v>
      </c>
      <c r="I120" s="1467">
        <f t="shared" si="424"/>
        <v>13612500.000000002</v>
      </c>
      <c r="J120" s="1161">
        <f t="shared" si="470"/>
        <v>3.3333333333333333E-2</v>
      </c>
      <c r="K120" s="1107"/>
      <c r="L120" s="1467">
        <f t="shared" si="477"/>
        <v>453750.00000000006</v>
      </c>
      <c r="M120" s="1467">
        <f t="shared" si="477"/>
        <v>453750.00000000006</v>
      </c>
      <c r="N120" s="1467">
        <f t="shared" si="477"/>
        <v>453750.00000000006</v>
      </c>
      <c r="O120" s="1467">
        <f t="shared" si="477"/>
        <v>453750.00000000006</v>
      </c>
      <c r="P120" s="1467">
        <f t="shared" si="477"/>
        <v>453750.00000000006</v>
      </c>
      <c r="Q120" s="1467">
        <f t="shared" si="477"/>
        <v>453750.00000000006</v>
      </c>
      <c r="R120" s="1467">
        <f t="shared" si="477"/>
        <v>453750.00000000006</v>
      </c>
      <c r="S120" s="1467">
        <f t="shared" si="477"/>
        <v>453750.00000000006</v>
      </c>
      <c r="T120" s="1467">
        <f t="shared" si="477"/>
        <v>453750.00000000006</v>
      </c>
      <c r="U120" s="1467">
        <f t="shared" si="477"/>
        <v>453750.00000000006</v>
      </c>
      <c r="V120" s="1467">
        <f t="shared" si="477"/>
        <v>453750.00000000006</v>
      </c>
      <c r="W120" s="1467">
        <f t="shared" si="477"/>
        <v>453750.00000000006</v>
      </c>
      <c r="X120" s="1467">
        <f t="shared" si="477"/>
        <v>453750.00000000006</v>
      </c>
      <c r="Y120" s="1467">
        <f t="shared" si="477"/>
        <v>453750.00000000006</v>
      </c>
      <c r="Z120" s="1467">
        <f t="shared" si="477"/>
        <v>453750.00000000006</v>
      </c>
      <c r="AA120" s="1467">
        <f t="shared" si="477"/>
        <v>453750.00000000006</v>
      </c>
      <c r="AB120" s="1467">
        <f t="shared" si="466"/>
        <v>453750.00000000006</v>
      </c>
      <c r="AC120" s="1467">
        <f t="shared" si="466"/>
        <v>453750.00000000006</v>
      </c>
      <c r="AD120" s="1467">
        <f t="shared" si="466"/>
        <v>453750.00000000006</v>
      </c>
      <c r="AE120" s="1467">
        <f t="shared" si="466"/>
        <v>453750.00000000006</v>
      </c>
      <c r="AF120" s="1467">
        <f t="shared" si="466"/>
        <v>453750.00000000006</v>
      </c>
      <c r="AG120" s="1467">
        <f t="shared" si="466"/>
        <v>453750.00000000006</v>
      </c>
      <c r="AH120" s="1467">
        <f t="shared" si="466"/>
        <v>453750.00000000006</v>
      </c>
      <c r="AI120" s="1467">
        <f t="shared" si="466"/>
        <v>453750.00000000006</v>
      </c>
      <c r="AJ120" s="1467">
        <f t="shared" si="466"/>
        <v>453750.00000000006</v>
      </c>
      <c r="AK120" s="1467">
        <f t="shared" si="466"/>
        <v>453750.00000000006</v>
      </c>
      <c r="AL120" s="1467">
        <f t="shared" si="466"/>
        <v>453750.00000000006</v>
      </c>
      <c r="AM120" s="1467">
        <f t="shared" si="466"/>
        <v>453750.00000000006</v>
      </c>
      <c r="AN120" s="1467">
        <f t="shared" si="466"/>
        <v>453750.00000000006</v>
      </c>
      <c r="AO120" s="1467">
        <f t="shared" si="466"/>
        <v>453750.00000000006</v>
      </c>
      <c r="AP120" s="1468">
        <f t="shared" si="475"/>
        <v>13612500.000000002</v>
      </c>
      <c r="AQ120" s="1482"/>
      <c r="AR120" s="1467">
        <f t="shared" si="427"/>
        <v>13158750.000000002</v>
      </c>
      <c r="AS120" s="1467">
        <f t="shared" si="428"/>
        <v>12705000.000000002</v>
      </c>
      <c r="AT120" s="1467">
        <f t="shared" si="393"/>
        <v>12251250.000000002</v>
      </c>
      <c r="AU120" s="1467">
        <f t="shared" si="394"/>
        <v>11797500.000000002</v>
      </c>
      <c r="AV120" s="1467">
        <f t="shared" si="395"/>
        <v>11343750.000000002</v>
      </c>
      <c r="AW120" s="1467">
        <f t="shared" si="396"/>
        <v>10890000.000000002</v>
      </c>
      <c r="AX120" s="1467">
        <f t="shared" si="397"/>
        <v>10436250.000000002</v>
      </c>
      <c r="AY120" s="1467">
        <f t="shared" si="398"/>
        <v>9982500.0000000019</v>
      </c>
      <c r="AZ120" s="1467">
        <f t="shared" si="399"/>
        <v>9528750.0000000019</v>
      </c>
      <c r="BA120" s="1467">
        <f t="shared" si="400"/>
        <v>9075000.0000000019</v>
      </c>
      <c r="BB120" s="1467">
        <f t="shared" si="401"/>
        <v>8621250.0000000019</v>
      </c>
      <c r="BC120" s="1467">
        <f t="shared" si="402"/>
        <v>8167500.0000000019</v>
      </c>
      <c r="BD120" s="1467">
        <f t="shared" si="403"/>
        <v>7713750.0000000019</v>
      </c>
      <c r="BE120" s="1467">
        <f t="shared" si="404"/>
        <v>7260000.0000000019</v>
      </c>
      <c r="BF120" s="1467">
        <f t="shared" si="405"/>
        <v>6806250.0000000019</v>
      </c>
      <c r="BG120" s="1467">
        <f t="shared" si="406"/>
        <v>6352500.0000000019</v>
      </c>
      <c r="BH120" s="1467">
        <f t="shared" si="407"/>
        <v>5898750.0000000019</v>
      </c>
      <c r="BI120" s="1467">
        <f t="shared" si="408"/>
        <v>5445000.0000000019</v>
      </c>
      <c r="BJ120" s="1467">
        <f t="shared" si="409"/>
        <v>4991250.0000000019</v>
      </c>
      <c r="BK120" s="1467">
        <f t="shared" si="410"/>
        <v>4537500.0000000019</v>
      </c>
      <c r="BL120" s="1467">
        <f t="shared" si="411"/>
        <v>4083750.0000000019</v>
      </c>
      <c r="BM120" s="1467">
        <f t="shared" si="412"/>
        <v>3630000.0000000019</v>
      </c>
      <c r="BN120" s="1467">
        <f t="shared" si="413"/>
        <v>3176250.0000000019</v>
      </c>
      <c r="BO120" s="1467">
        <f t="shared" si="414"/>
        <v>2722500.0000000019</v>
      </c>
      <c r="BP120" s="1467">
        <f t="shared" si="415"/>
        <v>2268750.0000000019</v>
      </c>
      <c r="BQ120" s="1467">
        <f t="shared" si="416"/>
        <v>1815000.0000000019</v>
      </c>
      <c r="BR120" s="1467">
        <f t="shared" si="417"/>
        <v>1361250.0000000019</v>
      </c>
      <c r="BS120" s="1467">
        <f t="shared" si="418"/>
        <v>907500.00000000186</v>
      </c>
      <c r="BT120" s="1467">
        <f t="shared" si="419"/>
        <v>453750.0000000018</v>
      </c>
      <c r="BU120" s="1467">
        <f t="shared" si="420"/>
        <v>1.7462298274040222E-9</v>
      </c>
      <c r="BV120" s="1482"/>
    </row>
    <row r="121" spans="1:74" x14ac:dyDescent="0.2">
      <c r="A121" s="927" t="str">
        <f t="shared" si="421"/>
        <v>Sorghum (Starch).Straight-Line</v>
      </c>
      <c r="B121" s="1168"/>
      <c r="C121" s="1168" t="str">
        <f t="shared" si="467"/>
        <v>Sorghum (Starch)</v>
      </c>
      <c r="D121" s="1168" t="str">
        <f>Assumptions!$AH$81</f>
        <v>Straight-Line</v>
      </c>
      <c r="E121" s="1168" t="str">
        <f>E107</f>
        <v>Non-process buildings</v>
      </c>
      <c r="F121" s="1469">
        <f t="shared" si="480"/>
        <v>5000000</v>
      </c>
      <c r="G121" s="1469">
        <f t="shared" si="422"/>
        <v>6187500</v>
      </c>
      <c r="H121" s="1469">
        <f t="shared" si="423"/>
        <v>6806250.0000000009</v>
      </c>
      <c r="I121" s="1469">
        <f t="shared" si="424"/>
        <v>6806250.0000000009</v>
      </c>
      <c r="J121" s="1473">
        <f t="shared" si="470"/>
        <v>3.3333333333333333E-2</v>
      </c>
      <c r="K121" s="1107"/>
      <c r="L121" s="1467">
        <f t="shared" si="477"/>
        <v>226875.00000000003</v>
      </c>
      <c r="M121" s="1467">
        <f t="shared" si="477"/>
        <v>226875.00000000003</v>
      </c>
      <c r="N121" s="1467">
        <f t="shared" si="477"/>
        <v>226875.00000000003</v>
      </c>
      <c r="O121" s="1467">
        <f t="shared" si="477"/>
        <v>226875.00000000003</v>
      </c>
      <c r="P121" s="1467">
        <f t="shared" si="477"/>
        <v>226875.00000000003</v>
      </c>
      <c r="Q121" s="1467">
        <f t="shared" si="477"/>
        <v>226875.00000000003</v>
      </c>
      <c r="R121" s="1467">
        <f t="shared" si="477"/>
        <v>226875.00000000003</v>
      </c>
      <c r="S121" s="1467">
        <f t="shared" si="477"/>
        <v>226875.00000000003</v>
      </c>
      <c r="T121" s="1467">
        <f t="shared" si="477"/>
        <v>226875.00000000003</v>
      </c>
      <c r="U121" s="1467">
        <f t="shared" si="477"/>
        <v>226875.00000000003</v>
      </c>
      <c r="V121" s="1467">
        <f t="shared" si="477"/>
        <v>226875.00000000003</v>
      </c>
      <c r="W121" s="1467">
        <f t="shared" si="477"/>
        <v>226875.00000000003</v>
      </c>
      <c r="X121" s="1467">
        <f t="shared" si="477"/>
        <v>226875.00000000003</v>
      </c>
      <c r="Y121" s="1467">
        <f t="shared" si="477"/>
        <v>226875.00000000003</v>
      </c>
      <c r="Z121" s="1467">
        <f t="shared" si="477"/>
        <v>226875.00000000003</v>
      </c>
      <c r="AA121" s="1467">
        <f t="shared" si="477"/>
        <v>226875.00000000003</v>
      </c>
      <c r="AB121" s="1467">
        <f t="shared" si="466"/>
        <v>226875.00000000003</v>
      </c>
      <c r="AC121" s="1467">
        <f t="shared" si="466"/>
        <v>226875.00000000003</v>
      </c>
      <c r="AD121" s="1467">
        <f t="shared" si="466"/>
        <v>226875.00000000003</v>
      </c>
      <c r="AE121" s="1467">
        <f t="shared" si="466"/>
        <v>226875.00000000003</v>
      </c>
      <c r="AF121" s="1467">
        <f t="shared" si="466"/>
        <v>226875.00000000003</v>
      </c>
      <c r="AG121" s="1467">
        <f t="shared" si="466"/>
        <v>226875.00000000003</v>
      </c>
      <c r="AH121" s="1467">
        <f t="shared" si="466"/>
        <v>226875.00000000003</v>
      </c>
      <c r="AI121" s="1467">
        <f t="shared" si="466"/>
        <v>226875.00000000003</v>
      </c>
      <c r="AJ121" s="1467">
        <f t="shared" si="466"/>
        <v>226875.00000000003</v>
      </c>
      <c r="AK121" s="1467">
        <f t="shared" si="466"/>
        <v>226875.00000000003</v>
      </c>
      <c r="AL121" s="1467">
        <f t="shared" si="466"/>
        <v>226875.00000000003</v>
      </c>
      <c r="AM121" s="1467">
        <f t="shared" si="466"/>
        <v>226875.00000000003</v>
      </c>
      <c r="AN121" s="1467">
        <f t="shared" si="466"/>
        <v>226875.00000000003</v>
      </c>
      <c r="AO121" s="1467">
        <f t="shared" si="466"/>
        <v>226875.00000000003</v>
      </c>
      <c r="AP121" s="1468">
        <f t="shared" si="475"/>
        <v>6806250.0000000009</v>
      </c>
      <c r="AQ121" s="1482"/>
      <c r="AR121" s="1467">
        <f t="shared" si="427"/>
        <v>6579375.0000000009</v>
      </c>
      <c r="AS121" s="1467">
        <f t="shared" si="428"/>
        <v>6352500.0000000009</v>
      </c>
      <c r="AT121" s="1467">
        <f t="shared" si="393"/>
        <v>6125625.0000000009</v>
      </c>
      <c r="AU121" s="1467">
        <f t="shared" si="394"/>
        <v>5898750.0000000009</v>
      </c>
      <c r="AV121" s="1467">
        <f t="shared" si="395"/>
        <v>5671875.0000000009</v>
      </c>
      <c r="AW121" s="1467">
        <f t="shared" si="396"/>
        <v>5445000.0000000009</v>
      </c>
      <c r="AX121" s="1467">
        <f t="shared" si="397"/>
        <v>5218125.0000000009</v>
      </c>
      <c r="AY121" s="1467">
        <f t="shared" si="398"/>
        <v>4991250.0000000009</v>
      </c>
      <c r="AZ121" s="1467">
        <f t="shared" si="399"/>
        <v>4764375.0000000009</v>
      </c>
      <c r="BA121" s="1467">
        <f t="shared" si="400"/>
        <v>4537500.0000000009</v>
      </c>
      <c r="BB121" s="1467">
        <f t="shared" si="401"/>
        <v>4310625.0000000009</v>
      </c>
      <c r="BC121" s="1467">
        <f t="shared" si="402"/>
        <v>4083750.0000000009</v>
      </c>
      <c r="BD121" s="1467">
        <f t="shared" si="403"/>
        <v>3856875.0000000009</v>
      </c>
      <c r="BE121" s="1467">
        <f t="shared" si="404"/>
        <v>3630000.0000000009</v>
      </c>
      <c r="BF121" s="1467">
        <f t="shared" si="405"/>
        <v>3403125.0000000009</v>
      </c>
      <c r="BG121" s="1467">
        <f t="shared" si="406"/>
        <v>3176250.0000000009</v>
      </c>
      <c r="BH121" s="1467">
        <f t="shared" si="407"/>
        <v>2949375.0000000009</v>
      </c>
      <c r="BI121" s="1467">
        <f t="shared" si="408"/>
        <v>2722500.0000000009</v>
      </c>
      <c r="BJ121" s="1467">
        <f t="shared" si="409"/>
        <v>2495625.0000000009</v>
      </c>
      <c r="BK121" s="1467">
        <f t="shared" si="410"/>
        <v>2268750.0000000009</v>
      </c>
      <c r="BL121" s="1467">
        <f t="shared" si="411"/>
        <v>2041875.0000000009</v>
      </c>
      <c r="BM121" s="1467">
        <f t="shared" si="412"/>
        <v>1815000.0000000009</v>
      </c>
      <c r="BN121" s="1467">
        <f t="shared" si="413"/>
        <v>1588125.0000000009</v>
      </c>
      <c r="BO121" s="1467">
        <f t="shared" si="414"/>
        <v>1361250.0000000009</v>
      </c>
      <c r="BP121" s="1467">
        <f t="shared" si="415"/>
        <v>1134375.0000000009</v>
      </c>
      <c r="BQ121" s="1467">
        <f t="shared" si="416"/>
        <v>907500.00000000093</v>
      </c>
      <c r="BR121" s="1467">
        <f t="shared" si="417"/>
        <v>680625.00000000093</v>
      </c>
      <c r="BS121" s="1467">
        <f t="shared" si="418"/>
        <v>453750.00000000093</v>
      </c>
      <c r="BT121" s="1467">
        <f t="shared" si="419"/>
        <v>226875.0000000009</v>
      </c>
      <c r="BU121" s="1467">
        <f t="shared" si="420"/>
        <v>8.7311491370201111E-10</v>
      </c>
      <c r="BV121" s="1482"/>
    </row>
    <row r="122" spans="1:74" x14ac:dyDescent="0.2">
      <c r="B122" s="1470"/>
      <c r="C122" s="1470" t="str">
        <f t="shared" si="467"/>
        <v>Sorghum (Starch)</v>
      </c>
      <c r="D122" s="1470" t="str">
        <f>Assumptions!$AH$81</f>
        <v>Straight-Line</v>
      </c>
      <c r="E122" s="1470" t="s">
        <v>995</v>
      </c>
      <c r="F122" s="1470"/>
      <c r="G122" s="1471">
        <f>G108</f>
        <v>15000000</v>
      </c>
      <c r="H122" s="1471">
        <f t="shared" ref="H122" si="481">G122*(1+$F$5)</f>
        <v>16500000.000000002</v>
      </c>
      <c r="I122" s="1471">
        <f t="shared" ref="I122" si="482">H122*(1+$F$6)</f>
        <v>16500000.000000002</v>
      </c>
      <c r="J122" s="1475">
        <f t="shared" si="470"/>
        <v>3.3333333333333333E-2</v>
      </c>
      <c r="K122" s="1107"/>
      <c r="L122" s="1467">
        <f t="shared" si="477"/>
        <v>550000</v>
      </c>
      <c r="M122" s="1467">
        <f t="shared" si="477"/>
        <v>550000</v>
      </c>
      <c r="N122" s="1467">
        <f t="shared" si="477"/>
        <v>550000</v>
      </c>
      <c r="O122" s="1467">
        <f t="shared" si="477"/>
        <v>550000</v>
      </c>
      <c r="P122" s="1467">
        <f t="shared" si="477"/>
        <v>550000</v>
      </c>
      <c r="Q122" s="1467">
        <f t="shared" si="477"/>
        <v>550000</v>
      </c>
      <c r="R122" s="1467">
        <f t="shared" si="477"/>
        <v>550000</v>
      </c>
      <c r="S122" s="1467">
        <f t="shared" si="477"/>
        <v>550000</v>
      </c>
      <c r="T122" s="1467">
        <f t="shared" si="477"/>
        <v>550000</v>
      </c>
      <c r="U122" s="1467">
        <f t="shared" si="477"/>
        <v>550000</v>
      </c>
      <c r="V122" s="1467">
        <f t="shared" si="477"/>
        <v>550000</v>
      </c>
      <c r="W122" s="1467">
        <f t="shared" si="477"/>
        <v>550000</v>
      </c>
      <c r="X122" s="1467">
        <f t="shared" si="477"/>
        <v>550000</v>
      </c>
      <c r="Y122" s="1467">
        <f t="shared" si="477"/>
        <v>550000</v>
      </c>
      <c r="Z122" s="1467">
        <f t="shared" si="477"/>
        <v>550000</v>
      </c>
      <c r="AA122" s="1467">
        <f t="shared" si="477"/>
        <v>550000</v>
      </c>
      <c r="AB122" s="1467">
        <f t="shared" si="466"/>
        <v>550000</v>
      </c>
      <c r="AC122" s="1467">
        <f t="shared" si="466"/>
        <v>550000</v>
      </c>
      <c r="AD122" s="1467">
        <f t="shared" si="466"/>
        <v>550000</v>
      </c>
      <c r="AE122" s="1467">
        <f t="shared" si="466"/>
        <v>550000</v>
      </c>
      <c r="AF122" s="1467">
        <f t="shared" si="466"/>
        <v>550000</v>
      </c>
      <c r="AG122" s="1467">
        <f t="shared" si="466"/>
        <v>550000</v>
      </c>
      <c r="AH122" s="1467">
        <f t="shared" si="466"/>
        <v>550000</v>
      </c>
      <c r="AI122" s="1467">
        <f t="shared" si="466"/>
        <v>550000</v>
      </c>
      <c r="AJ122" s="1467">
        <f t="shared" si="466"/>
        <v>550000</v>
      </c>
      <c r="AK122" s="1467">
        <f t="shared" si="466"/>
        <v>550000</v>
      </c>
      <c r="AL122" s="1467">
        <f t="shared" si="466"/>
        <v>550000</v>
      </c>
      <c r="AM122" s="1467">
        <f t="shared" si="466"/>
        <v>550000</v>
      </c>
      <c r="AN122" s="1467">
        <f t="shared" si="466"/>
        <v>550000</v>
      </c>
      <c r="AO122" s="1467">
        <f t="shared" si="466"/>
        <v>550000</v>
      </c>
      <c r="AP122" s="1468">
        <f t="shared" ref="AP122" si="483">SUM(L122:AO122)</f>
        <v>16500000</v>
      </c>
      <c r="AQ122" s="1482"/>
      <c r="AR122" s="1467">
        <f t="shared" ref="AR122" si="484">I122-L122</f>
        <v>15950000.000000002</v>
      </c>
      <c r="AS122" s="1467">
        <f t="shared" ref="AS122" si="485">AR122-M122</f>
        <v>15400000.000000002</v>
      </c>
      <c r="AT122" s="1467">
        <f t="shared" ref="AT122" si="486">AS122-N122</f>
        <v>14850000.000000002</v>
      </c>
      <c r="AU122" s="1467">
        <f t="shared" ref="AU122" si="487">AT122-O122</f>
        <v>14300000.000000002</v>
      </c>
      <c r="AV122" s="1467">
        <f t="shared" ref="AV122" si="488">AU122-P122</f>
        <v>13750000.000000002</v>
      </c>
      <c r="AW122" s="1467">
        <f t="shared" ref="AW122" si="489">AV122-Q122</f>
        <v>13200000.000000002</v>
      </c>
      <c r="AX122" s="1467">
        <f t="shared" ref="AX122" si="490">AW122-R122</f>
        <v>12650000.000000002</v>
      </c>
      <c r="AY122" s="1467">
        <f t="shared" ref="AY122" si="491">AX122-S122</f>
        <v>12100000.000000002</v>
      </c>
      <c r="AZ122" s="1467">
        <f t="shared" ref="AZ122" si="492">AY122-T122</f>
        <v>11550000.000000002</v>
      </c>
      <c r="BA122" s="1467">
        <f t="shared" ref="BA122" si="493">AZ122-U122</f>
        <v>11000000.000000002</v>
      </c>
      <c r="BB122" s="1467">
        <f t="shared" ref="BB122" si="494">BA122-V122</f>
        <v>10450000.000000002</v>
      </c>
      <c r="BC122" s="1467">
        <f t="shared" ref="BC122" si="495">BB122-W122</f>
        <v>9900000.0000000019</v>
      </c>
      <c r="BD122" s="1467">
        <f t="shared" ref="BD122" si="496">BC122-X122</f>
        <v>9350000.0000000019</v>
      </c>
      <c r="BE122" s="1467">
        <f t="shared" ref="BE122" si="497">BD122-Y122</f>
        <v>8800000.0000000019</v>
      </c>
      <c r="BF122" s="1467">
        <f t="shared" ref="BF122" si="498">BE122-Z122</f>
        <v>8250000.0000000019</v>
      </c>
      <c r="BG122" s="1467">
        <f t="shared" ref="BG122" si="499">BF122-AA122</f>
        <v>7700000.0000000019</v>
      </c>
      <c r="BH122" s="1467">
        <f t="shared" ref="BH122" si="500">BG122-AB122</f>
        <v>7150000.0000000019</v>
      </c>
      <c r="BI122" s="1467">
        <f t="shared" ref="BI122" si="501">BH122-AC122</f>
        <v>6600000.0000000019</v>
      </c>
      <c r="BJ122" s="1467">
        <f t="shared" ref="BJ122" si="502">BI122-AD122</f>
        <v>6050000.0000000019</v>
      </c>
      <c r="BK122" s="1467">
        <f t="shared" ref="BK122" si="503">BJ122-AE122</f>
        <v>5500000.0000000019</v>
      </c>
      <c r="BL122" s="1467">
        <f t="shared" ref="BL122" si="504">BK122-AF122</f>
        <v>4950000.0000000019</v>
      </c>
      <c r="BM122" s="1467">
        <f t="shared" ref="BM122" si="505">BL122-AG122</f>
        <v>4400000.0000000019</v>
      </c>
      <c r="BN122" s="1467">
        <f t="shared" ref="BN122" si="506">BM122-AH122</f>
        <v>3850000.0000000019</v>
      </c>
      <c r="BO122" s="1467">
        <f t="shared" ref="BO122" si="507">BN122-AI122</f>
        <v>3300000.0000000019</v>
      </c>
      <c r="BP122" s="1467">
        <f t="shared" ref="BP122" si="508">BO122-AJ122</f>
        <v>2750000.0000000019</v>
      </c>
      <c r="BQ122" s="1467">
        <f t="shared" ref="BQ122" si="509">BP122-AK122</f>
        <v>2200000.0000000019</v>
      </c>
      <c r="BR122" s="1467">
        <f t="shared" ref="BR122" si="510">BQ122-AL122</f>
        <v>1650000.0000000019</v>
      </c>
      <c r="BS122" s="1467">
        <f t="shared" ref="BS122" si="511">BR122-AM122</f>
        <v>1100000.0000000019</v>
      </c>
      <c r="BT122" s="1467">
        <f t="shared" ref="BT122" si="512">BS122-AN122</f>
        <v>550000.00000000186</v>
      </c>
      <c r="BU122" s="1467">
        <f t="shared" ref="BU122" si="513">BT122-AO122</f>
        <v>1.862645149230957E-9</v>
      </c>
      <c r="BV122" s="1482"/>
    </row>
    <row r="123" spans="1:74" hidden="1" x14ac:dyDescent="0.2">
      <c r="B123" s="1297" t="str">
        <f>"Total Depreciation "&amp;C96&amp;" ("&amp;B95&amp;") over 30 years"</f>
        <v>Total Depreciation Sorghum (Starch) (Accelerated) over 30 years</v>
      </c>
      <c r="C123" s="1483">
        <f t="shared" si="467"/>
        <v>0</v>
      </c>
      <c r="D123" s="1483" t="str">
        <f>Assumptions!$AH$81</f>
        <v>Straight-Line</v>
      </c>
      <c r="E123" s="1107"/>
      <c r="F123" s="1107"/>
      <c r="G123" s="1107">
        <f t="shared" ref="G123:G124" si="514">F123*(1+$F$4)</f>
        <v>0</v>
      </c>
      <c r="H123" s="1107">
        <f t="shared" ref="H123:H124" si="515">G123*(1+$F$5)</f>
        <v>0</v>
      </c>
      <c r="I123" s="1107">
        <f t="shared" ref="I123" si="516">H123*(1+$F$6)</f>
        <v>0</v>
      </c>
      <c r="J123" s="1472">
        <f>IFERROR(INDEX(Assumptions!$AI$82:$AI$164,MATCH(Depreciation!$D123,Assumptions!$AH$81:$AH$163,0)),0)</f>
        <v>0</v>
      </c>
      <c r="K123" s="1107"/>
      <c r="L123" s="1468">
        <f>SUM(L96:L107)</f>
        <v>32670000.000000004</v>
      </c>
      <c r="M123" s="1468">
        <f t="shared" ref="M123:AP123" si="517">SUM(M96:M107)</f>
        <v>26136000.000000004</v>
      </c>
      <c r="N123" s="1468">
        <f t="shared" si="517"/>
        <v>20908800</v>
      </c>
      <c r="O123" s="1468">
        <f t="shared" si="517"/>
        <v>16727040.000000002</v>
      </c>
      <c r="P123" s="1468">
        <f t="shared" si="517"/>
        <v>13381632.000000004</v>
      </c>
      <c r="Q123" s="1468">
        <f t="shared" si="517"/>
        <v>10705305.600000001</v>
      </c>
      <c r="R123" s="1468">
        <f t="shared" si="517"/>
        <v>8564244.4799999986</v>
      </c>
      <c r="S123" s="1468">
        <f t="shared" si="517"/>
        <v>6851395.5839999998</v>
      </c>
      <c r="T123" s="1468">
        <f t="shared" si="517"/>
        <v>5481116.4672000008</v>
      </c>
      <c r="U123" s="1468">
        <f t="shared" si="517"/>
        <v>4384893.1737600006</v>
      </c>
      <c r="V123" s="1468">
        <f t="shared" si="517"/>
        <v>3507914.539007999</v>
      </c>
      <c r="W123" s="1468">
        <f t="shared" si="517"/>
        <v>2806331.6312063988</v>
      </c>
      <c r="X123" s="1468">
        <f t="shared" si="517"/>
        <v>2245065.3049651198</v>
      </c>
      <c r="Y123" s="1468">
        <f t="shared" si="517"/>
        <v>1796052.2439720957</v>
      </c>
      <c r="Z123" s="1468">
        <f t="shared" si="517"/>
        <v>1436841.7951776758</v>
      </c>
      <c r="AA123" s="1468">
        <f t="shared" si="517"/>
        <v>1149473.4361421412</v>
      </c>
      <c r="AB123" s="1468">
        <f t="shared" si="517"/>
        <v>919578.74891371385</v>
      </c>
      <c r="AC123" s="1468">
        <f t="shared" si="517"/>
        <v>735662.99913097278</v>
      </c>
      <c r="AD123" s="1468">
        <f t="shared" si="517"/>
        <v>588530.39930477832</v>
      </c>
      <c r="AE123" s="1468">
        <f t="shared" si="517"/>
        <v>470824.3194438222</v>
      </c>
      <c r="AF123" s="1468">
        <f t="shared" si="517"/>
        <v>376659.45555505791</v>
      </c>
      <c r="AG123" s="1468">
        <f t="shared" si="517"/>
        <v>301327.56444404722</v>
      </c>
      <c r="AH123" s="1468">
        <f t="shared" si="517"/>
        <v>241062.05155523831</v>
      </c>
      <c r="AI123" s="1468">
        <f t="shared" si="517"/>
        <v>192849.6412441913</v>
      </c>
      <c r="AJ123" s="1468">
        <f t="shared" si="517"/>
        <v>154279.71299535278</v>
      </c>
      <c r="AK123" s="1468">
        <f t="shared" si="517"/>
        <v>123423.77039628236</v>
      </c>
      <c r="AL123" s="1468">
        <f t="shared" si="517"/>
        <v>98739.01631702669</v>
      </c>
      <c r="AM123" s="1468">
        <f t="shared" si="517"/>
        <v>78991.21305362173</v>
      </c>
      <c r="AN123" s="1468">
        <f t="shared" si="517"/>
        <v>63192.970442898943</v>
      </c>
      <c r="AO123" s="1468">
        <f t="shared" si="517"/>
        <v>50554.376354319604</v>
      </c>
      <c r="AP123" s="1468">
        <f t="shared" si="517"/>
        <v>163147782.49458274</v>
      </c>
      <c r="AQ123" s="1482"/>
      <c r="AR123" s="1297"/>
      <c r="AS123" s="1297"/>
      <c r="AT123" s="1297"/>
      <c r="AU123" s="1297"/>
      <c r="AV123" s="1297"/>
      <c r="AW123" s="1297"/>
      <c r="AX123" s="1297"/>
      <c r="AY123" s="1297"/>
      <c r="AZ123" s="1297"/>
      <c r="BA123" s="1297"/>
      <c r="BB123" s="1297"/>
      <c r="BC123" s="1297"/>
      <c r="BD123" s="1297"/>
      <c r="BE123" s="1297"/>
      <c r="BF123" s="1297"/>
      <c r="BG123" s="1297"/>
      <c r="BH123" s="1297"/>
      <c r="BI123" s="1297"/>
      <c r="BJ123" s="1297"/>
      <c r="BK123" s="1297"/>
      <c r="BL123" s="1297"/>
      <c r="BM123" s="1297"/>
      <c r="BN123" s="1297"/>
      <c r="BO123" s="1297"/>
      <c r="BP123" s="1297"/>
      <c r="BQ123" s="1297"/>
      <c r="BR123" s="1297"/>
      <c r="BS123" s="1297"/>
      <c r="BT123" s="1297"/>
      <c r="BU123" s="1297"/>
      <c r="BV123" s="1482"/>
    </row>
    <row r="124" spans="1:74" x14ac:dyDescent="0.2">
      <c r="B124" s="1297" t="str">
        <f>"Total Depreciation "&amp;C96&amp;" ("&amp;B109&amp;") over 30 years"</f>
        <v>Total Depreciation Sorghum (Starch) (Straight-Line) over 30 years</v>
      </c>
      <c r="C124" s="1107"/>
      <c r="D124" s="1107"/>
      <c r="E124" s="1107"/>
      <c r="F124" s="1107"/>
      <c r="G124" s="1107">
        <f t="shared" si="514"/>
        <v>0</v>
      </c>
      <c r="H124" s="1107">
        <f t="shared" si="515"/>
        <v>0</v>
      </c>
      <c r="I124" s="1468">
        <f>SUM(I110:I123)</f>
        <v>179850000</v>
      </c>
      <c r="J124" s="1472">
        <f>IFERROR(INDEX(Assumptions!$AI$82:$AI$164,MATCH(Depreciation!$D124,Assumptions!$AH$81:$AH$163,0)),0)</f>
        <v>0</v>
      </c>
      <c r="K124" s="1107"/>
      <c r="L124" s="1468">
        <f>SUM(L110:L122)</f>
        <v>5995000</v>
      </c>
      <c r="M124" s="1468">
        <f t="shared" ref="M124:AP124" si="518">SUM(M110:M122)</f>
        <v>5995000</v>
      </c>
      <c r="N124" s="1468">
        <f t="shared" si="518"/>
        <v>5995000</v>
      </c>
      <c r="O124" s="1468">
        <f t="shared" si="518"/>
        <v>5995000</v>
      </c>
      <c r="P124" s="1468">
        <f t="shared" si="518"/>
        <v>5995000</v>
      </c>
      <c r="Q124" s="1468">
        <f t="shared" si="518"/>
        <v>5995000</v>
      </c>
      <c r="R124" s="1468">
        <f t="shared" si="518"/>
        <v>5995000</v>
      </c>
      <c r="S124" s="1468">
        <f t="shared" si="518"/>
        <v>5995000</v>
      </c>
      <c r="T124" s="1468">
        <f t="shared" si="518"/>
        <v>5995000</v>
      </c>
      <c r="U124" s="1468">
        <f t="shared" si="518"/>
        <v>5995000</v>
      </c>
      <c r="V124" s="1468">
        <f t="shared" si="518"/>
        <v>5995000</v>
      </c>
      <c r="W124" s="1468">
        <f t="shared" si="518"/>
        <v>5995000</v>
      </c>
      <c r="X124" s="1468">
        <f t="shared" si="518"/>
        <v>5995000</v>
      </c>
      <c r="Y124" s="1468">
        <f t="shared" si="518"/>
        <v>5995000</v>
      </c>
      <c r="Z124" s="1468">
        <f t="shared" si="518"/>
        <v>5995000</v>
      </c>
      <c r="AA124" s="1468">
        <f t="shared" si="518"/>
        <v>5995000</v>
      </c>
      <c r="AB124" s="1468">
        <f t="shared" si="518"/>
        <v>5995000</v>
      </c>
      <c r="AC124" s="1468">
        <f t="shared" si="518"/>
        <v>5995000</v>
      </c>
      <c r="AD124" s="1468">
        <f t="shared" si="518"/>
        <v>5995000</v>
      </c>
      <c r="AE124" s="1468">
        <f t="shared" si="518"/>
        <v>5995000</v>
      </c>
      <c r="AF124" s="1468">
        <f t="shared" si="518"/>
        <v>5995000</v>
      </c>
      <c r="AG124" s="1468">
        <f t="shared" si="518"/>
        <v>5995000</v>
      </c>
      <c r="AH124" s="1468">
        <f t="shared" si="518"/>
        <v>5995000</v>
      </c>
      <c r="AI124" s="1468">
        <f t="shared" si="518"/>
        <v>5995000</v>
      </c>
      <c r="AJ124" s="1468">
        <f t="shared" si="518"/>
        <v>5995000</v>
      </c>
      <c r="AK124" s="1468">
        <f t="shared" si="518"/>
        <v>5995000</v>
      </c>
      <c r="AL124" s="1468">
        <f t="shared" si="518"/>
        <v>5995000</v>
      </c>
      <c r="AM124" s="1468">
        <f t="shared" si="518"/>
        <v>5995000</v>
      </c>
      <c r="AN124" s="1468">
        <f t="shared" si="518"/>
        <v>5995000</v>
      </c>
      <c r="AO124" s="1468">
        <f t="shared" si="518"/>
        <v>5995000</v>
      </c>
      <c r="AP124" s="1468">
        <f t="shared" si="518"/>
        <v>179850000</v>
      </c>
      <c r="AQ124" s="1482"/>
      <c r="AR124" s="1297"/>
      <c r="AS124" s="1297"/>
      <c r="AT124" s="1297"/>
      <c r="AU124" s="1297"/>
      <c r="AV124" s="1297"/>
      <c r="AW124" s="1297"/>
      <c r="AX124" s="1297"/>
      <c r="AY124" s="1297"/>
      <c r="AZ124" s="1297"/>
      <c r="BA124" s="1297"/>
      <c r="BB124" s="1297"/>
      <c r="BC124" s="1297"/>
      <c r="BD124" s="1297"/>
      <c r="BE124" s="1297"/>
      <c r="BF124" s="1297"/>
      <c r="BG124" s="1297"/>
      <c r="BH124" s="1297"/>
      <c r="BI124" s="1297"/>
      <c r="BJ124" s="1297"/>
      <c r="BK124" s="1297"/>
      <c r="BL124" s="1297"/>
      <c r="BM124" s="1297"/>
      <c r="BN124" s="1297"/>
      <c r="BO124" s="1297"/>
      <c r="BP124" s="1297"/>
      <c r="BQ124" s="1297"/>
      <c r="BR124" s="1297"/>
      <c r="BS124" s="1297"/>
      <c r="BT124" s="1297"/>
      <c r="BU124" s="1297"/>
      <c r="BV124" s="1482"/>
    </row>
    <row r="127" spans="1:74" ht="15" x14ac:dyDescent="0.25">
      <c r="B127" s="1484" t="str">
        <f>'Summary Tables'!L5</f>
        <v>Forest Residues (Cellulosic)</v>
      </c>
      <c r="C127" s="1485"/>
      <c r="D127" s="1485"/>
      <c r="E127" s="1485"/>
      <c r="F127" s="1485"/>
      <c r="G127" s="1485"/>
      <c r="H127" s="1485"/>
      <c r="I127" s="1485"/>
      <c r="J127" s="1485"/>
      <c r="K127" s="1485"/>
      <c r="L127" s="1485"/>
      <c r="M127" s="1485"/>
      <c r="N127" s="1485"/>
      <c r="O127" s="1485"/>
      <c r="P127" s="1485"/>
      <c r="Q127" s="1485"/>
      <c r="R127" s="1485"/>
      <c r="S127" s="1485"/>
      <c r="T127" s="1485"/>
      <c r="U127" s="1485"/>
      <c r="V127" s="1485"/>
      <c r="W127" s="1485"/>
      <c r="X127" s="1485"/>
      <c r="Y127" s="1485"/>
      <c r="Z127" s="1485"/>
      <c r="AA127" s="1485"/>
      <c r="AB127" s="1485"/>
      <c r="AC127" s="1485"/>
      <c r="AD127" s="1485"/>
      <c r="AE127" s="1485"/>
      <c r="AF127" s="1485"/>
      <c r="AG127" s="1485"/>
      <c r="AH127" s="1485"/>
      <c r="AI127" s="1485"/>
      <c r="AJ127" s="1485"/>
      <c r="AK127" s="1485"/>
      <c r="AL127" s="1485"/>
      <c r="AM127" s="1485"/>
      <c r="AN127" s="1485"/>
      <c r="AO127" s="1485"/>
      <c r="AP127" s="1485"/>
      <c r="AQ127" s="1485"/>
      <c r="AR127" s="1485"/>
      <c r="AS127" s="1485"/>
      <c r="AT127" s="1485"/>
      <c r="AU127" s="1485"/>
      <c r="AV127" s="1485"/>
      <c r="AW127" s="1485"/>
      <c r="AX127" s="1485"/>
      <c r="AY127" s="1485"/>
      <c r="AZ127" s="1485"/>
      <c r="BA127" s="1485"/>
      <c r="BB127" s="1485"/>
      <c r="BC127" s="1485"/>
      <c r="BD127" s="1485"/>
      <c r="BE127" s="1485"/>
      <c r="BF127" s="1485"/>
      <c r="BG127" s="1485"/>
      <c r="BH127" s="1485"/>
      <c r="BI127" s="1485"/>
      <c r="BJ127" s="1485"/>
      <c r="BK127" s="1485"/>
      <c r="BL127" s="1485"/>
      <c r="BM127" s="1485"/>
      <c r="BN127" s="1485"/>
      <c r="BO127" s="1485"/>
      <c r="BP127" s="1485"/>
      <c r="BQ127" s="1485"/>
      <c r="BR127" s="1485"/>
      <c r="BS127" s="1485"/>
      <c r="BT127" s="1485"/>
      <c r="BU127" s="1485"/>
      <c r="BV127" s="1485"/>
    </row>
    <row r="128" spans="1:74" x14ac:dyDescent="0.2">
      <c r="B128" s="1297" t="str">
        <f>Assumptions!$AH$82</f>
        <v>Accelerated</v>
      </c>
      <c r="C128" s="1297"/>
      <c r="D128" s="1297"/>
      <c r="E128" s="1297"/>
      <c r="F128" s="1297"/>
      <c r="G128" s="1297"/>
      <c r="H128" s="1297"/>
      <c r="I128" s="1297"/>
      <c r="J128" s="1297"/>
      <c r="K128" s="1107"/>
      <c r="L128" s="1107"/>
      <c r="M128" s="1107"/>
      <c r="N128" s="1107"/>
      <c r="O128" s="1107"/>
      <c r="P128" s="1107"/>
      <c r="Q128" s="1107"/>
      <c r="R128" s="1107"/>
      <c r="S128" s="1107"/>
      <c r="T128" s="1107"/>
      <c r="U128" s="1107"/>
      <c r="V128" s="1107"/>
      <c r="W128" s="1107"/>
      <c r="X128" s="1107"/>
      <c r="Y128" s="1107"/>
      <c r="Z128" s="1107"/>
      <c r="AA128" s="1107"/>
      <c r="AB128" s="1107"/>
      <c r="AC128" s="1107"/>
      <c r="AD128" s="1107"/>
      <c r="AE128" s="1107"/>
      <c r="AF128" s="1107"/>
      <c r="AG128" s="1107"/>
      <c r="AH128" s="1107"/>
      <c r="AI128" s="1107"/>
      <c r="AJ128" s="1107"/>
      <c r="AK128" s="1107"/>
      <c r="AL128" s="1107"/>
      <c r="AM128" s="1107"/>
      <c r="AN128" s="1107"/>
      <c r="AO128" s="1107"/>
      <c r="AP128" s="1297"/>
      <c r="AQ128" s="1485"/>
      <c r="AR128" s="1297"/>
      <c r="AS128" s="1297"/>
      <c r="AT128" s="1297"/>
      <c r="AU128" s="1297"/>
      <c r="AV128" s="1297"/>
      <c r="AW128" s="1297"/>
      <c r="AX128" s="1297"/>
      <c r="AY128" s="1297"/>
      <c r="AZ128" s="1297"/>
      <c r="BA128" s="1297"/>
      <c r="BB128" s="1297"/>
      <c r="BC128" s="1297"/>
      <c r="BD128" s="1297"/>
      <c r="BE128" s="1297"/>
      <c r="BF128" s="1297"/>
      <c r="BG128" s="1297"/>
      <c r="BH128" s="1297"/>
      <c r="BI128" s="1297"/>
      <c r="BJ128" s="1297"/>
      <c r="BK128" s="1297"/>
      <c r="BL128" s="1297"/>
      <c r="BM128" s="1297"/>
      <c r="BN128" s="1297"/>
      <c r="BO128" s="1297"/>
      <c r="BP128" s="1297"/>
      <c r="BQ128" s="1297"/>
      <c r="BR128" s="1297"/>
      <c r="BS128" s="1297"/>
      <c r="BT128" s="1297"/>
      <c r="BU128" s="1297"/>
      <c r="BV128" s="1485"/>
    </row>
    <row r="129" spans="1:74" x14ac:dyDescent="0.2">
      <c r="A129" s="927" t="str">
        <f>C129&amp;"."&amp;D129</f>
        <v>Forest Residues (Cellulosic).Accelerated</v>
      </c>
      <c r="B129" s="1076"/>
      <c r="C129" s="1076" t="str">
        <f>B127</f>
        <v>Forest Residues (Cellulosic)</v>
      </c>
      <c r="D129" s="1076" t="str">
        <f>Assumptions!$AH$82</f>
        <v>Accelerated</v>
      </c>
      <c r="E129" s="1076" t="str">
        <f>'Forest Residues (Cellulosic)'!H274</f>
        <v>Stockpile and wood handling</v>
      </c>
      <c r="F129" s="1467">
        <f>SUM('Forest Residues (Cellulosic)'!J274:K274)*1000000</f>
        <v>15000000</v>
      </c>
      <c r="G129" s="1467">
        <f>F129*(1+$F$4)</f>
        <v>18562500</v>
      </c>
      <c r="H129" s="1467">
        <f>G129*(1+$F$5)</f>
        <v>20418750</v>
      </c>
      <c r="I129" s="1467">
        <f>H129*(1+$F$6)</f>
        <v>20418750</v>
      </c>
      <c r="J129" s="1076">
        <f>Assumptions!$N$55</f>
        <v>0.2</v>
      </c>
      <c r="K129" s="1107"/>
      <c r="L129" s="1467">
        <f>$I129*$J129</f>
        <v>4083750</v>
      </c>
      <c r="M129" s="1467">
        <f>($I129-SUM($L129:L129))*$J129</f>
        <v>3267000</v>
      </c>
      <c r="N129" s="1467">
        <f>($I129-SUM($L129:M129))*$J129</f>
        <v>2613600</v>
      </c>
      <c r="O129" s="1467">
        <f>($I129-SUM($L129:N129))*$J129</f>
        <v>2090880</v>
      </c>
      <c r="P129" s="1467">
        <f>($I129-SUM($L129:O129))*$J129</f>
        <v>1672704</v>
      </c>
      <c r="Q129" s="1467">
        <f>($I129-SUM($L129:P129))*$J129</f>
        <v>1338163.2000000002</v>
      </c>
      <c r="R129" s="1467">
        <f>($I129-SUM($L129:Q129))*$J129</f>
        <v>1070530.5600000003</v>
      </c>
      <c r="S129" s="1467">
        <f>($I129-SUM($L129:R129))*$J129</f>
        <v>856424.44800000009</v>
      </c>
      <c r="T129" s="1467">
        <f>($I129-SUM($L129:S129))*$J129</f>
        <v>685139.55839999998</v>
      </c>
      <c r="U129" s="1467">
        <f>($I129-SUM($L129:T129))*$J129</f>
        <v>548111.64671999961</v>
      </c>
      <c r="V129" s="1467">
        <f>($I129-SUM($L129:U129))*$J129</f>
        <v>438489.3173759997</v>
      </c>
      <c r="W129" s="1467">
        <f>($I129-SUM($L129:V129))*$J129</f>
        <v>350791.45390079991</v>
      </c>
      <c r="X129" s="1467">
        <f>($I129-SUM($L129:W129))*$J129</f>
        <v>280633.16312064009</v>
      </c>
      <c r="Y129" s="1467">
        <f>($I129-SUM($L129:X129))*$J129</f>
        <v>224506.53049651237</v>
      </c>
      <c r="Z129" s="1467">
        <f>($I129-SUM($L129:Y129))*$J129</f>
        <v>179605.22439721006</v>
      </c>
      <c r="AA129" s="1467">
        <f>($I129-SUM($L129:Z129))*$J129</f>
        <v>143684.17951776832</v>
      </c>
      <c r="AB129" s="1467">
        <f>($I129-SUM($L129:AA129))*$J129</f>
        <v>114947.34361421467</v>
      </c>
      <c r="AC129" s="1467">
        <f>($I129-SUM($L129:AB129))*$J129</f>
        <v>91957.874891372034</v>
      </c>
      <c r="AD129" s="1467">
        <f>($I129-SUM($L129:AC129))*$J129</f>
        <v>73566.299913097915</v>
      </c>
      <c r="AE129" s="1467">
        <f>($I129-SUM($L129:AD129))*$J129</f>
        <v>58853.039930478488</v>
      </c>
      <c r="AF129" s="1467">
        <f>($I129-SUM($L129:AE129))*$J129</f>
        <v>47082.431944382937</v>
      </c>
      <c r="AG129" s="1467">
        <f>($I129-SUM($L129:AF129))*$J129</f>
        <v>37665.945555506645</v>
      </c>
      <c r="AH129" s="1467">
        <f>($I129-SUM($L129:AG129))*$J129</f>
        <v>30132.756444405022</v>
      </c>
      <c r="AI129" s="1467">
        <f>($I129-SUM($L129:AH129))*$J129</f>
        <v>24106.205155523869</v>
      </c>
      <c r="AJ129" s="1467">
        <f>($I129-SUM($L129:AI129))*$J129</f>
        <v>19284.964124418795</v>
      </c>
      <c r="AK129" s="1467">
        <f>($I129-SUM($L129:AJ129))*$J129</f>
        <v>15427.971299535036</v>
      </c>
      <c r="AL129" s="1467">
        <f>($I129-SUM($L129:AK129))*$J129</f>
        <v>12342.377039627732</v>
      </c>
      <c r="AM129" s="1467">
        <f>($I129-SUM($L129:AL129))*$J129</f>
        <v>9873.9016317024834</v>
      </c>
      <c r="AN129" s="1467">
        <f>($I129-SUM($L129:AM129))*$J129</f>
        <v>7899.1213053621359</v>
      </c>
      <c r="AO129" s="1467">
        <f>($I129-SUM($L129:AN129))*$J129</f>
        <v>6319.2970442898577</v>
      </c>
      <c r="AP129" s="1468">
        <f>SUM(L129:AO129)</f>
        <v>20393472.811822839</v>
      </c>
      <c r="AQ129" s="1485"/>
      <c r="AR129" s="1467">
        <f>I129-L129</f>
        <v>16335000</v>
      </c>
      <c r="AS129" s="1467">
        <f>AR129-M129</f>
        <v>13068000</v>
      </c>
      <c r="AT129" s="1467">
        <f t="shared" ref="AT129:BI129" si="519">AS129-N129</f>
        <v>10454400</v>
      </c>
      <c r="AU129" s="1467">
        <f t="shared" si="519"/>
        <v>8363520</v>
      </c>
      <c r="AV129" s="1467">
        <f t="shared" si="519"/>
        <v>6690816</v>
      </c>
      <c r="AW129" s="1467">
        <f t="shared" si="519"/>
        <v>5352652.7999999998</v>
      </c>
      <c r="AX129" s="1467">
        <f t="shared" si="519"/>
        <v>4282122.2399999993</v>
      </c>
      <c r="AY129" s="1467">
        <f t="shared" si="519"/>
        <v>3425697.7919999994</v>
      </c>
      <c r="AZ129" s="1467">
        <f t="shared" si="519"/>
        <v>2740558.2335999995</v>
      </c>
      <c r="BA129" s="1467">
        <f t="shared" si="519"/>
        <v>2192446.5868799998</v>
      </c>
      <c r="BB129" s="1467">
        <f t="shared" si="519"/>
        <v>1753957.2695040002</v>
      </c>
      <c r="BC129" s="1467">
        <f t="shared" si="519"/>
        <v>1403165.8156032003</v>
      </c>
      <c r="BD129" s="1467">
        <f t="shared" si="519"/>
        <v>1122532.6524825604</v>
      </c>
      <c r="BE129" s="1467">
        <f t="shared" si="519"/>
        <v>898026.12198604806</v>
      </c>
      <c r="BF129" s="1467">
        <f t="shared" si="519"/>
        <v>718420.89758883801</v>
      </c>
      <c r="BG129" s="1467">
        <f t="shared" si="519"/>
        <v>574736.71807106968</v>
      </c>
      <c r="BH129" s="1467">
        <f t="shared" si="519"/>
        <v>459789.374456855</v>
      </c>
      <c r="BI129" s="1467">
        <f t="shared" si="519"/>
        <v>367831.49956548295</v>
      </c>
      <c r="BJ129" s="1467">
        <f t="shared" ref="BJ129:BU135" si="520">BI129-AD129</f>
        <v>294265.19965238502</v>
      </c>
      <c r="BK129" s="1467">
        <f t="shared" si="520"/>
        <v>235412.15972190653</v>
      </c>
      <c r="BL129" s="1467">
        <f t="shared" si="520"/>
        <v>188329.7277775236</v>
      </c>
      <c r="BM129" s="1467">
        <f t="shared" si="520"/>
        <v>150663.78222201695</v>
      </c>
      <c r="BN129" s="1467">
        <f t="shared" si="520"/>
        <v>120531.02577761193</v>
      </c>
      <c r="BO129" s="1467">
        <f t="shared" si="520"/>
        <v>96424.820622088053</v>
      </c>
      <c r="BP129" s="1467">
        <f t="shared" si="520"/>
        <v>77139.856497669258</v>
      </c>
      <c r="BQ129" s="1467">
        <f t="shared" si="520"/>
        <v>61711.885198134223</v>
      </c>
      <c r="BR129" s="1467">
        <f t="shared" si="520"/>
        <v>49369.508158506491</v>
      </c>
      <c r="BS129" s="1467">
        <f t="shared" si="520"/>
        <v>39495.606526804011</v>
      </c>
      <c r="BT129" s="1467">
        <f t="shared" si="520"/>
        <v>31596.485221441875</v>
      </c>
      <c r="BU129" s="1467">
        <f t="shared" si="520"/>
        <v>25277.188177152017</v>
      </c>
      <c r="BV129" s="1485"/>
    </row>
    <row r="130" spans="1:74" x14ac:dyDescent="0.2">
      <c r="A130" s="927" t="str">
        <f t="shared" ref="A130:A148" si="521">C130&amp;"."&amp;D130</f>
        <v>Forest Residues (Cellulosic).Accelerated</v>
      </c>
      <c r="B130" s="1076"/>
      <c r="C130" s="1076" t="str">
        <f>C129</f>
        <v>Forest Residues (Cellulosic)</v>
      </c>
      <c r="D130" s="1076" t="str">
        <f>Assumptions!$AH$82</f>
        <v>Accelerated</v>
      </c>
      <c r="E130" s="1076" t="str">
        <f>'Forest Residues (Cellulosic)'!H275</f>
        <v>Pretreatment</v>
      </c>
      <c r="F130" s="1467">
        <f>SUM('Forest Residues (Cellulosic)'!J275:K275)*1000000</f>
        <v>25000000</v>
      </c>
      <c r="G130" s="1467">
        <f t="shared" ref="G130:G148" si="522">F130*(1+$F$4)</f>
        <v>30937500</v>
      </c>
      <c r="H130" s="1467">
        <f t="shared" ref="H130:H148" si="523">G130*(1+$F$5)</f>
        <v>34031250</v>
      </c>
      <c r="I130" s="1467">
        <f t="shared" ref="I130:I148" si="524">H130*(1+$F$6)</f>
        <v>34031250</v>
      </c>
      <c r="J130" s="1076">
        <f>J129</f>
        <v>0.2</v>
      </c>
      <c r="K130" s="1107"/>
      <c r="L130" s="1467">
        <f t="shared" ref="L130:AA146" si="525">$I130*$J130</f>
        <v>6806250</v>
      </c>
      <c r="M130" s="1467">
        <f>($I130-SUM($L130:L130))*$J130</f>
        <v>5445000</v>
      </c>
      <c r="N130" s="1467">
        <f>($I130-SUM($L130:M130))*$J130</f>
        <v>4356000</v>
      </c>
      <c r="O130" s="1467">
        <f>($I130-SUM($L130:N130))*$J130</f>
        <v>3484800</v>
      </c>
      <c r="P130" s="1467">
        <f>($I130-SUM($L130:O130))*$J130</f>
        <v>2787840</v>
      </c>
      <c r="Q130" s="1467">
        <f>($I130-SUM($L130:P130))*$J130</f>
        <v>2230272</v>
      </c>
      <c r="R130" s="1467">
        <f>($I130-SUM($L130:Q130))*$J130</f>
        <v>1784217.6000000001</v>
      </c>
      <c r="S130" s="1467">
        <f>($I130-SUM($L130:R130))*$J130</f>
        <v>1427374.0799999998</v>
      </c>
      <c r="T130" s="1467">
        <f>($I130-SUM($L130:S130))*$J130</f>
        <v>1141899.2640000002</v>
      </c>
      <c r="U130" s="1467">
        <f>($I130-SUM($L130:T130))*$J130</f>
        <v>913519.41120000044</v>
      </c>
      <c r="V130" s="1467">
        <f>($I130-SUM($L130:U130))*$J130</f>
        <v>730815.52896000003</v>
      </c>
      <c r="W130" s="1467">
        <f>($I130-SUM($L130:V130))*$J130</f>
        <v>584652.42316799983</v>
      </c>
      <c r="X130" s="1467">
        <f>($I130-SUM($L130:W130))*$J130</f>
        <v>467721.9385343999</v>
      </c>
      <c r="Y130" s="1467">
        <f>($I130-SUM($L130:X130))*$J130</f>
        <v>374177.55082751962</v>
      </c>
      <c r="Z130" s="1467">
        <f>($I130-SUM($L130:Y130))*$J130</f>
        <v>299342.04066201596</v>
      </c>
      <c r="AA130" s="1467">
        <f>($I130-SUM($L130:Z130))*$J130</f>
        <v>239473.63252961263</v>
      </c>
      <c r="AB130" s="1467">
        <f>($I130-SUM($L130:AA130))*$J130</f>
        <v>191578.90602369013</v>
      </c>
      <c r="AC130" s="1467">
        <f>($I130-SUM($L130:AB130))*$J130</f>
        <v>153263.12481895238</v>
      </c>
      <c r="AD130" s="1467">
        <f>($I130-SUM($L130:AC130))*$J130</f>
        <v>122610.49985516221</v>
      </c>
      <c r="AE130" s="1467">
        <f>($I130-SUM($L130:AD130))*$J130</f>
        <v>98088.399884130064</v>
      </c>
      <c r="AF130" s="1467">
        <f>($I130-SUM($L130:AE130))*$J130</f>
        <v>78470.71990730465</v>
      </c>
      <c r="AG130" s="1467">
        <f>($I130-SUM($L130:AF130))*$J130</f>
        <v>62776.575925843419</v>
      </c>
      <c r="AH130" s="1467">
        <f>($I130-SUM($L130:AG130))*$J130</f>
        <v>50221.260740675032</v>
      </c>
      <c r="AI130" s="1467">
        <f>($I130-SUM($L130:AH130))*$J130</f>
        <v>40177.008592540027</v>
      </c>
      <c r="AJ130" s="1467">
        <f>($I130-SUM($L130:AI130))*$J130</f>
        <v>32141.606874032321</v>
      </c>
      <c r="AK130" s="1467">
        <f>($I130-SUM($L130:AJ130))*$J130</f>
        <v>25713.28549922556</v>
      </c>
      <c r="AL130" s="1467">
        <f>($I130-SUM($L130:AK130))*$J130</f>
        <v>20570.628399381043</v>
      </c>
      <c r="AM130" s="1467">
        <f>($I130-SUM($L130:AL130))*$J130</f>
        <v>16456.502719505133</v>
      </c>
      <c r="AN130" s="1467">
        <f>($I130-SUM($L130:AM130))*$J130</f>
        <v>13165.202175603808</v>
      </c>
      <c r="AO130" s="1467">
        <f>($I130-SUM($L130:AN130))*$J130</f>
        <v>10532.161740483345</v>
      </c>
      <c r="AP130" s="1468">
        <f t="shared" ref="AP130:AP145" si="526">SUM(L130:AO130)</f>
        <v>33989121.353038065</v>
      </c>
      <c r="AQ130" s="1482"/>
      <c r="AR130" s="1467">
        <f t="shared" ref="AR130:AR148" si="527">I130-L130</f>
        <v>27225000</v>
      </c>
      <c r="AS130" s="1467">
        <f t="shared" ref="AS130:AS148" si="528">AR130-M130</f>
        <v>21780000</v>
      </c>
      <c r="AT130" s="1467">
        <f t="shared" ref="AT130:AT148" si="529">AS130-N130</f>
        <v>17424000</v>
      </c>
      <c r="AU130" s="1467">
        <f t="shared" ref="AU130:AU148" si="530">AT130-O130</f>
        <v>13939200</v>
      </c>
      <c r="AV130" s="1467">
        <f t="shared" ref="AV130:AV148" si="531">AU130-P130</f>
        <v>11151360</v>
      </c>
      <c r="AW130" s="1467">
        <f t="shared" ref="AW130:AW148" si="532">AV130-Q130</f>
        <v>8921088</v>
      </c>
      <c r="AX130" s="1467">
        <f t="shared" ref="AX130:AX148" si="533">AW130-R130</f>
        <v>7136870.4000000004</v>
      </c>
      <c r="AY130" s="1467">
        <f t="shared" ref="AY130:AY148" si="534">AX130-S130</f>
        <v>5709496.3200000003</v>
      </c>
      <c r="AZ130" s="1467">
        <f t="shared" ref="AZ130:AZ148" si="535">AY130-T130</f>
        <v>4567597.0559999999</v>
      </c>
      <c r="BA130" s="1467">
        <f t="shared" ref="BA130:BA148" si="536">AZ130-U130</f>
        <v>3654077.6447999994</v>
      </c>
      <c r="BB130" s="1467">
        <f t="shared" ref="BB130:BB148" si="537">BA130-V130</f>
        <v>2923262.1158399992</v>
      </c>
      <c r="BC130" s="1467">
        <f t="shared" ref="BC130:BC148" si="538">BB130-W130</f>
        <v>2338609.6926719993</v>
      </c>
      <c r="BD130" s="1467">
        <f t="shared" ref="BD130:BD148" si="539">BC130-X130</f>
        <v>1870887.7541375994</v>
      </c>
      <c r="BE130" s="1467">
        <f t="shared" ref="BE130:BE148" si="540">BD130-Y130</f>
        <v>1496710.2033100799</v>
      </c>
      <c r="BF130" s="1467">
        <f t="shared" ref="BF130:BF148" si="541">BE130-Z130</f>
        <v>1197368.1626480639</v>
      </c>
      <c r="BG130" s="1467">
        <f t="shared" ref="BG130:BG148" si="542">BF130-AA130</f>
        <v>957894.53011845122</v>
      </c>
      <c r="BH130" s="1467">
        <f t="shared" ref="BH130:BH148" si="543">BG130-AB130</f>
        <v>766315.62409476109</v>
      </c>
      <c r="BI130" s="1467">
        <f t="shared" ref="BI130:BI148" si="544">BH130-AC130</f>
        <v>613052.49927580869</v>
      </c>
      <c r="BJ130" s="1467">
        <f t="shared" si="520"/>
        <v>490441.99942064646</v>
      </c>
      <c r="BK130" s="1467">
        <f t="shared" si="520"/>
        <v>392353.59953651641</v>
      </c>
      <c r="BL130" s="1467">
        <f t="shared" si="520"/>
        <v>313882.87962921173</v>
      </c>
      <c r="BM130" s="1467">
        <f t="shared" si="520"/>
        <v>251106.30370336832</v>
      </c>
      <c r="BN130" s="1467">
        <f t="shared" si="520"/>
        <v>200885.04296269329</v>
      </c>
      <c r="BO130" s="1467">
        <f t="shared" si="520"/>
        <v>160708.03437015327</v>
      </c>
      <c r="BP130" s="1467">
        <f t="shared" si="520"/>
        <v>128566.42749612094</v>
      </c>
      <c r="BQ130" s="1467">
        <f t="shared" si="520"/>
        <v>102853.14199689539</v>
      </c>
      <c r="BR130" s="1467">
        <f t="shared" si="520"/>
        <v>82282.513597514335</v>
      </c>
      <c r="BS130" s="1467">
        <f t="shared" si="520"/>
        <v>65826.010878009198</v>
      </c>
      <c r="BT130" s="1467">
        <f t="shared" si="520"/>
        <v>52660.808702405389</v>
      </c>
      <c r="BU130" s="1467">
        <f t="shared" si="520"/>
        <v>42128.646961922044</v>
      </c>
      <c r="BV130" s="1485"/>
    </row>
    <row r="131" spans="1:74" x14ac:dyDescent="0.2">
      <c r="A131" s="927" t="str">
        <f t="shared" si="521"/>
        <v>Forest Residues (Cellulosic).Accelerated</v>
      </c>
      <c r="B131" s="1076"/>
      <c r="C131" s="1076" t="str">
        <f t="shared" ref="C131:C138" si="545">C130</f>
        <v>Forest Residues (Cellulosic)</v>
      </c>
      <c r="D131" s="1076" t="str">
        <f>Assumptions!$AH$82</f>
        <v>Accelerated</v>
      </c>
      <c r="E131" s="1076" t="str">
        <f>'Forest Residues (Cellulosic)'!H276</f>
        <v>Enzyme production</v>
      </c>
      <c r="F131" s="1467">
        <f>SUM('Forest Residues (Cellulosic)'!J276:K276)*1000000</f>
        <v>25000000</v>
      </c>
      <c r="G131" s="1467">
        <f t="shared" si="522"/>
        <v>30937500</v>
      </c>
      <c r="H131" s="1467">
        <f t="shared" si="523"/>
        <v>34031250</v>
      </c>
      <c r="I131" s="1467">
        <f t="shared" si="524"/>
        <v>34031250</v>
      </c>
      <c r="J131" s="1076">
        <f t="shared" ref="J131:J138" si="546">J130</f>
        <v>0.2</v>
      </c>
      <c r="K131" s="1107"/>
      <c r="L131" s="1467">
        <f t="shared" si="525"/>
        <v>6806250</v>
      </c>
      <c r="M131" s="1467">
        <f>($I131-SUM($L131:L131))*$J131</f>
        <v>5445000</v>
      </c>
      <c r="N131" s="1467">
        <f>($I131-SUM($L131:M131))*$J131</f>
        <v>4356000</v>
      </c>
      <c r="O131" s="1467">
        <f>($I131-SUM($L131:N131))*$J131</f>
        <v>3484800</v>
      </c>
      <c r="P131" s="1467">
        <f>($I131-SUM($L131:O131))*$J131</f>
        <v>2787840</v>
      </c>
      <c r="Q131" s="1467">
        <f>($I131-SUM($L131:P131))*$J131</f>
        <v>2230272</v>
      </c>
      <c r="R131" s="1467">
        <f>($I131-SUM($L131:Q131))*$J131</f>
        <v>1784217.6000000001</v>
      </c>
      <c r="S131" s="1467">
        <f>($I131-SUM($L131:R131))*$J131</f>
        <v>1427374.0799999998</v>
      </c>
      <c r="T131" s="1467">
        <f>($I131-SUM($L131:S131))*$J131</f>
        <v>1141899.2640000002</v>
      </c>
      <c r="U131" s="1467">
        <f>($I131-SUM($L131:T131))*$J131</f>
        <v>913519.41120000044</v>
      </c>
      <c r="V131" s="1467">
        <f>($I131-SUM($L131:U131))*$J131</f>
        <v>730815.52896000003</v>
      </c>
      <c r="W131" s="1467">
        <f>($I131-SUM($L131:V131))*$J131</f>
        <v>584652.42316799983</v>
      </c>
      <c r="X131" s="1467">
        <f>($I131-SUM($L131:W131))*$J131</f>
        <v>467721.9385343999</v>
      </c>
      <c r="Y131" s="1467">
        <f>($I131-SUM($L131:X131))*$J131</f>
        <v>374177.55082751962</v>
      </c>
      <c r="Z131" s="1467">
        <f>($I131-SUM($L131:Y131))*$J131</f>
        <v>299342.04066201596</v>
      </c>
      <c r="AA131" s="1467">
        <f>($I131-SUM($L131:Z131))*$J131</f>
        <v>239473.63252961263</v>
      </c>
      <c r="AB131" s="1467">
        <f>($I131-SUM($L131:AA131))*$J131</f>
        <v>191578.90602369013</v>
      </c>
      <c r="AC131" s="1467">
        <f>($I131-SUM($L131:AB131))*$J131</f>
        <v>153263.12481895238</v>
      </c>
      <c r="AD131" s="1467">
        <f>($I131-SUM($L131:AC131))*$J131</f>
        <v>122610.49985516221</v>
      </c>
      <c r="AE131" s="1467">
        <f>($I131-SUM($L131:AD131))*$J131</f>
        <v>98088.399884130064</v>
      </c>
      <c r="AF131" s="1467">
        <f>($I131-SUM($L131:AE131))*$J131</f>
        <v>78470.71990730465</v>
      </c>
      <c r="AG131" s="1467">
        <f>($I131-SUM($L131:AF131))*$J131</f>
        <v>62776.575925843419</v>
      </c>
      <c r="AH131" s="1467">
        <f>($I131-SUM($L131:AG131))*$J131</f>
        <v>50221.260740675032</v>
      </c>
      <c r="AI131" s="1467">
        <f>($I131-SUM($L131:AH131))*$J131</f>
        <v>40177.008592540027</v>
      </c>
      <c r="AJ131" s="1467">
        <f>($I131-SUM($L131:AI131))*$J131</f>
        <v>32141.606874032321</v>
      </c>
      <c r="AK131" s="1467">
        <f>($I131-SUM($L131:AJ131))*$J131</f>
        <v>25713.28549922556</v>
      </c>
      <c r="AL131" s="1467">
        <f>($I131-SUM($L131:AK131))*$J131</f>
        <v>20570.628399381043</v>
      </c>
      <c r="AM131" s="1467">
        <f>($I131-SUM($L131:AL131))*$J131</f>
        <v>16456.502719505133</v>
      </c>
      <c r="AN131" s="1467">
        <f>($I131-SUM($L131:AM131))*$J131</f>
        <v>13165.202175603808</v>
      </c>
      <c r="AO131" s="1467">
        <f>($I131-SUM($L131:AN131))*$J131</f>
        <v>10532.161740483345</v>
      </c>
      <c r="AP131" s="1468">
        <f t="shared" si="526"/>
        <v>33989121.353038065</v>
      </c>
      <c r="AQ131" s="1482"/>
      <c r="AR131" s="1467">
        <f t="shared" si="527"/>
        <v>27225000</v>
      </c>
      <c r="AS131" s="1467">
        <f t="shared" si="528"/>
        <v>21780000</v>
      </c>
      <c r="AT131" s="1467">
        <f t="shared" si="529"/>
        <v>17424000</v>
      </c>
      <c r="AU131" s="1467">
        <f t="shared" si="530"/>
        <v>13939200</v>
      </c>
      <c r="AV131" s="1467">
        <f t="shared" si="531"/>
        <v>11151360</v>
      </c>
      <c r="AW131" s="1467">
        <f t="shared" si="532"/>
        <v>8921088</v>
      </c>
      <c r="AX131" s="1467">
        <f t="shared" si="533"/>
        <v>7136870.4000000004</v>
      </c>
      <c r="AY131" s="1467">
        <f t="shared" si="534"/>
        <v>5709496.3200000003</v>
      </c>
      <c r="AZ131" s="1467">
        <f t="shared" si="535"/>
        <v>4567597.0559999999</v>
      </c>
      <c r="BA131" s="1467">
        <f t="shared" si="536"/>
        <v>3654077.6447999994</v>
      </c>
      <c r="BB131" s="1467">
        <f t="shared" si="537"/>
        <v>2923262.1158399992</v>
      </c>
      <c r="BC131" s="1467">
        <f t="shared" si="538"/>
        <v>2338609.6926719993</v>
      </c>
      <c r="BD131" s="1467">
        <f t="shared" si="539"/>
        <v>1870887.7541375994</v>
      </c>
      <c r="BE131" s="1467">
        <f t="shared" si="540"/>
        <v>1496710.2033100799</v>
      </c>
      <c r="BF131" s="1467">
        <f t="shared" si="541"/>
        <v>1197368.1626480639</v>
      </c>
      <c r="BG131" s="1467">
        <f t="shared" si="542"/>
        <v>957894.53011845122</v>
      </c>
      <c r="BH131" s="1467">
        <f t="shared" si="543"/>
        <v>766315.62409476109</v>
      </c>
      <c r="BI131" s="1467">
        <f t="shared" si="544"/>
        <v>613052.49927580869</v>
      </c>
      <c r="BJ131" s="1467">
        <f t="shared" si="520"/>
        <v>490441.99942064646</v>
      </c>
      <c r="BK131" s="1467">
        <f t="shared" si="520"/>
        <v>392353.59953651641</v>
      </c>
      <c r="BL131" s="1467">
        <f t="shared" si="520"/>
        <v>313882.87962921173</v>
      </c>
      <c r="BM131" s="1467">
        <f t="shared" si="520"/>
        <v>251106.30370336832</v>
      </c>
      <c r="BN131" s="1467">
        <f t="shared" si="520"/>
        <v>200885.04296269329</v>
      </c>
      <c r="BO131" s="1467">
        <f t="shared" si="520"/>
        <v>160708.03437015327</v>
      </c>
      <c r="BP131" s="1467">
        <f t="shared" si="520"/>
        <v>128566.42749612094</v>
      </c>
      <c r="BQ131" s="1467">
        <f t="shared" si="520"/>
        <v>102853.14199689539</v>
      </c>
      <c r="BR131" s="1467">
        <f t="shared" si="520"/>
        <v>82282.513597514335</v>
      </c>
      <c r="BS131" s="1467">
        <f t="shared" si="520"/>
        <v>65826.010878009198</v>
      </c>
      <c r="BT131" s="1467">
        <f t="shared" si="520"/>
        <v>52660.808702405389</v>
      </c>
      <c r="BU131" s="1467">
        <f t="shared" si="520"/>
        <v>42128.646961922044</v>
      </c>
      <c r="BV131" s="1485"/>
    </row>
    <row r="132" spans="1:74" x14ac:dyDescent="0.2">
      <c r="A132" s="927" t="str">
        <f t="shared" si="521"/>
        <v>Forest Residues (Cellulosic).Accelerated</v>
      </c>
      <c r="B132" s="1076"/>
      <c r="C132" s="1076" t="str">
        <f t="shared" si="545"/>
        <v>Forest Residues (Cellulosic)</v>
      </c>
      <c r="D132" s="1076" t="str">
        <f>Assumptions!$AH$82</f>
        <v>Accelerated</v>
      </c>
      <c r="E132" s="1076" t="str">
        <f>'Forest Residues (Cellulosic)'!H277</f>
        <v>Enzymtic hydrolysis and Fermentation Plant</v>
      </c>
      <c r="F132" s="1467">
        <f>SUM('Forest Residues (Cellulosic)'!J277:K277)*1000000</f>
        <v>40000000</v>
      </c>
      <c r="G132" s="1467">
        <f t="shared" si="522"/>
        <v>49500000</v>
      </c>
      <c r="H132" s="1467">
        <f t="shared" si="523"/>
        <v>54450000.000000007</v>
      </c>
      <c r="I132" s="1467">
        <f t="shared" si="524"/>
        <v>54450000.000000007</v>
      </c>
      <c r="J132" s="1076">
        <f t="shared" si="546"/>
        <v>0.2</v>
      </c>
      <c r="K132" s="1107"/>
      <c r="L132" s="1467">
        <f t="shared" si="525"/>
        <v>10890000.000000002</v>
      </c>
      <c r="M132" s="1467">
        <f>($I132-SUM($L132:L132))*$J132</f>
        <v>8712000.0000000019</v>
      </c>
      <c r="N132" s="1467">
        <f>($I132-SUM($L132:M132))*$J132</f>
        <v>6969600</v>
      </c>
      <c r="O132" s="1467">
        <f>($I132-SUM($L132:N132))*$J132</f>
        <v>5575680.0000000009</v>
      </c>
      <c r="P132" s="1467">
        <f>($I132-SUM($L132:O132))*$J132</f>
        <v>4460544.0000000009</v>
      </c>
      <c r="Q132" s="1467">
        <f>($I132-SUM($L132:P132))*$J132</f>
        <v>3568435.2000000002</v>
      </c>
      <c r="R132" s="1467">
        <f>($I132-SUM($L132:Q132))*$J132</f>
        <v>2854748.1599999997</v>
      </c>
      <c r="S132" s="1467">
        <f>($I132-SUM($L132:R132))*$J132</f>
        <v>2283798.5280000004</v>
      </c>
      <c r="T132" s="1467">
        <f>($I132-SUM($L132:S132))*$J132</f>
        <v>1827038.8224000009</v>
      </c>
      <c r="U132" s="1467">
        <f>($I132-SUM($L132:T132))*$J132</f>
        <v>1461631.0579200001</v>
      </c>
      <c r="V132" s="1467">
        <f>($I132-SUM($L132:U132))*$J132</f>
        <v>1169304.8463359997</v>
      </c>
      <c r="W132" s="1467">
        <f>($I132-SUM($L132:V132))*$J132</f>
        <v>935443.8770687998</v>
      </c>
      <c r="X132" s="1467">
        <f>($I132-SUM($L132:W132))*$J132</f>
        <v>748355.10165503924</v>
      </c>
      <c r="Y132" s="1467">
        <f>($I132-SUM($L132:X132))*$J132</f>
        <v>598684.08132403193</v>
      </c>
      <c r="Z132" s="1467">
        <f>($I132-SUM($L132:Y132))*$J132</f>
        <v>478947.26505922526</v>
      </c>
      <c r="AA132" s="1467">
        <f>($I132-SUM($L132:Z132))*$J132</f>
        <v>383157.81204738026</v>
      </c>
      <c r="AB132" s="1467">
        <f>($I132-SUM($L132:AA132))*$J132</f>
        <v>306526.24963790475</v>
      </c>
      <c r="AC132" s="1467">
        <f>($I132-SUM($L132:AB132))*$J132</f>
        <v>245220.99971032442</v>
      </c>
      <c r="AD132" s="1467">
        <f>($I132-SUM($L132:AC132))*$J132</f>
        <v>196176.79976826013</v>
      </c>
      <c r="AE132" s="1467">
        <f>($I132-SUM($L132:AD132))*$J132</f>
        <v>156941.43981460782</v>
      </c>
      <c r="AF132" s="1467">
        <f>($I132-SUM($L132:AE132))*$J132</f>
        <v>125553.15185168684</v>
      </c>
      <c r="AG132" s="1467">
        <f>($I132-SUM($L132:AF132))*$J132</f>
        <v>100442.52148135006</v>
      </c>
      <c r="AH132" s="1467">
        <f>($I132-SUM($L132:AG132))*$J132</f>
        <v>80354.017185080054</v>
      </c>
      <c r="AI132" s="1467">
        <f>($I132-SUM($L132:AH132))*$J132</f>
        <v>64283.213748064642</v>
      </c>
      <c r="AJ132" s="1467">
        <f>($I132-SUM($L132:AI132))*$J132</f>
        <v>51426.57099845112</v>
      </c>
      <c r="AK132" s="1467">
        <f>($I132-SUM($L132:AJ132))*$J132</f>
        <v>41141.256798760594</v>
      </c>
      <c r="AL132" s="1467">
        <f>($I132-SUM($L132:AK132))*$J132</f>
        <v>32913.005439008775</v>
      </c>
      <c r="AM132" s="1467">
        <f>($I132-SUM($L132:AL132))*$J132</f>
        <v>26330.404351207617</v>
      </c>
      <c r="AN132" s="1467">
        <f>($I132-SUM($L132:AM132))*$J132</f>
        <v>21064.32348096669</v>
      </c>
      <c r="AO132" s="1467">
        <f>($I132-SUM($L132:AN132))*$J132</f>
        <v>16851.458784773946</v>
      </c>
      <c r="AP132" s="1468">
        <f t="shared" si="526"/>
        <v>54382594.164860912</v>
      </c>
      <c r="AQ132" s="1482"/>
      <c r="AR132" s="1467">
        <f t="shared" si="527"/>
        <v>43560000.000000007</v>
      </c>
      <c r="AS132" s="1467">
        <f t="shared" si="528"/>
        <v>34848000.000000007</v>
      </c>
      <c r="AT132" s="1467">
        <f t="shared" si="529"/>
        <v>27878400.000000007</v>
      </c>
      <c r="AU132" s="1467">
        <f t="shared" si="530"/>
        <v>22302720.000000007</v>
      </c>
      <c r="AV132" s="1467">
        <f t="shared" si="531"/>
        <v>17842176.000000007</v>
      </c>
      <c r="AW132" s="1467">
        <f t="shared" si="532"/>
        <v>14273740.800000008</v>
      </c>
      <c r="AX132" s="1467">
        <f t="shared" si="533"/>
        <v>11418992.640000008</v>
      </c>
      <c r="AY132" s="1467">
        <f t="shared" si="534"/>
        <v>9135194.1120000072</v>
      </c>
      <c r="AZ132" s="1467">
        <f t="shared" si="535"/>
        <v>7308155.2896000063</v>
      </c>
      <c r="BA132" s="1467">
        <f t="shared" si="536"/>
        <v>5846524.2316800058</v>
      </c>
      <c r="BB132" s="1467">
        <f t="shared" si="537"/>
        <v>4677219.3853440061</v>
      </c>
      <c r="BC132" s="1467">
        <f t="shared" si="538"/>
        <v>3741775.5082752062</v>
      </c>
      <c r="BD132" s="1467">
        <f t="shared" si="539"/>
        <v>2993420.4066201672</v>
      </c>
      <c r="BE132" s="1467">
        <f t="shared" si="540"/>
        <v>2394736.3252961352</v>
      </c>
      <c r="BF132" s="1467">
        <f t="shared" si="541"/>
        <v>1915789.0602369099</v>
      </c>
      <c r="BG132" s="1467">
        <f t="shared" si="542"/>
        <v>1532631.2481895296</v>
      </c>
      <c r="BH132" s="1467">
        <f t="shared" si="543"/>
        <v>1226104.9985516248</v>
      </c>
      <c r="BI132" s="1467">
        <f t="shared" si="544"/>
        <v>980883.99884130037</v>
      </c>
      <c r="BJ132" s="1467">
        <f t="shared" si="520"/>
        <v>784707.19907304028</v>
      </c>
      <c r="BK132" s="1467">
        <f t="shared" si="520"/>
        <v>627765.75925843243</v>
      </c>
      <c r="BL132" s="1467">
        <f t="shared" si="520"/>
        <v>502212.60740674561</v>
      </c>
      <c r="BM132" s="1467">
        <f t="shared" si="520"/>
        <v>401770.08592539554</v>
      </c>
      <c r="BN132" s="1467">
        <f t="shared" si="520"/>
        <v>321416.0687403155</v>
      </c>
      <c r="BO132" s="1467">
        <f t="shared" si="520"/>
        <v>257132.85499225085</v>
      </c>
      <c r="BP132" s="1467">
        <f t="shared" si="520"/>
        <v>205706.28399379973</v>
      </c>
      <c r="BQ132" s="1467">
        <f t="shared" si="520"/>
        <v>164565.02719503915</v>
      </c>
      <c r="BR132" s="1467">
        <f t="shared" si="520"/>
        <v>131652.02175603039</v>
      </c>
      <c r="BS132" s="1467">
        <f t="shared" si="520"/>
        <v>105321.61740482277</v>
      </c>
      <c r="BT132" s="1467">
        <f t="shared" si="520"/>
        <v>84257.293923856079</v>
      </c>
      <c r="BU132" s="1467">
        <f t="shared" si="520"/>
        <v>67405.835139082134</v>
      </c>
      <c r="BV132" s="1485"/>
    </row>
    <row r="133" spans="1:74" x14ac:dyDescent="0.2">
      <c r="A133" s="927" t="str">
        <f t="shared" si="521"/>
        <v>Forest Residues (Cellulosic).Accelerated</v>
      </c>
      <c r="B133" s="1076"/>
      <c r="C133" s="1076" t="str">
        <f t="shared" si="545"/>
        <v>Forest Residues (Cellulosic)</v>
      </c>
      <c r="D133" s="1076" t="str">
        <f>Assumptions!$AH$82</f>
        <v>Accelerated</v>
      </c>
      <c r="E133" s="1076" t="str">
        <f>'Forest Residues (Cellulosic)'!H278</f>
        <v>Distillation, Rectification and Dehydration</v>
      </c>
      <c r="F133" s="1467">
        <f>SUM('Forest Residues (Cellulosic)'!J278:K278)*1000000</f>
        <v>23000000</v>
      </c>
      <c r="G133" s="1467">
        <f t="shared" si="522"/>
        <v>28462500</v>
      </c>
      <c r="H133" s="1467">
        <f t="shared" si="523"/>
        <v>31308750.000000004</v>
      </c>
      <c r="I133" s="1467">
        <f t="shared" si="524"/>
        <v>31308750.000000004</v>
      </c>
      <c r="J133" s="1076">
        <f t="shared" si="546"/>
        <v>0.2</v>
      </c>
      <c r="K133" s="1107"/>
      <c r="L133" s="1467">
        <f t="shared" si="525"/>
        <v>6261750.0000000009</v>
      </c>
      <c r="M133" s="1467">
        <f>($I133-SUM($L133:L133))*$J133</f>
        <v>5009400.0000000009</v>
      </c>
      <c r="N133" s="1467">
        <f>($I133-SUM($L133:M133))*$J133</f>
        <v>4007520</v>
      </c>
      <c r="O133" s="1467">
        <f>($I133-SUM($L133:N133))*$J133</f>
        <v>3206016.0000000005</v>
      </c>
      <c r="P133" s="1467">
        <f>($I133-SUM($L133:O133))*$J133</f>
        <v>2564812.8000000003</v>
      </c>
      <c r="Q133" s="1467">
        <f>($I133-SUM($L133:P133))*$J133</f>
        <v>2051850.24</v>
      </c>
      <c r="R133" s="1467">
        <f>($I133-SUM($L133:Q133))*$J133</f>
        <v>1641480.1920000003</v>
      </c>
      <c r="S133" s="1467">
        <f>($I133-SUM($L133:R133))*$J133</f>
        <v>1313184.1535999998</v>
      </c>
      <c r="T133" s="1467">
        <f>($I133-SUM($L133:S133))*$J133</f>
        <v>1050547.3228799999</v>
      </c>
      <c r="U133" s="1467">
        <f>($I133-SUM($L133:T133))*$J133</f>
        <v>840437.85830399999</v>
      </c>
      <c r="V133" s="1467">
        <f>($I133-SUM($L133:U133))*$J133</f>
        <v>672350.28664319962</v>
      </c>
      <c r="W133" s="1467">
        <f>($I133-SUM($L133:V133))*$J133</f>
        <v>537880.22931455972</v>
      </c>
      <c r="X133" s="1467">
        <f>($I133-SUM($L133:W133))*$J133</f>
        <v>430304.1834516481</v>
      </c>
      <c r="Y133" s="1467">
        <f>($I133-SUM($L133:X133))*$J133</f>
        <v>344243.34676131833</v>
      </c>
      <c r="Z133" s="1467">
        <f>($I133-SUM($L133:Y133))*$J133</f>
        <v>275394.67740905436</v>
      </c>
      <c r="AA133" s="1467">
        <f>($I133-SUM($L133:Z133))*$J133</f>
        <v>220315.74192724377</v>
      </c>
      <c r="AB133" s="1467">
        <f>($I133-SUM($L133:AA133))*$J133</f>
        <v>176252.59354179504</v>
      </c>
      <c r="AC133" s="1467">
        <f>($I133-SUM($L133:AB133))*$J133</f>
        <v>141002.07483343632</v>
      </c>
      <c r="AD133" s="1467">
        <f>($I133-SUM($L133:AC133))*$J133</f>
        <v>112801.65986674876</v>
      </c>
      <c r="AE133" s="1467">
        <f>($I133-SUM($L133:AD133))*$J133</f>
        <v>90241.327893398702</v>
      </c>
      <c r="AF133" s="1467">
        <f>($I133-SUM($L133:AE133))*$J133</f>
        <v>72193.062314718962</v>
      </c>
      <c r="AG133" s="1467">
        <f>($I133-SUM($L133:AF133))*$J133</f>
        <v>57754.449851775171</v>
      </c>
      <c r="AH133" s="1467">
        <f>($I133-SUM($L133:AG133))*$J133</f>
        <v>46203.559881420435</v>
      </c>
      <c r="AI133" s="1467">
        <f>($I133-SUM($L133:AH133))*$J133</f>
        <v>36962.847905136645</v>
      </c>
      <c r="AJ133" s="1467">
        <f>($I133-SUM($L133:AI133))*$J133</f>
        <v>29570.278324109317</v>
      </c>
      <c r="AK133" s="1467">
        <f>($I133-SUM($L133:AJ133))*$J133</f>
        <v>23656.222659287603</v>
      </c>
      <c r="AL133" s="1467">
        <f>($I133-SUM($L133:AK133))*$J133</f>
        <v>18924.978127430379</v>
      </c>
      <c r="AM133" s="1467">
        <f>($I133-SUM($L133:AL133))*$J133</f>
        <v>15139.982501944156</v>
      </c>
      <c r="AN133" s="1467">
        <f>($I133-SUM($L133:AM133))*$J133</f>
        <v>12111.986001555622</v>
      </c>
      <c r="AO133" s="1467">
        <f>($I133-SUM($L133:AN133))*$J133</f>
        <v>9689.5888012446467</v>
      </c>
      <c r="AP133" s="1468">
        <f t="shared" si="526"/>
        <v>31269991.644795027</v>
      </c>
      <c r="AQ133" s="1482"/>
      <c r="AR133" s="1467">
        <f t="shared" si="527"/>
        <v>25047000.000000004</v>
      </c>
      <c r="AS133" s="1467">
        <f t="shared" si="528"/>
        <v>20037600.000000004</v>
      </c>
      <c r="AT133" s="1467">
        <f t="shared" si="529"/>
        <v>16030080.000000004</v>
      </c>
      <c r="AU133" s="1467">
        <f t="shared" si="530"/>
        <v>12824064.000000004</v>
      </c>
      <c r="AV133" s="1467">
        <f t="shared" si="531"/>
        <v>10259251.200000003</v>
      </c>
      <c r="AW133" s="1467">
        <f t="shared" si="532"/>
        <v>8207400.9600000028</v>
      </c>
      <c r="AX133" s="1467">
        <f t="shared" si="533"/>
        <v>6565920.768000003</v>
      </c>
      <c r="AY133" s="1467">
        <f t="shared" si="534"/>
        <v>5252736.6144000031</v>
      </c>
      <c r="AZ133" s="1467">
        <f t="shared" si="535"/>
        <v>4202189.2915200032</v>
      </c>
      <c r="BA133" s="1467">
        <f t="shared" si="536"/>
        <v>3361751.4332160032</v>
      </c>
      <c r="BB133" s="1467">
        <f t="shared" si="537"/>
        <v>2689401.1465728036</v>
      </c>
      <c r="BC133" s="1467">
        <f t="shared" si="538"/>
        <v>2151520.917258244</v>
      </c>
      <c r="BD133" s="1467">
        <f t="shared" si="539"/>
        <v>1721216.7338065959</v>
      </c>
      <c r="BE133" s="1467">
        <f t="shared" si="540"/>
        <v>1376973.3870452775</v>
      </c>
      <c r="BF133" s="1467">
        <f t="shared" si="541"/>
        <v>1101578.709636223</v>
      </c>
      <c r="BG133" s="1467">
        <f t="shared" si="542"/>
        <v>881262.96770897927</v>
      </c>
      <c r="BH133" s="1467">
        <f t="shared" si="543"/>
        <v>705010.37416718423</v>
      </c>
      <c r="BI133" s="1467">
        <f t="shared" si="544"/>
        <v>564008.29933374794</v>
      </c>
      <c r="BJ133" s="1467">
        <f t="shared" si="520"/>
        <v>451206.63946699922</v>
      </c>
      <c r="BK133" s="1467">
        <f t="shared" si="520"/>
        <v>360965.31157360051</v>
      </c>
      <c r="BL133" s="1467">
        <f t="shared" si="520"/>
        <v>288772.24925888155</v>
      </c>
      <c r="BM133" s="1467">
        <f t="shared" si="520"/>
        <v>231017.79940710639</v>
      </c>
      <c r="BN133" s="1467">
        <f t="shared" si="520"/>
        <v>184814.23952568596</v>
      </c>
      <c r="BO133" s="1467">
        <f t="shared" si="520"/>
        <v>147851.39162054932</v>
      </c>
      <c r="BP133" s="1467">
        <f t="shared" si="520"/>
        <v>118281.11329644</v>
      </c>
      <c r="BQ133" s="1467">
        <f t="shared" si="520"/>
        <v>94624.890637152392</v>
      </c>
      <c r="BR133" s="1467">
        <f t="shared" si="520"/>
        <v>75699.912509722009</v>
      </c>
      <c r="BS133" s="1467">
        <f t="shared" si="520"/>
        <v>60559.930007777853</v>
      </c>
      <c r="BT133" s="1467">
        <f t="shared" si="520"/>
        <v>48447.944006222227</v>
      </c>
      <c r="BU133" s="1467">
        <f t="shared" si="520"/>
        <v>38758.355204977583</v>
      </c>
      <c r="BV133" s="1485"/>
    </row>
    <row r="134" spans="1:74" x14ac:dyDescent="0.2">
      <c r="A134" s="927" t="str">
        <f t="shared" si="521"/>
        <v>Forest Residues (Cellulosic).Accelerated</v>
      </c>
      <c r="B134" s="1076"/>
      <c r="C134" s="1076" t="str">
        <f t="shared" si="545"/>
        <v>Forest Residues (Cellulosic)</v>
      </c>
      <c r="D134" s="1076" t="str">
        <f>Assumptions!$AH$82</f>
        <v>Accelerated</v>
      </c>
      <c r="E134" s="1076" t="str">
        <f>'Forest Residues (Cellulosic)'!H279</f>
        <v>Alcohol Storage</v>
      </c>
      <c r="F134" s="1467">
        <f>SUM('Forest Residues (Cellulosic)'!J279:K279)*1000000</f>
        <v>5000000</v>
      </c>
      <c r="G134" s="1467">
        <f t="shared" si="522"/>
        <v>6187500</v>
      </c>
      <c r="H134" s="1467">
        <f t="shared" si="523"/>
        <v>6806250.0000000009</v>
      </c>
      <c r="I134" s="1467">
        <f t="shared" si="524"/>
        <v>6806250.0000000009</v>
      </c>
      <c r="J134" s="1076">
        <f t="shared" si="546"/>
        <v>0.2</v>
      </c>
      <c r="K134" s="1107"/>
      <c r="L134" s="1467">
        <f t="shared" si="525"/>
        <v>1361250.0000000002</v>
      </c>
      <c r="M134" s="1467">
        <f>($I134-SUM($L134:L134))*$J134</f>
        <v>1089000.0000000002</v>
      </c>
      <c r="N134" s="1467">
        <f>($I134-SUM($L134:M134))*$J134</f>
        <v>871200</v>
      </c>
      <c r="O134" s="1467">
        <f>($I134-SUM($L134:N134))*$J134</f>
        <v>696960.00000000012</v>
      </c>
      <c r="P134" s="1467">
        <f>($I134-SUM($L134:O134))*$J134</f>
        <v>557568.00000000012</v>
      </c>
      <c r="Q134" s="1467">
        <f>($I134-SUM($L134:P134))*$J134</f>
        <v>446054.40000000002</v>
      </c>
      <c r="R134" s="1467">
        <f>($I134-SUM($L134:Q134))*$J134</f>
        <v>356843.51999999996</v>
      </c>
      <c r="S134" s="1467">
        <f>($I134-SUM($L134:R134))*$J134</f>
        <v>285474.81600000005</v>
      </c>
      <c r="T134" s="1467">
        <f>($I134-SUM($L134:S134))*$J134</f>
        <v>228379.85280000011</v>
      </c>
      <c r="U134" s="1467">
        <f>($I134-SUM($L134:T134))*$J134</f>
        <v>182703.88224000001</v>
      </c>
      <c r="V134" s="1467">
        <f>($I134-SUM($L134:U134))*$J134</f>
        <v>146163.10579199996</v>
      </c>
      <c r="W134" s="1467">
        <f>($I134-SUM($L134:V134))*$J134</f>
        <v>116930.48463359998</v>
      </c>
      <c r="X134" s="1467">
        <f>($I134-SUM($L134:W134))*$J134</f>
        <v>93544.387706879905</v>
      </c>
      <c r="Y134" s="1467">
        <f>($I134-SUM($L134:X134))*$J134</f>
        <v>74835.510165503991</v>
      </c>
      <c r="Z134" s="1467">
        <f>($I134-SUM($L134:Y134))*$J134</f>
        <v>59868.408132403158</v>
      </c>
      <c r="AA134" s="1467">
        <f>($I134-SUM($L134:Z134))*$J134</f>
        <v>47894.726505922532</v>
      </c>
      <c r="AB134" s="1467">
        <f>($I134-SUM($L134:AA134))*$J134</f>
        <v>38315.781204738094</v>
      </c>
      <c r="AC134" s="1467">
        <f>($I134-SUM($L134:AB134))*$J134</f>
        <v>30652.624963790553</v>
      </c>
      <c r="AD134" s="1467">
        <f>($I134-SUM($L134:AC134))*$J134</f>
        <v>24522.099971032516</v>
      </c>
      <c r="AE134" s="1467">
        <f>($I134-SUM($L134:AD134))*$J134</f>
        <v>19617.679976825977</v>
      </c>
      <c r="AF134" s="1467">
        <f>($I134-SUM($L134:AE134))*$J134</f>
        <v>15694.143981460855</v>
      </c>
      <c r="AG134" s="1467">
        <f>($I134-SUM($L134:AF134))*$J134</f>
        <v>12555.315185168758</v>
      </c>
      <c r="AH134" s="1467">
        <f>($I134-SUM($L134:AG134))*$J134</f>
        <v>10044.252148135007</v>
      </c>
      <c r="AI134" s="1467">
        <f>($I134-SUM($L134:AH134))*$J134</f>
        <v>8035.4017185080802</v>
      </c>
      <c r="AJ134" s="1467">
        <f>($I134-SUM($L134:AI134))*$J134</f>
        <v>6428.3213748063899</v>
      </c>
      <c r="AK134" s="1467">
        <f>($I134-SUM($L134:AJ134))*$J134</f>
        <v>5142.6570998450743</v>
      </c>
      <c r="AL134" s="1467">
        <f>($I134-SUM($L134:AK134))*$J134</f>
        <v>4114.1256798760969</v>
      </c>
      <c r="AM134" s="1467">
        <f>($I134-SUM($L134:AL134))*$J134</f>
        <v>3291.3005439009521</v>
      </c>
      <c r="AN134" s="1467">
        <f>($I134-SUM($L134:AM134))*$J134</f>
        <v>2633.0404351208363</v>
      </c>
      <c r="AO134" s="1467">
        <f>($I134-SUM($L134:AN134))*$J134</f>
        <v>2106.4323480967432</v>
      </c>
      <c r="AP134" s="1468">
        <f t="shared" si="526"/>
        <v>6797824.270607614</v>
      </c>
      <c r="AQ134" s="1482"/>
      <c r="AR134" s="1467">
        <f t="shared" si="527"/>
        <v>5445000.0000000009</v>
      </c>
      <c r="AS134" s="1467">
        <f t="shared" si="528"/>
        <v>4356000.0000000009</v>
      </c>
      <c r="AT134" s="1467">
        <f t="shared" si="529"/>
        <v>3484800.0000000009</v>
      </c>
      <c r="AU134" s="1467">
        <f t="shared" si="530"/>
        <v>2787840.0000000009</v>
      </c>
      <c r="AV134" s="1467">
        <f t="shared" si="531"/>
        <v>2230272.0000000009</v>
      </c>
      <c r="AW134" s="1467">
        <f t="shared" si="532"/>
        <v>1784217.600000001</v>
      </c>
      <c r="AX134" s="1467">
        <f t="shared" si="533"/>
        <v>1427374.080000001</v>
      </c>
      <c r="AY134" s="1467">
        <f t="shared" si="534"/>
        <v>1141899.2640000009</v>
      </c>
      <c r="AZ134" s="1467">
        <f t="shared" si="535"/>
        <v>913519.41120000079</v>
      </c>
      <c r="BA134" s="1467">
        <f t="shared" si="536"/>
        <v>730815.52896000072</v>
      </c>
      <c r="BB134" s="1467">
        <f t="shared" si="537"/>
        <v>584652.42316800077</v>
      </c>
      <c r="BC134" s="1467">
        <f t="shared" si="538"/>
        <v>467721.93853440078</v>
      </c>
      <c r="BD134" s="1467">
        <f t="shared" si="539"/>
        <v>374177.5508275209</v>
      </c>
      <c r="BE134" s="1467">
        <f t="shared" si="540"/>
        <v>299342.04066201689</v>
      </c>
      <c r="BF134" s="1467">
        <f t="shared" si="541"/>
        <v>239473.63252961374</v>
      </c>
      <c r="BG134" s="1467">
        <f t="shared" si="542"/>
        <v>191578.9060236912</v>
      </c>
      <c r="BH134" s="1467">
        <f t="shared" si="543"/>
        <v>153263.1248189531</v>
      </c>
      <c r="BI134" s="1467">
        <f t="shared" si="544"/>
        <v>122610.49985516255</v>
      </c>
      <c r="BJ134" s="1467">
        <f t="shared" si="520"/>
        <v>98088.399884130034</v>
      </c>
      <c r="BK134" s="1467">
        <f t="shared" si="520"/>
        <v>78470.719907304054</v>
      </c>
      <c r="BL134" s="1467">
        <f t="shared" si="520"/>
        <v>62776.575925843201</v>
      </c>
      <c r="BM134" s="1467">
        <f t="shared" si="520"/>
        <v>50221.260740674443</v>
      </c>
      <c r="BN134" s="1467">
        <f t="shared" si="520"/>
        <v>40177.008592539438</v>
      </c>
      <c r="BO134" s="1467">
        <f t="shared" si="520"/>
        <v>32141.606874031357</v>
      </c>
      <c r="BP134" s="1467">
        <f t="shared" si="520"/>
        <v>25713.285499224967</v>
      </c>
      <c r="BQ134" s="1467">
        <f t="shared" si="520"/>
        <v>20570.628399379893</v>
      </c>
      <c r="BR134" s="1467">
        <f t="shared" si="520"/>
        <v>16456.502719503798</v>
      </c>
      <c r="BS134" s="1467">
        <f t="shared" si="520"/>
        <v>13165.202175602846</v>
      </c>
      <c r="BT134" s="1467">
        <f t="shared" si="520"/>
        <v>10532.16174048201</v>
      </c>
      <c r="BU134" s="1467">
        <f t="shared" si="520"/>
        <v>8425.7293923852667</v>
      </c>
      <c r="BV134" s="1485"/>
    </row>
    <row r="135" spans="1:74" x14ac:dyDescent="0.2">
      <c r="A135" s="927" t="str">
        <f t="shared" si="521"/>
        <v>Forest Residues (Cellulosic).Accelerated</v>
      </c>
      <c r="B135" s="1076"/>
      <c r="C135" s="1076" t="str">
        <f t="shared" si="545"/>
        <v>Forest Residues (Cellulosic)</v>
      </c>
      <c r="D135" s="1076" t="str">
        <f>Assumptions!$AH$82</f>
        <v>Accelerated</v>
      </c>
      <c r="E135" s="1076" t="str">
        <f>'Forest Residues (Cellulosic)'!H280</f>
        <v>Biogas Plant</v>
      </c>
      <c r="F135" s="1467">
        <f>SUM('Forest Residues (Cellulosic)'!J280:K280)*1000000</f>
        <v>13000000</v>
      </c>
      <c r="G135" s="1467">
        <f t="shared" si="522"/>
        <v>16087500</v>
      </c>
      <c r="H135" s="1467">
        <f t="shared" si="523"/>
        <v>17696250</v>
      </c>
      <c r="I135" s="1467">
        <f t="shared" si="524"/>
        <v>17696250</v>
      </c>
      <c r="J135" s="1076">
        <f t="shared" si="546"/>
        <v>0.2</v>
      </c>
      <c r="K135" s="1107"/>
      <c r="L135" s="1467">
        <f t="shared" si="525"/>
        <v>3539250</v>
      </c>
      <c r="M135" s="1467">
        <f>($I135-SUM($L135:L135))*$J135</f>
        <v>2831400</v>
      </c>
      <c r="N135" s="1467">
        <f>($I135-SUM($L135:M135))*$J135</f>
        <v>2265120</v>
      </c>
      <c r="O135" s="1467">
        <f>($I135-SUM($L135:N135))*$J135</f>
        <v>1812096</v>
      </c>
      <c r="P135" s="1467">
        <f>($I135-SUM($L135:O135))*$J135</f>
        <v>1449676.8</v>
      </c>
      <c r="Q135" s="1467">
        <f>($I135-SUM($L135:P135))*$J135</f>
        <v>1159741.4399999999</v>
      </c>
      <c r="R135" s="1467">
        <f>($I135-SUM($L135:Q135))*$J135</f>
        <v>927793.152</v>
      </c>
      <c r="S135" s="1467">
        <f>($I135-SUM($L135:R135))*$J135</f>
        <v>742234.52159999986</v>
      </c>
      <c r="T135" s="1467">
        <f>($I135-SUM($L135:S135))*$J135</f>
        <v>593787.61727999977</v>
      </c>
      <c r="U135" s="1467">
        <f>($I135-SUM($L135:T135))*$J135</f>
        <v>475030.09382399992</v>
      </c>
      <c r="V135" s="1467">
        <f>($I135-SUM($L135:U135))*$J135</f>
        <v>380024.07505920011</v>
      </c>
      <c r="W135" s="1467">
        <f>($I135-SUM($L135:V135))*$J135</f>
        <v>304019.26004736015</v>
      </c>
      <c r="X135" s="1467">
        <f>($I135-SUM($L135:W135))*$J135</f>
        <v>243215.40803788826</v>
      </c>
      <c r="Y135" s="1467">
        <f>($I135-SUM($L135:X135))*$J135</f>
        <v>194572.3264303107</v>
      </c>
      <c r="Z135" s="1467">
        <f>($I135-SUM($L135:Y135))*$J135</f>
        <v>155657.8611442484</v>
      </c>
      <c r="AA135" s="1467">
        <f>($I135-SUM($L135:Z135))*$J135</f>
        <v>124526.28891539872</v>
      </c>
      <c r="AB135" s="1467">
        <f>($I135-SUM($L135:AA135))*$J135</f>
        <v>99621.031132318836</v>
      </c>
      <c r="AC135" s="1467">
        <f>($I135-SUM($L135:AB135))*$J135</f>
        <v>79696.824905855217</v>
      </c>
      <c r="AD135" s="1467">
        <f>($I135-SUM($L135:AC135))*$J135</f>
        <v>63757.459924684466</v>
      </c>
      <c r="AE135" s="1467">
        <f>($I135-SUM($L135:AD135))*$J135</f>
        <v>51005.967939747876</v>
      </c>
      <c r="AF135" s="1467">
        <f>($I135-SUM($L135:AE135))*$J135</f>
        <v>40804.774351797998</v>
      </c>
      <c r="AG135" s="1467">
        <f>($I135-SUM($L135:AF135))*$J135</f>
        <v>32643.819481438401</v>
      </c>
      <c r="AH135" s="1467">
        <f>($I135-SUM($L135:AG135))*$J135</f>
        <v>26115.055585150421</v>
      </c>
      <c r="AI135" s="1467">
        <f>($I135-SUM($L135:AH135))*$J135</f>
        <v>20892.044468120486</v>
      </c>
      <c r="AJ135" s="1467">
        <f>($I135-SUM($L135:AI135))*$J135</f>
        <v>16713.635574496537</v>
      </c>
      <c r="AK135" s="1467">
        <f>($I135-SUM($L135:AJ135))*$J135</f>
        <v>13370.908459597082</v>
      </c>
      <c r="AL135" s="1467">
        <f>($I135-SUM($L135:AK135))*$J135</f>
        <v>10696.726767677814</v>
      </c>
      <c r="AM135" s="1467">
        <f>($I135-SUM($L135:AL135))*$J135</f>
        <v>8557.3814141422517</v>
      </c>
      <c r="AN135" s="1467">
        <f>($I135-SUM($L135:AM135))*$J135</f>
        <v>6845.9051313139498</v>
      </c>
      <c r="AO135" s="1467">
        <f>($I135-SUM($L135:AN135))*$J135</f>
        <v>5476.7241050511602</v>
      </c>
      <c r="AP135" s="1468">
        <f t="shared" si="526"/>
        <v>17674343.103579797</v>
      </c>
      <c r="AQ135" s="1482"/>
      <c r="AR135" s="1467">
        <f t="shared" si="527"/>
        <v>14157000</v>
      </c>
      <c r="AS135" s="1467">
        <f t="shared" si="528"/>
        <v>11325600</v>
      </c>
      <c r="AT135" s="1467">
        <f t="shared" si="529"/>
        <v>9060480</v>
      </c>
      <c r="AU135" s="1467">
        <f t="shared" si="530"/>
        <v>7248384</v>
      </c>
      <c r="AV135" s="1467">
        <f t="shared" si="531"/>
        <v>5798707.2000000002</v>
      </c>
      <c r="AW135" s="1467">
        <f t="shared" si="532"/>
        <v>4638965.7599999998</v>
      </c>
      <c r="AX135" s="1467">
        <f t="shared" si="533"/>
        <v>3711172.608</v>
      </c>
      <c r="AY135" s="1467">
        <f t="shared" si="534"/>
        <v>2968938.0864000004</v>
      </c>
      <c r="AZ135" s="1467">
        <f t="shared" si="535"/>
        <v>2375150.4691200005</v>
      </c>
      <c r="BA135" s="1467">
        <f t="shared" si="536"/>
        <v>1900120.3752960006</v>
      </c>
      <c r="BB135" s="1467">
        <f t="shared" si="537"/>
        <v>1520096.3002368005</v>
      </c>
      <c r="BC135" s="1467">
        <f t="shared" si="538"/>
        <v>1216077.0401894404</v>
      </c>
      <c r="BD135" s="1467">
        <f t="shared" si="539"/>
        <v>972861.63215155213</v>
      </c>
      <c r="BE135" s="1467">
        <f t="shared" si="540"/>
        <v>778289.3057212414</v>
      </c>
      <c r="BF135" s="1467">
        <f t="shared" si="541"/>
        <v>622631.444576993</v>
      </c>
      <c r="BG135" s="1467">
        <f t="shared" si="542"/>
        <v>498105.1556615943</v>
      </c>
      <c r="BH135" s="1467">
        <f t="shared" si="543"/>
        <v>398484.12452927546</v>
      </c>
      <c r="BI135" s="1467">
        <f t="shared" si="544"/>
        <v>318787.29962342023</v>
      </c>
      <c r="BJ135" s="1467">
        <f t="shared" si="520"/>
        <v>255029.83969873577</v>
      </c>
      <c r="BK135" s="1467">
        <f t="shared" si="520"/>
        <v>204023.87175898789</v>
      </c>
      <c r="BL135" s="1467">
        <f t="shared" si="520"/>
        <v>163219.0974071899</v>
      </c>
      <c r="BM135" s="1467">
        <f t="shared" ref="BM135:BM148" si="547">BL135-AG135</f>
        <v>130575.27792575149</v>
      </c>
      <c r="BN135" s="1467">
        <f t="shared" ref="BN135:BN148" si="548">BM135-AH135</f>
        <v>104460.22234060107</v>
      </c>
      <c r="BO135" s="1467">
        <f t="shared" ref="BO135:BO148" si="549">BN135-AI135</f>
        <v>83568.177872480592</v>
      </c>
      <c r="BP135" s="1467">
        <f t="shared" ref="BP135:BP148" si="550">BO135-AJ135</f>
        <v>66854.542297984051</v>
      </c>
      <c r="BQ135" s="1467">
        <f t="shared" ref="BQ135:BQ148" si="551">BP135-AK135</f>
        <v>53483.633838386973</v>
      </c>
      <c r="BR135" s="1467">
        <f t="shared" ref="BR135:BR148" si="552">BQ135-AL135</f>
        <v>42786.90707070916</v>
      </c>
      <c r="BS135" s="1467">
        <f t="shared" ref="BS135:BS148" si="553">BR135-AM135</f>
        <v>34229.525656566911</v>
      </c>
      <c r="BT135" s="1467">
        <f t="shared" ref="BT135:BT148" si="554">BS135-AN135</f>
        <v>27383.620525252962</v>
      </c>
      <c r="BU135" s="1467">
        <f t="shared" ref="BU135:BU148" si="555">BT135-AO135</f>
        <v>21906.896420201803</v>
      </c>
      <c r="BV135" s="1485"/>
    </row>
    <row r="136" spans="1:74" x14ac:dyDescent="0.2">
      <c r="A136" s="927" t="str">
        <f t="shared" si="521"/>
        <v>Forest Residues (Cellulosic).Accelerated</v>
      </c>
      <c r="B136" s="1076"/>
      <c r="C136" s="1076" t="str">
        <f t="shared" si="545"/>
        <v>Forest Residues (Cellulosic)</v>
      </c>
      <c r="D136" s="1076" t="str">
        <f>Assumptions!$AH$82</f>
        <v>Accelerated</v>
      </c>
      <c r="E136" s="1076" t="str">
        <f>'Forest Residues (Cellulosic)'!H281</f>
        <v>Cogeneration Plant</v>
      </c>
      <c r="F136" s="1467">
        <f>SUM('Forest Residues (Cellulosic)'!J281:K281)*1000000</f>
        <v>40000000</v>
      </c>
      <c r="G136" s="1467">
        <f t="shared" si="522"/>
        <v>49500000</v>
      </c>
      <c r="H136" s="1467">
        <f t="shared" si="523"/>
        <v>54450000.000000007</v>
      </c>
      <c r="I136" s="1467">
        <f t="shared" si="524"/>
        <v>54450000.000000007</v>
      </c>
      <c r="J136" s="1076">
        <f t="shared" si="546"/>
        <v>0.2</v>
      </c>
      <c r="K136" s="1107"/>
      <c r="L136" s="1467">
        <f t="shared" si="525"/>
        <v>10890000.000000002</v>
      </c>
      <c r="M136" s="1467">
        <f>($I136-SUM($L136:L136))*$J136</f>
        <v>8712000.0000000019</v>
      </c>
      <c r="N136" s="1467">
        <f>($I136-SUM($L136:M136))*$J136</f>
        <v>6969600</v>
      </c>
      <c r="O136" s="1467">
        <f>($I136-SUM($L136:N136))*$J136</f>
        <v>5575680.0000000009</v>
      </c>
      <c r="P136" s="1467">
        <f>($I136-SUM($L136:O136))*$J136</f>
        <v>4460544.0000000009</v>
      </c>
      <c r="Q136" s="1467">
        <f>($I136-SUM($L136:P136))*$J136</f>
        <v>3568435.2000000002</v>
      </c>
      <c r="R136" s="1467">
        <f>($I136-SUM($L136:Q136))*$J136</f>
        <v>2854748.1599999997</v>
      </c>
      <c r="S136" s="1467">
        <f>($I136-SUM($L136:R136))*$J136</f>
        <v>2283798.5280000004</v>
      </c>
      <c r="T136" s="1467">
        <f>($I136-SUM($L136:S136))*$J136</f>
        <v>1827038.8224000009</v>
      </c>
      <c r="U136" s="1467">
        <f>($I136-SUM($L136:T136))*$J136</f>
        <v>1461631.0579200001</v>
      </c>
      <c r="V136" s="1467">
        <f>($I136-SUM($L136:U136))*$J136</f>
        <v>1169304.8463359997</v>
      </c>
      <c r="W136" s="1467">
        <f>($I136-SUM($L136:V136))*$J136</f>
        <v>935443.8770687998</v>
      </c>
      <c r="X136" s="1467">
        <f>($I136-SUM($L136:W136))*$J136</f>
        <v>748355.10165503924</v>
      </c>
      <c r="Y136" s="1467">
        <f>($I136-SUM($L136:X136))*$J136</f>
        <v>598684.08132403193</v>
      </c>
      <c r="Z136" s="1467">
        <f>($I136-SUM($L136:Y136))*$J136</f>
        <v>478947.26505922526</v>
      </c>
      <c r="AA136" s="1467">
        <f>($I136-SUM($L136:Z136))*$J136</f>
        <v>383157.81204738026</v>
      </c>
      <c r="AB136" s="1467">
        <f>($I136-SUM($L136:AA136))*$J136</f>
        <v>306526.24963790475</v>
      </c>
      <c r="AC136" s="1467">
        <f>($I136-SUM($L136:AB136))*$J136</f>
        <v>245220.99971032442</v>
      </c>
      <c r="AD136" s="1467">
        <f>($I136-SUM($L136:AC136))*$J136</f>
        <v>196176.79976826013</v>
      </c>
      <c r="AE136" s="1467">
        <f>($I136-SUM($L136:AD136))*$J136</f>
        <v>156941.43981460782</v>
      </c>
      <c r="AF136" s="1467">
        <f>($I136-SUM($L136:AE136))*$J136</f>
        <v>125553.15185168684</v>
      </c>
      <c r="AG136" s="1467">
        <f>($I136-SUM($L136:AF136))*$J136</f>
        <v>100442.52148135006</v>
      </c>
      <c r="AH136" s="1467">
        <f>($I136-SUM($L136:AG136))*$J136</f>
        <v>80354.017185080054</v>
      </c>
      <c r="AI136" s="1467">
        <f>($I136-SUM($L136:AH136))*$J136</f>
        <v>64283.213748064642</v>
      </c>
      <c r="AJ136" s="1467">
        <f>($I136-SUM($L136:AI136))*$J136</f>
        <v>51426.57099845112</v>
      </c>
      <c r="AK136" s="1467">
        <f>($I136-SUM($L136:AJ136))*$J136</f>
        <v>41141.256798760594</v>
      </c>
      <c r="AL136" s="1467">
        <f>($I136-SUM($L136:AK136))*$J136</f>
        <v>32913.005439008775</v>
      </c>
      <c r="AM136" s="1467">
        <f>($I136-SUM($L136:AL136))*$J136</f>
        <v>26330.404351207617</v>
      </c>
      <c r="AN136" s="1467">
        <f>($I136-SUM($L136:AM136))*$J136</f>
        <v>21064.32348096669</v>
      </c>
      <c r="AO136" s="1467">
        <f>($I136-SUM($L136:AN136))*$J136</f>
        <v>16851.458784773946</v>
      </c>
      <c r="AP136" s="1468">
        <f t="shared" si="526"/>
        <v>54382594.164860912</v>
      </c>
      <c r="AQ136" s="1482"/>
      <c r="AR136" s="1467">
        <f t="shared" si="527"/>
        <v>43560000.000000007</v>
      </c>
      <c r="AS136" s="1467">
        <f t="shared" si="528"/>
        <v>34848000.000000007</v>
      </c>
      <c r="AT136" s="1467">
        <f t="shared" si="529"/>
        <v>27878400.000000007</v>
      </c>
      <c r="AU136" s="1467">
        <f t="shared" si="530"/>
        <v>22302720.000000007</v>
      </c>
      <c r="AV136" s="1467">
        <f t="shared" si="531"/>
        <v>17842176.000000007</v>
      </c>
      <c r="AW136" s="1467">
        <f t="shared" si="532"/>
        <v>14273740.800000008</v>
      </c>
      <c r="AX136" s="1467">
        <f t="shared" si="533"/>
        <v>11418992.640000008</v>
      </c>
      <c r="AY136" s="1467">
        <f t="shared" si="534"/>
        <v>9135194.1120000072</v>
      </c>
      <c r="AZ136" s="1467">
        <f t="shared" si="535"/>
        <v>7308155.2896000063</v>
      </c>
      <c r="BA136" s="1467">
        <f t="shared" si="536"/>
        <v>5846524.2316800058</v>
      </c>
      <c r="BB136" s="1467">
        <f t="shared" si="537"/>
        <v>4677219.3853440061</v>
      </c>
      <c r="BC136" s="1467">
        <f t="shared" si="538"/>
        <v>3741775.5082752062</v>
      </c>
      <c r="BD136" s="1467">
        <f t="shared" si="539"/>
        <v>2993420.4066201672</v>
      </c>
      <c r="BE136" s="1467">
        <f t="shared" si="540"/>
        <v>2394736.3252961352</v>
      </c>
      <c r="BF136" s="1467">
        <f t="shared" si="541"/>
        <v>1915789.0602369099</v>
      </c>
      <c r="BG136" s="1467">
        <f t="shared" si="542"/>
        <v>1532631.2481895296</v>
      </c>
      <c r="BH136" s="1467">
        <f t="shared" si="543"/>
        <v>1226104.9985516248</v>
      </c>
      <c r="BI136" s="1467">
        <f t="shared" si="544"/>
        <v>980883.99884130037</v>
      </c>
      <c r="BJ136" s="1467">
        <f t="shared" ref="BJ136:BJ148" si="556">BI136-AD136</f>
        <v>784707.19907304028</v>
      </c>
      <c r="BK136" s="1467">
        <f t="shared" ref="BK136:BK148" si="557">BJ136-AE136</f>
        <v>627765.75925843243</v>
      </c>
      <c r="BL136" s="1467">
        <f t="shared" ref="BL136:BL148" si="558">BK136-AF136</f>
        <v>502212.60740674561</v>
      </c>
      <c r="BM136" s="1467">
        <f t="shared" si="547"/>
        <v>401770.08592539554</v>
      </c>
      <c r="BN136" s="1467">
        <f t="shared" si="548"/>
        <v>321416.0687403155</v>
      </c>
      <c r="BO136" s="1467">
        <f t="shared" si="549"/>
        <v>257132.85499225085</v>
      </c>
      <c r="BP136" s="1467">
        <f t="shared" si="550"/>
        <v>205706.28399379973</v>
      </c>
      <c r="BQ136" s="1467">
        <f t="shared" si="551"/>
        <v>164565.02719503915</v>
      </c>
      <c r="BR136" s="1467">
        <f t="shared" si="552"/>
        <v>131652.02175603039</v>
      </c>
      <c r="BS136" s="1467">
        <f t="shared" si="553"/>
        <v>105321.61740482277</v>
      </c>
      <c r="BT136" s="1467">
        <f t="shared" si="554"/>
        <v>84257.293923856079</v>
      </c>
      <c r="BU136" s="1467">
        <f t="shared" si="555"/>
        <v>67405.835139082134</v>
      </c>
      <c r="BV136" s="1485"/>
    </row>
    <row r="137" spans="1:74" x14ac:dyDescent="0.2">
      <c r="A137" s="927" t="str">
        <f t="shared" si="521"/>
        <v>Forest Residues (Cellulosic).Accelerated</v>
      </c>
      <c r="B137" s="1168"/>
      <c r="C137" s="1168" t="str">
        <f t="shared" si="545"/>
        <v>Forest Residues (Cellulosic)</v>
      </c>
      <c r="D137" s="1168" t="str">
        <f>Assumptions!$AH$82</f>
        <v>Accelerated</v>
      </c>
      <c r="E137" s="1168" t="str">
        <f>'Forest Residues (Cellulosic)'!H282</f>
        <v>Non-process buildings</v>
      </c>
      <c r="F137" s="1469">
        <f>SUM('Forest Residues (Cellulosic)'!J282:K282)*1000000</f>
        <v>5000000</v>
      </c>
      <c r="G137" s="1469">
        <f t="shared" si="522"/>
        <v>6187500</v>
      </c>
      <c r="H137" s="1469">
        <f t="shared" si="523"/>
        <v>6806250.0000000009</v>
      </c>
      <c r="I137" s="1469">
        <f t="shared" si="524"/>
        <v>6806250.0000000009</v>
      </c>
      <c r="J137" s="1168">
        <f t="shared" si="546"/>
        <v>0.2</v>
      </c>
      <c r="K137" s="1107"/>
      <c r="L137" s="1467">
        <f t="shared" si="525"/>
        <v>1361250.0000000002</v>
      </c>
      <c r="M137" s="1467">
        <f>($I137-SUM($L137:L137))*$J137</f>
        <v>1089000.0000000002</v>
      </c>
      <c r="N137" s="1467">
        <f>($I137-SUM($L137:M137))*$J137</f>
        <v>871200</v>
      </c>
      <c r="O137" s="1467">
        <f>($I137-SUM($L137:N137))*$J137</f>
        <v>696960.00000000012</v>
      </c>
      <c r="P137" s="1467">
        <f>($I137-SUM($L137:O137))*$J137</f>
        <v>557568.00000000012</v>
      </c>
      <c r="Q137" s="1467">
        <f>($I137-SUM($L137:P137))*$J137</f>
        <v>446054.40000000002</v>
      </c>
      <c r="R137" s="1467">
        <f>($I137-SUM($L137:Q137))*$J137</f>
        <v>356843.51999999996</v>
      </c>
      <c r="S137" s="1467">
        <f>($I137-SUM($L137:R137))*$J137</f>
        <v>285474.81600000005</v>
      </c>
      <c r="T137" s="1467">
        <f>($I137-SUM($L137:S137))*$J137</f>
        <v>228379.85280000011</v>
      </c>
      <c r="U137" s="1467">
        <f>($I137-SUM($L137:T137))*$J137</f>
        <v>182703.88224000001</v>
      </c>
      <c r="V137" s="1467">
        <f>($I137-SUM($L137:U137))*$J137</f>
        <v>146163.10579199996</v>
      </c>
      <c r="W137" s="1467">
        <f>($I137-SUM($L137:V137))*$J137</f>
        <v>116930.48463359998</v>
      </c>
      <c r="X137" s="1467">
        <f>($I137-SUM($L137:W137))*$J137</f>
        <v>93544.387706879905</v>
      </c>
      <c r="Y137" s="1467">
        <f>($I137-SUM($L137:X137))*$J137</f>
        <v>74835.510165503991</v>
      </c>
      <c r="Z137" s="1467">
        <f>($I137-SUM($L137:Y137))*$J137</f>
        <v>59868.408132403158</v>
      </c>
      <c r="AA137" s="1467">
        <f>($I137-SUM($L137:Z137))*$J137</f>
        <v>47894.726505922532</v>
      </c>
      <c r="AB137" s="1467">
        <f>($I137-SUM($L137:AA137))*$J137</f>
        <v>38315.781204738094</v>
      </c>
      <c r="AC137" s="1467">
        <f>($I137-SUM($L137:AB137))*$J137</f>
        <v>30652.624963790553</v>
      </c>
      <c r="AD137" s="1467">
        <f>($I137-SUM($L137:AC137))*$J137</f>
        <v>24522.099971032516</v>
      </c>
      <c r="AE137" s="1467">
        <f>($I137-SUM($L137:AD137))*$J137</f>
        <v>19617.679976825977</v>
      </c>
      <c r="AF137" s="1467">
        <f>($I137-SUM($L137:AE137))*$J137</f>
        <v>15694.143981460855</v>
      </c>
      <c r="AG137" s="1467">
        <f>($I137-SUM($L137:AF137))*$J137</f>
        <v>12555.315185168758</v>
      </c>
      <c r="AH137" s="1467">
        <f>($I137-SUM($L137:AG137))*$J137</f>
        <v>10044.252148135007</v>
      </c>
      <c r="AI137" s="1467">
        <f>($I137-SUM($L137:AH137))*$J137</f>
        <v>8035.4017185080802</v>
      </c>
      <c r="AJ137" s="1467">
        <f>($I137-SUM($L137:AI137))*$J137</f>
        <v>6428.3213748063899</v>
      </c>
      <c r="AK137" s="1467">
        <f>($I137-SUM($L137:AJ137))*$J137</f>
        <v>5142.6570998450743</v>
      </c>
      <c r="AL137" s="1467">
        <f>($I137-SUM($L137:AK137))*$J137</f>
        <v>4114.1256798760969</v>
      </c>
      <c r="AM137" s="1467">
        <f>($I137-SUM($L137:AL137))*$J137</f>
        <v>3291.3005439009521</v>
      </c>
      <c r="AN137" s="1467">
        <f>($I137-SUM($L137:AM137))*$J137</f>
        <v>2633.0404351208363</v>
      </c>
      <c r="AO137" s="1467">
        <f>($I137-SUM($L137:AN137))*$J137</f>
        <v>2106.4323480967432</v>
      </c>
      <c r="AP137" s="1468">
        <f t="shared" si="526"/>
        <v>6797824.270607614</v>
      </c>
      <c r="AQ137" s="1482"/>
      <c r="AR137" s="1467">
        <f t="shared" si="527"/>
        <v>5445000.0000000009</v>
      </c>
      <c r="AS137" s="1467">
        <f t="shared" si="528"/>
        <v>4356000.0000000009</v>
      </c>
      <c r="AT137" s="1467">
        <f t="shared" si="529"/>
        <v>3484800.0000000009</v>
      </c>
      <c r="AU137" s="1467">
        <f t="shared" si="530"/>
        <v>2787840.0000000009</v>
      </c>
      <c r="AV137" s="1467">
        <f t="shared" si="531"/>
        <v>2230272.0000000009</v>
      </c>
      <c r="AW137" s="1467">
        <f t="shared" si="532"/>
        <v>1784217.600000001</v>
      </c>
      <c r="AX137" s="1467">
        <f t="shared" si="533"/>
        <v>1427374.080000001</v>
      </c>
      <c r="AY137" s="1467">
        <f t="shared" si="534"/>
        <v>1141899.2640000009</v>
      </c>
      <c r="AZ137" s="1467">
        <f t="shared" si="535"/>
        <v>913519.41120000079</v>
      </c>
      <c r="BA137" s="1467">
        <f t="shared" si="536"/>
        <v>730815.52896000072</v>
      </c>
      <c r="BB137" s="1467">
        <f t="shared" si="537"/>
        <v>584652.42316800077</v>
      </c>
      <c r="BC137" s="1467">
        <f t="shared" si="538"/>
        <v>467721.93853440078</v>
      </c>
      <c r="BD137" s="1467">
        <f t="shared" si="539"/>
        <v>374177.5508275209</v>
      </c>
      <c r="BE137" s="1467">
        <f t="shared" si="540"/>
        <v>299342.04066201689</v>
      </c>
      <c r="BF137" s="1467">
        <f t="shared" si="541"/>
        <v>239473.63252961374</v>
      </c>
      <c r="BG137" s="1467">
        <f t="shared" si="542"/>
        <v>191578.9060236912</v>
      </c>
      <c r="BH137" s="1467">
        <f t="shared" si="543"/>
        <v>153263.1248189531</v>
      </c>
      <c r="BI137" s="1467">
        <f t="shared" si="544"/>
        <v>122610.49985516255</v>
      </c>
      <c r="BJ137" s="1467">
        <f t="shared" si="556"/>
        <v>98088.399884130034</v>
      </c>
      <c r="BK137" s="1467">
        <f t="shared" si="557"/>
        <v>78470.719907304054</v>
      </c>
      <c r="BL137" s="1467">
        <f t="shared" si="558"/>
        <v>62776.575925843201</v>
      </c>
      <c r="BM137" s="1467">
        <f t="shared" si="547"/>
        <v>50221.260740674443</v>
      </c>
      <c r="BN137" s="1467">
        <f t="shared" si="548"/>
        <v>40177.008592539438</v>
      </c>
      <c r="BO137" s="1467">
        <f t="shared" si="549"/>
        <v>32141.606874031357</v>
      </c>
      <c r="BP137" s="1467">
        <f t="shared" si="550"/>
        <v>25713.285499224967</v>
      </c>
      <c r="BQ137" s="1467">
        <f t="shared" si="551"/>
        <v>20570.628399379893</v>
      </c>
      <c r="BR137" s="1467">
        <f t="shared" si="552"/>
        <v>16456.502719503798</v>
      </c>
      <c r="BS137" s="1467">
        <f t="shared" si="553"/>
        <v>13165.202175602846</v>
      </c>
      <c r="BT137" s="1467">
        <f t="shared" si="554"/>
        <v>10532.16174048201</v>
      </c>
      <c r="BU137" s="1467">
        <f t="shared" si="555"/>
        <v>8425.7293923852667</v>
      </c>
      <c r="BV137" s="1485"/>
    </row>
    <row r="138" spans="1:74" x14ac:dyDescent="0.2">
      <c r="A138" s="927" t="str">
        <f t="shared" si="521"/>
        <v>Forest Residues (Cellulosic).Accelerated</v>
      </c>
      <c r="B138" s="1470"/>
      <c r="C138" s="1470" t="str">
        <f t="shared" si="545"/>
        <v>Forest Residues (Cellulosic)</v>
      </c>
      <c r="D138" s="1470" t="str">
        <f>Assumptions!$AH$82</f>
        <v>Accelerated</v>
      </c>
      <c r="E138" s="1470" t="s">
        <v>995</v>
      </c>
      <c r="F138" s="1470"/>
      <c r="G138" s="1471">
        <f>SUM('Forest Residues (Cellulosic)'!J285:K286)*10^6</f>
        <v>24500000</v>
      </c>
      <c r="H138" s="1471">
        <f t="shared" ref="H138" si="559">G138*(1+$F$5)</f>
        <v>26950000.000000004</v>
      </c>
      <c r="I138" s="1471">
        <f t="shared" ref="I138" si="560">H138*(1+$F$6)</f>
        <v>26950000.000000004</v>
      </c>
      <c r="J138" s="1470">
        <f t="shared" si="546"/>
        <v>0.2</v>
      </c>
      <c r="K138" s="1107"/>
      <c r="L138" s="1467">
        <f t="shared" si="525"/>
        <v>5390000.0000000009</v>
      </c>
      <c r="M138" s="1467">
        <f>($I138-SUM($L138:L138))*$J138</f>
        <v>4312000.0000000009</v>
      </c>
      <c r="N138" s="1467">
        <f>($I138-SUM($L138:M138))*$J138</f>
        <v>3449600</v>
      </c>
      <c r="O138" s="1467">
        <f>($I138-SUM($L138:N138))*$J138</f>
        <v>2759680.0000000005</v>
      </c>
      <c r="P138" s="1467">
        <f>($I138-SUM($L138:O138))*$J138</f>
        <v>2207744.0000000005</v>
      </c>
      <c r="Q138" s="1467">
        <f>($I138-SUM($L138:P138))*$J138</f>
        <v>1766195.2000000002</v>
      </c>
      <c r="R138" s="1467">
        <f>($I138-SUM($L138:Q138))*$J138</f>
        <v>1412956.1600000001</v>
      </c>
      <c r="S138" s="1467">
        <f>($I138-SUM($L138:R138))*$J138</f>
        <v>1130364.9280000001</v>
      </c>
      <c r="T138" s="1467">
        <f>($I138-SUM($L138:S138))*$J138</f>
        <v>904291.94240000029</v>
      </c>
      <c r="U138" s="1467">
        <f>($I138-SUM($L138:T138))*$J138</f>
        <v>723433.55392000009</v>
      </c>
      <c r="V138" s="1467">
        <f>($I138-SUM($L138:U138))*$J138</f>
        <v>578746.84313599986</v>
      </c>
      <c r="W138" s="1467">
        <f>($I138-SUM($L138:V138))*$J138</f>
        <v>462997.47450879961</v>
      </c>
      <c r="X138" s="1467">
        <f>($I138-SUM($L138:W138))*$J138</f>
        <v>370397.97960703971</v>
      </c>
      <c r="Y138" s="1467">
        <f>($I138-SUM($L138:X138))*$J138</f>
        <v>296318.38368563208</v>
      </c>
      <c r="Z138" s="1467">
        <f>($I138-SUM($L138:Y138))*$J138</f>
        <v>237054.70694850537</v>
      </c>
      <c r="AA138" s="1467">
        <f>($I138-SUM($L138:Z138))*$J138</f>
        <v>189643.76555880459</v>
      </c>
      <c r="AB138" s="1467">
        <f>($I138-SUM($L138:AA138))*$J138</f>
        <v>151715.01244704353</v>
      </c>
      <c r="AC138" s="1467">
        <f>($I138-SUM($L138:AB138))*$J138</f>
        <v>121372.00995763467</v>
      </c>
      <c r="AD138" s="1467">
        <f>($I138-SUM($L138:AC138))*$J138</f>
        <v>97097.607966107884</v>
      </c>
      <c r="AE138" s="1467">
        <f>($I138-SUM($L138:AD138))*$J138</f>
        <v>77678.086372886595</v>
      </c>
      <c r="AF138" s="1467">
        <f>($I138-SUM($L138:AE138))*$J138</f>
        <v>62142.469098309433</v>
      </c>
      <c r="AG138" s="1467">
        <f>($I138-SUM($L138:AF138))*$J138</f>
        <v>49713.975278647245</v>
      </c>
      <c r="AH138" s="1467">
        <f>($I138-SUM($L138:AG138))*$J138</f>
        <v>39771.180222918098</v>
      </c>
      <c r="AI138" s="1467">
        <f>($I138-SUM($L138:AH138))*$J138</f>
        <v>31816.944178334626</v>
      </c>
      <c r="AJ138" s="1467">
        <f>($I138-SUM($L138:AI138))*$J138</f>
        <v>25453.555342667551</v>
      </c>
      <c r="AK138" s="1467">
        <f>($I138-SUM($L138:AJ138))*$J138</f>
        <v>20362.84427413419</v>
      </c>
      <c r="AL138" s="1467">
        <f>($I138-SUM($L138:AK138))*$J138</f>
        <v>16290.275419307502</v>
      </c>
      <c r="AM138" s="1467">
        <f>($I138-SUM($L138:AL138))*$J138</f>
        <v>13032.220335446298</v>
      </c>
      <c r="AN138" s="1467">
        <f>($I138-SUM($L138:AM138))*$J138</f>
        <v>10425.77626835704</v>
      </c>
      <c r="AO138" s="1467">
        <f>($I138-SUM($L138:AN138))*$J138</f>
        <v>8340.6210146859285</v>
      </c>
      <c r="AP138" s="1468">
        <f t="shared" ref="AP138" si="561">SUM(L138:AO138)</f>
        <v>26916637.515941259</v>
      </c>
      <c r="AQ138" s="1482"/>
      <c r="AR138" s="1467">
        <f t="shared" ref="AR138" si="562">I138-L138</f>
        <v>21560000.000000004</v>
      </c>
      <c r="AS138" s="1467">
        <f t="shared" ref="AS138" si="563">AR138-M138</f>
        <v>17248000.000000004</v>
      </c>
      <c r="AT138" s="1467">
        <f t="shared" ref="AT138" si="564">AS138-N138</f>
        <v>13798400.000000004</v>
      </c>
      <c r="AU138" s="1467">
        <f t="shared" ref="AU138" si="565">AT138-O138</f>
        <v>11038720.000000004</v>
      </c>
      <c r="AV138" s="1467">
        <f t="shared" ref="AV138" si="566">AU138-P138</f>
        <v>8830976.0000000037</v>
      </c>
      <c r="AW138" s="1467">
        <f t="shared" ref="AW138" si="567">AV138-Q138</f>
        <v>7064780.8000000035</v>
      </c>
      <c r="AX138" s="1467">
        <f t="shared" ref="AX138" si="568">AW138-R138</f>
        <v>5651824.6400000034</v>
      </c>
      <c r="AY138" s="1467">
        <f t="shared" ref="AY138" si="569">AX138-S138</f>
        <v>4521459.7120000031</v>
      </c>
      <c r="AZ138" s="1467">
        <f t="shared" ref="AZ138" si="570">AY138-T138</f>
        <v>3617167.769600003</v>
      </c>
      <c r="BA138" s="1467">
        <f t="shared" ref="BA138" si="571">AZ138-U138</f>
        <v>2893734.2156800032</v>
      </c>
      <c r="BB138" s="1467">
        <f t="shared" ref="BB138" si="572">BA138-V138</f>
        <v>2314987.3725440032</v>
      </c>
      <c r="BC138" s="1467">
        <f t="shared" ref="BC138" si="573">BB138-W138</f>
        <v>1851989.8980352036</v>
      </c>
      <c r="BD138" s="1467">
        <f t="shared" ref="BD138" si="574">BC138-X138</f>
        <v>1481591.918428164</v>
      </c>
      <c r="BE138" s="1467">
        <f t="shared" ref="BE138" si="575">BD138-Y138</f>
        <v>1185273.5347425318</v>
      </c>
      <c r="BF138" s="1467">
        <f t="shared" ref="BF138" si="576">BE138-Z138</f>
        <v>948218.82779402647</v>
      </c>
      <c r="BG138" s="1467">
        <f t="shared" ref="BG138" si="577">BF138-AA138</f>
        <v>758575.06223522185</v>
      </c>
      <c r="BH138" s="1467">
        <f t="shared" ref="BH138" si="578">BG138-AB138</f>
        <v>606860.04978817829</v>
      </c>
      <c r="BI138" s="1467">
        <f t="shared" ref="BI138" si="579">BH138-AC138</f>
        <v>485488.03983054362</v>
      </c>
      <c r="BJ138" s="1467">
        <f t="shared" ref="BJ138" si="580">BI138-AD138</f>
        <v>388390.43186443573</v>
      </c>
      <c r="BK138" s="1467">
        <f t="shared" ref="BK138" si="581">BJ138-AE138</f>
        <v>310712.34549154912</v>
      </c>
      <c r="BL138" s="1467">
        <f t="shared" ref="BL138" si="582">BK138-AF138</f>
        <v>248569.87639323968</v>
      </c>
      <c r="BM138" s="1467">
        <f t="shared" ref="BM138" si="583">BL138-AG138</f>
        <v>198855.90111459245</v>
      </c>
      <c r="BN138" s="1467">
        <f t="shared" ref="BN138" si="584">BM138-AH138</f>
        <v>159084.72089167434</v>
      </c>
      <c r="BO138" s="1467">
        <f t="shared" ref="BO138" si="585">BN138-AI138</f>
        <v>127267.77671333971</v>
      </c>
      <c r="BP138" s="1467">
        <f t="shared" ref="BP138" si="586">BO138-AJ138</f>
        <v>101814.22137067217</v>
      </c>
      <c r="BQ138" s="1467">
        <f t="shared" ref="BQ138" si="587">BP138-AK138</f>
        <v>81451.377096537981</v>
      </c>
      <c r="BR138" s="1467">
        <f t="shared" ref="BR138" si="588">BQ138-AL138</f>
        <v>65161.101677230479</v>
      </c>
      <c r="BS138" s="1467">
        <f t="shared" ref="BS138" si="589">BR138-AM138</f>
        <v>52128.881341784181</v>
      </c>
      <c r="BT138" s="1467">
        <f t="shared" ref="BT138" si="590">BS138-AN138</f>
        <v>41703.105073427141</v>
      </c>
      <c r="BU138" s="1467">
        <f t="shared" ref="BU138" si="591">BT138-AO138</f>
        <v>33362.484058741211</v>
      </c>
      <c r="BV138" s="1485"/>
    </row>
    <row r="139" spans="1:74" x14ac:dyDescent="0.2">
      <c r="A139" s="927" t="str">
        <f t="shared" si="521"/>
        <v>.</v>
      </c>
      <c r="B139" s="1297" t="str">
        <f>Assumptions!$AH$81</f>
        <v>Straight-Line</v>
      </c>
      <c r="C139" s="1107"/>
      <c r="D139" s="1107"/>
      <c r="E139" s="1107"/>
      <c r="F139" s="1107"/>
      <c r="G139" s="1107">
        <f t="shared" si="522"/>
        <v>0</v>
      </c>
      <c r="H139" s="1107">
        <f t="shared" si="523"/>
        <v>0</v>
      </c>
      <c r="I139" s="1107">
        <f t="shared" si="524"/>
        <v>0</v>
      </c>
      <c r="J139" s="1472">
        <f>IFERROR(INDEX(Assumptions!$AI$82:$AI$164,MATCH(Depreciation!$D139,Assumptions!$AH$81:$AH$163,0)),0)</f>
        <v>0</v>
      </c>
      <c r="K139" s="1107"/>
      <c r="L139" s="1107">
        <f t="shared" si="525"/>
        <v>0</v>
      </c>
      <c r="M139" s="1107">
        <f t="shared" ref="M139" si="592">L139*$J139</f>
        <v>0</v>
      </c>
      <c r="N139" s="1107"/>
      <c r="O139" s="1107"/>
      <c r="P139" s="1107"/>
      <c r="Q139" s="1107"/>
      <c r="R139" s="1107"/>
      <c r="S139" s="1107"/>
      <c r="T139" s="1107"/>
      <c r="U139" s="1107"/>
      <c r="V139" s="1107"/>
      <c r="W139" s="1107"/>
      <c r="X139" s="1107"/>
      <c r="Y139" s="1107"/>
      <c r="Z139" s="1107"/>
      <c r="AA139" s="1107"/>
      <c r="AB139" s="1107"/>
      <c r="AC139" s="1107"/>
      <c r="AD139" s="1107"/>
      <c r="AE139" s="1107"/>
      <c r="AF139" s="1107"/>
      <c r="AG139" s="1107"/>
      <c r="AH139" s="1107"/>
      <c r="AI139" s="1107"/>
      <c r="AJ139" s="1107"/>
      <c r="AK139" s="1107"/>
      <c r="AL139" s="1107"/>
      <c r="AM139" s="1107"/>
      <c r="AN139" s="1107"/>
      <c r="AO139" s="1107"/>
      <c r="AP139" s="1107">
        <f t="shared" si="526"/>
        <v>0</v>
      </c>
      <c r="AQ139" s="1482"/>
      <c r="AR139" s="1297">
        <f t="shared" si="527"/>
        <v>0</v>
      </c>
      <c r="AS139" s="1297">
        <f t="shared" si="528"/>
        <v>0</v>
      </c>
      <c r="AT139" s="1297">
        <f t="shared" si="529"/>
        <v>0</v>
      </c>
      <c r="AU139" s="1297">
        <f t="shared" si="530"/>
        <v>0</v>
      </c>
      <c r="AV139" s="1297">
        <f t="shared" si="531"/>
        <v>0</v>
      </c>
      <c r="AW139" s="1297">
        <f t="shared" si="532"/>
        <v>0</v>
      </c>
      <c r="AX139" s="1297">
        <f t="shared" si="533"/>
        <v>0</v>
      </c>
      <c r="AY139" s="1297">
        <f t="shared" si="534"/>
        <v>0</v>
      </c>
      <c r="AZ139" s="1297">
        <f t="shared" si="535"/>
        <v>0</v>
      </c>
      <c r="BA139" s="1297">
        <f t="shared" si="536"/>
        <v>0</v>
      </c>
      <c r="BB139" s="1297">
        <f t="shared" si="537"/>
        <v>0</v>
      </c>
      <c r="BC139" s="1297">
        <f t="shared" si="538"/>
        <v>0</v>
      </c>
      <c r="BD139" s="1297">
        <f t="shared" si="539"/>
        <v>0</v>
      </c>
      <c r="BE139" s="1297">
        <f t="shared" si="540"/>
        <v>0</v>
      </c>
      <c r="BF139" s="1297">
        <f t="shared" si="541"/>
        <v>0</v>
      </c>
      <c r="BG139" s="1297">
        <f t="shared" si="542"/>
        <v>0</v>
      </c>
      <c r="BH139" s="1297">
        <f t="shared" si="543"/>
        <v>0</v>
      </c>
      <c r="BI139" s="1297">
        <f t="shared" si="544"/>
        <v>0</v>
      </c>
      <c r="BJ139" s="1297">
        <f t="shared" si="556"/>
        <v>0</v>
      </c>
      <c r="BK139" s="1297">
        <f t="shared" si="557"/>
        <v>0</v>
      </c>
      <c r="BL139" s="1297">
        <f t="shared" si="558"/>
        <v>0</v>
      </c>
      <c r="BM139" s="1297">
        <f t="shared" si="547"/>
        <v>0</v>
      </c>
      <c r="BN139" s="1297">
        <f t="shared" si="548"/>
        <v>0</v>
      </c>
      <c r="BO139" s="1297">
        <f t="shared" si="549"/>
        <v>0</v>
      </c>
      <c r="BP139" s="1297">
        <f t="shared" si="550"/>
        <v>0</v>
      </c>
      <c r="BQ139" s="1297">
        <f t="shared" si="551"/>
        <v>0</v>
      </c>
      <c r="BR139" s="1297">
        <f t="shared" si="552"/>
        <v>0</v>
      </c>
      <c r="BS139" s="1297">
        <f t="shared" si="553"/>
        <v>0</v>
      </c>
      <c r="BT139" s="1297">
        <f t="shared" si="554"/>
        <v>0</v>
      </c>
      <c r="BU139" s="1297">
        <f t="shared" si="555"/>
        <v>0</v>
      </c>
      <c r="BV139" s="1485"/>
    </row>
    <row r="140" spans="1:74" x14ac:dyDescent="0.2">
      <c r="A140" s="927" t="str">
        <f t="shared" si="521"/>
        <v>Forest Residues (Cellulosic).Straight-Line</v>
      </c>
      <c r="B140" s="1076"/>
      <c r="C140" s="1076" t="str">
        <f t="shared" ref="C140:C149" si="593">C129</f>
        <v>Forest Residues (Cellulosic)</v>
      </c>
      <c r="D140" s="1076" t="str">
        <f>Assumptions!$AH$81</f>
        <v>Straight-Line</v>
      </c>
      <c r="E140" s="1076" t="str">
        <f t="shared" ref="E140:F148" si="594">E129</f>
        <v>Stockpile and wood handling</v>
      </c>
      <c r="F140" s="1467">
        <f t="shared" si="594"/>
        <v>15000000</v>
      </c>
      <c r="G140" s="1467">
        <f t="shared" si="522"/>
        <v>18562500</v>
      </c>
      <c r="H140" s="1467">
        <f t="shared" si="523"/>
        <v>20418750</v>
      </c>
      <c r="I140" s="1467">
        <f t="shared" si="524"/>
        <v>20418750</v>
      </c>
      <c r="J140" s="1161">
        <f>Assumptions!$N$53</f>
        <v>3.3333333333333333E-2</v>
      </c>
      <c r="K140" s="1107"/>
      <c r="L140" s="1467">
        <f t="shared" si="525"/>
        <v>680625</v>
      </c>
      <c r="M140" s="1467">
        <f t="shared" si="525"/>
        <v>680625</v>
      </c>
      <c r="N140" s="1467">
        <f t="shared" si="525"/>
        <v>680625</v>
      </c>
      <c r="O140" s="1467">
        <f t="shared" si="525"/>
        <v>680625</v>
      </c>
      <c r="P140" s="1467">
        <f t="shared" si="525"/>
        <v>680625</v>
      </c>
      <c r="Q140" s="1467">
        <f t="shared" si="525"/>
        <v>680625</v>
      </c>
      <c r="R140" s="1467">
        <f t="shared" si="525"/>
        <v>680625</v>
      </c>
      <c r="S140" s="1467">
        <f t="shared" si="525"/>
        <v>680625</v>
      </c>
      <c r="T140" s="1467">
        <f t="shared" si="525"/>
        <v>680625</v>
      </c>
      <c r="U140" s="1467">
        <f t="shared" si="525"/>
        <v>680625</v>
      </c>
      <c r="V140" s="1467">
        <f t="shared" si="525"/>
        <v>680625</v>
      </c>
      <c r="W140" s="1467">
        <f t="shared" si="525"/>
        <v>680625</v>
      </c>
      <c r="X140" s="1467">
        <f t="shared" si="525"/>
        <v>680625</v>
      </c>
      <c r="Y140" s="1467">
        <f t="shared" si="525"/>
        <v>680625</v>
      </c>
      <c r="Z140" s="1467">
        <f t="shared" si="525"/>
        <v>680625</v>
      </c>
      <c r="AA140" s="1467">
        <f t="shared" si="525"/>
        <v>680625</v>
      </c>
      <c r="AB140" s="1467">
        <f t="shared" ref="AB140:AO149" si="595">$I140*$J140</f>
        <v>680625</v>
      </c>
      <c r="AC140" s="1467">
        <f t="shared" si="595"/>
        <v>680625</v>
      </c>
      <c r="AD140" s="1467">
        <f t="shared" si="595"/>
        <v>680625</v>
      </c>
      <c r="AE140" s="1467">
        <f t="shared" si="595"/>
        <v>680625</v>
      </c>
      <c r="AF140" s="1467">
        <f t="shared" si="595"/>
        <v>680625</v>
      </c>
      <c r="AG140" s="1467">
        <f t="shared" si="595"/>
        <v>680625</v>
      </c>
      <c r="AH140" s="1467">
        <f t="shared" si="595"/>
        <v>680625</v>
      </c>
      <c r="AI140" s="1467">
        <f t="shared" si="595"/>
        <v>680625</v>
      </c>
      <c r="AJ140" s="1467">
        <f t="shared" si="595"/>
        <v>680625</v>
      </c>
      <c r="AK140" s="1467">
        <f t="shared" si="595"/>
        <v>680625</v>
      </c>
      <c r="AL140" s="1467">
        <f t="shared" si="595"/>
        <v>680625</v>
      </c>
      <c r="AM140" s="1467">
        <f t="shared" si="595"/>
        <v>680625</v>
      </c>
      <c r="AN140" s="1467">
        <f t="shared" si="595"/>
        <v>680625</v>
      </c>
      <c r="AO140" s="1467">
        <f t="shared" si="595"/>
        <v>680625</v>
      </c>
      <c r="AP140" s="1468">
        <f t="shared" si="526"/>
        <v>20418750</v>
      </c>
      <c r="AQ140" s="1482"/>
      <c r="AR140" s="1467">
        <f t="shared" si="527"/>
        <v>19738125</v>
      </c>
      <c r="AS140" s="1467">
        <f t="shared" si="528"/>
        <v>19057500</v>
      </c>
      <c r="AT140" s="1467">
        <f t="shared" si="529"/>
        <v>18376875</v>
      </c>
      <c r="AU140" s="1467">
        <f t="shared" si="530"/>
        <v>17696250</v>
      </c>
      <c r="AV140" s="1467">
        <f t="shared" si="531"/>
        <v>17015625</v>
      </c>
      <c r="AW140" s="1467">
        <f t="shared" si="532"/>
        <v>16335000</v>
      </c>
      <c r="AX140" s="1467">
        <f t="shared" si="533"/>
        <v>15654375</v>
      </c>
      <c r="AY140" s="1467">
        <f t="shared" si="534"/>
        <v>14973750</v>
      </c>
      <c r="AZ140" s="1467">
        <f t="shared" si="535"/>
        <v>14293125</v>
      </c>
      <c r="BA140" s="1467">
        <f t="shared" si="536"/>
        <v>13612500</v>
      </c>
      <c r="BB140" s="1467">
        <f t="shared" si="537"/>
        <v>12931875</v>
      </c>
      <c r="BC140" s="1467">
        <f t="shared" si="538"/>
        <v>12251250</v>
      </c>
      <c r="BD140" s="1467">
        <f t="shared" si="539"/>
        <v>11570625</v>
      </c>
      <c r="BE140" s="1467">
        <f t="shared" si="540"/>
        <v>10890000</v>
      </c>
      <c r="BF140" s="1467">
        <f t="shared" si="541"/>
        <v>10209375</v>
      </c>
      <c r="BG140" s="1467">
        <f t="shared" si="542"/>
        <v>9528750</v>
      </c>
      <c r="BH140" s="1467">
        <f t="shared" si="543"/>
        <v>8848125</v>
      </c>
      <c r="BI140" s="1467">
        <f t="shared" si="544"/>
        <v>8167500</v>
      </c>
      <c r="BJ140" s="1467">
        <f t="shared" si="556"/>
        <v>7486875</v>
      </c>
      <c r="BK140" s="1467">
        <f t="shared" si="557"/>
        <v>6806250</v>
      </c>
      <c r="BL140" s="1467">
        <f t="shared" si="558"/>
        <v>6125625</v>
      </c>
      <c r="BM140" s="1467">
        <f t="shared" si="547"/>
        <v>5445000</v>
      </c>
      <c r="BN140" s="1467">
        <f t="shared" si="548"/>
        <v>4764375</v>
      </c>
      <c r="BO140" s="1467">
        <f t="shared" si="549"/>
        <v>4083750</v>
      </c>
      <c r="BP140" s="1467">
        <f t="shared" si="550"/>
        <v>3403125</v>
      </c>
      <c r="BQ140" s="1467">
        <f t="shared" si="551"/>
        <v>2722500</v>
      </c>
      <c r="BR140" s="1467">
        <f t="shared" si="552"/>
        <v>2041875</v>
      </c>
      <c r="BS140" s="1467">
        <f t="shared" si="553"/>
        <v>1361250</v>
      </c>
      <c r="BT140" s="1467">
        <f t="shared" si="554"/>
        <v>680625</v>
      </c>
      <c r="BU140" s="1467">
        <f t="shared" si="555"/>
        <v>0</v>
      </c>
      <c r="BV140" s="1485"/>
    </row>
    <row r="141" spans="1:74" x14ac:dyDescent="0.2">
      <c r="A141" s="927" t="str">
        <f t="shared" si="521"/>
        <v>Forest Residues (Cellulosic).Straight-Line</v>
      </c>
      <c r="B141" s="1076"/>
      <c r="C141" s="1076" t="str">
        <f t="shared" si="593"/>
        <v>Forest Residues (Cellulosic)</v>
      </c>
      <c r="D141" s="1076" t="str">
        <f>Assumptions!$AH$81</f>
        <v>Straight-Line</v>
      </c>
      <c r="E141" s="1076" t="str">
        <f t="shared" si="594"/>
        <v>Pretreatment</v>
      </c>
      <c r="F141" s="1467">
        <f t="shared" si="594"/>
        <v>25000000</v>
      </c>
      <c r="G141" s="1467">
        <f t="shared" si="522"/>
        <v>30937500</v>
      </c>
      <c r="H141" s="1467">
        <f t="shared" si="523"/>
        <v>34031250</v>
      </c>
      <c r="I141" s="1467">
        <f t="shared" si="524"/>
        <v>34031250</v>
      </c>
      <c r="J141" s="1161">
        <f>J140</f>
        <v>3.3333333333333333E-2</v>
      </c>
      <c r="K141" s="1107"/>
      <c r="L141" s="1467">
        <f t="shared" si="525"/>
        <v>1134375</v>
      </c>
      <c r="M141" s="1467">
        <f t="shared" si="525"/>
        <v>1134375</v>
      </c>
      <c r="N141" s="1467">
        <f t="shared" si="525"/>
        <v>1134375</v>
      </c>
      <c r="O141" s="1467">
        <f t="shared" si="525"/>
        <v>1134375</v>
      </c>
      <c r="P141" s="1467">
        <f t="shared" si="525"/>
        <v>1134375</v>
      </c>
      <c r="Q141" s="1467">
        <f t="shared" si="525"/>
        <v>1134375</v>
      </c>
      <c r="R141" s="1467">
        <f t="shared" si="525"/>
        <v>1134375</v>
      </c>
      <c r="S141" s="1467">
        <f t="shared" si="525"/>
        <v>1134375</v>
      </c>
      <c r="T141" s="1467">
        <f t="shared" si="525"/>
        <v>1134375</v>
      </c>
      <c r="U141" s="1467">
        <f t="shared" si="525"/>
        <v>1134375</v>
      </c>
      <c r="V141" s="1467">
        <f t="shared" si="525"/>
        <v>1134375</v>
      </c>
      <c r="W141" s="1467">
        <f t="shared" si="525"/>
        <v>1134375</v>
      </c>
      <c r="X141" s="1467">
        <f t="shared" si="525"/>
        <v>1134375</v>
      </c>
      <c r="Y141" s="1467">
        <f t="shared" si="525"/>
        <v>1134375</v>
      </c>
      <c r="Z141" s="1467">
        <f t="shared" si="525"/>
        <v>1134375</v>
      </c>
      <c r="AA141" s="1467">
        <f t="shared" si="525"/>
        <v>1134375</v>
      </c>
      <c r="AB141" s="1467">
        <f t="shared" si="595"/>
        <v>1134375</v>
      </c>
      <c r="AC141" s="1467">
        <f t="shared" si="595"/>
        <v>1134375</v>
      </c>
      <c r="AD141" s="1467">
        <f t="shared" si="595"/>
        <v>1134375</v>
      </c>
      <c r="AE141" s="1467">
        <f t="shared" si="595"/>
        <v>1134375</v>
      </c>
      <c r="AF141" s="1467">
        <f t="shared" si="595"/>
        <v>1134375</v>
      </c>
      <c r="AG141" s="1467">
        <f t="shared" si="595"/>
        <v>1134375</v>
      </c>
      <c r="AH141" s="1467">
        <f t="shared" si="595"/>
        <v>1134375</v>
      </c>
      <c r="AI141" s="1467">
        <f t="shared" si="595"/>
        <v>1134375</v>
      </c>
      <c r="AJ141" s="1467">
        <f t="shared" si="595"/>
        <v>1134375</v>
      </c>
      <c r="AK141" s="1467">
        <f t="shared" si="595"/>
        <v>1134375</v>
      </c>
      <c r="AL141" s="1467">
        <f t="shared" si="595"/>
        <v>1134375</v>
      </c>
      <c r="AM141" s="1467">
        <f t="shared" si="595"/>
        <v>1134375</v>
      </c>
      <c r="AN141" s="1467">
        <f t="shared" si="595"/>
        <v>1134375</v>
      </c>
      <c r="AO141" s="1467">
        <f t="shared" si="595"/>
        <v>1134375</v>
      </c>
      <c r="AP141" s="1468">
        <f t="shared" si="526"/>
        <v>34031250</v>
      </c>
      <c r="AQ141" s="1482"/>
      <c r="AR141" s="1467">
        <f t="shared" si="527"/>
        <v>32896875</v>
      </c>
      <c r="AS141" s="1467">
        <f t="shared" si="528"/>
        <v>31762500</v>
      </c>
      <c r="AT141" s="1467">
        <f t="shared" si="529"/>
        <v>30628125</v>
      </c>
      <c r="AU141" s="1467">
        <f t="shared" si="530"/>
        <v>29493750</v>
      </c>
      <c r="AV141" s="1467">
        <f t="shared" si="531"/>
        <v>28359375</v>
      </c>
      <c r="AW141" s="1467">
        <f t="shared" si="532"/>
        <v>27225000</v>
      </c>
      <c r="AX141" s="1467">
        <f t="shared" si="533"/>
        <v>26090625</v>
      </c>
      <c r="AY141" s="1467">
        <f t="shared" si="534"/>
        <v>24956250</v>
      </c>
      <c r="AZ141" s="1467">
        <f t="shared" si="535"/>
        <v>23821875</v>
      </c>
      <c r="BA141" s="1467">
        <f t="shared" si="536"/>
        <v>22687500</v>
      </c>
      <c r="BB141" s="1467">
        <f t="shared" si="537"/>
        <v>21553125</v>
      </c>
      <c r="BC141" s="1467">
        <f t="shared" si="538"/>
        <v>20418750</v>
      </c>
      <c r="BD141" s="1467">
        <f t="shared" si="539"/>
        <v>19284375</v>
      </c>
      <c r="BE141" s="1467">
        <f t="shared" si="540"/>
        <v>18150000</v>
      </c>
      <c r="BF141" s="1467">
        <f t="shared" si="541"/>
        <v>17015625</v>
      </c>
      <c r="BG141" s="1467">
        <f t="shared" si="542"/>
        <v>15881250</v>
      </c>
      <c r="BH141" s="1467">
        <f t="shared" si="543"/>
        <v>14746875</v>
      </c>
      <c r="BI141" s="1467">
        <f t="shared" si="544"/>
        <v>13612500</v>
      </c>
      <c r="BJ141" s="1467">
        <f t="shared" si="556"/>
        <v>12478125</v>
      </c>
      <c r="BK141" s="1467">
        <f t="shared" si="557"/>
        <v>11343750</v>
      </c>
      <c r="BL141" s="1467">
        <f t="shared" si="558"/>
        <v>10209375</v>
      </c>
      <c r="BM141" s="1467">
        <f t="shared" si="547"/>
        <v>9075000</v>
      </c>
      <c r="BN141" s="1467">
        <f t="shared" si="548"/>
        <v>7940625</v>
      </c>
      <c r="BO141" s="1467">
        <f t="shared" si="549"/>
        <v>6806250</v>
      </c>
      <c r="BP141" s="1467">
        <f t="shared" si="550"/>
        <v>5671875</v>
      </c>
      <c r="BQ141" s="1467">
        <f t="shared" si="551"/>
        <v>4537500</v>
      </c>
      <c r="BR141" s="1467">
        <f t="shared" si="552"/>
        <v>3403125</v>
      </c>
      <c r="BS141" s="1467">
        <f t="shared" si="553"/>
        <v>2268750</v>
      </c>
      <c r="BT141" s="1467">
        <f t="shared" si="554"/>
        <v>1134375</v>
      </c>
      <c r="BU141" s="1467">
        <f t="shared" si="555"/>
        <v>0</v>
      </c>
      <c r="BV141" s="1485"/>
    </row>
    <row r="142" spans="1:74" x14ac:dyDescent="0.2">
      <c r="A142" s="927" t="str">
        <f t="shared" si="521"/>
        <v>Forest Residues (Cellulosic).Straight-Line</v>
      </c>
      <c r="B142" s="1076"/>
      <c r="C142" s="1076" t="str">
        <f t="shared" si="593"/>
        <v>Forest Residues (Cellulosic)</v>
      </c>
      <c r="D142" s="1076" t="str">
        <f>Assumptions!$AH$81</f>
        <v>Straight-Line</v>
      </c>
      <c r="E142" s="1076" t="str">
        <f t="shared" si="594"/>
        <v>Enzyme production</v>
      </c>
      <c r="F142" s="1467">
        <f t="shared" si="594"/>
        <v>25000000</v>
      </c>
      <c r="G142" s="1467">
        <f t="shared" si="522"/>
        <v>30937500</v>
      </c>
      <c r="H142" s="1467">
        <f t="shared" si="523"/>
        <v>34031250</v>
      </c>
      <c r="I142" s="1467">
        <f t="shared" si="524"/>
        <v>34031250</v>
      </c>
      <c r="J142" s="1161">
        <f t="shared" ref="J142:J149" si="596">J141</f>
        <v>3.3333333333333333E-2</v>
      </c>
      <c r="K142" s="1107"/>
      <c r="L142" s="1467">
        <f t="shared" si="525"/>
        <v>1134375</v>
      </c>
      <c r="M142" s="1467">
        <f t="shared" si="525"/>
        <v>1134375</v>
      </c>
      <c r="N142" s="1467">
        <f t="shared" si="525"/>
        <v>1134375</v>
      </c>
      <c r="O142" s="1467">
        <f t="shared" si="525"/>
        <v>1134375</v>
      </c>
      <c r="P142" s="1467">
        <f t="shared" si="525"/>
        <v>1134375</v>
      </c>
      <c r="Q142" s="1467">
        <f t="shared" si="525"/>
        <v>1134375</v>
      </c>
      <c r="R142" s="1467">
        <f t="shared" si="525"/>
        <v>1134375</v>
      </c>
      <c r="S142" s="1467">
        <f t="shared" si="525"/>
        <v>1134375</v>
      </c>
      <c r="T142" s="1467">
        <f t="shared" si="525"/>
        <v>1134375</v>
      </c>
      <c r="U142" s="1467">
        <f t="shared" si="525"/>
        <v>1134375</v>
      </c>
      <c r="V142" s="1467">
        <f t="shared" si="525"/>
        <v>1134375</v>
      </c>
      <c r="W142" s="1467">
        <f t="shared" si="525"/>
        <v>1134375</v>
      </c>
      <c r="X142" s="1467">
        <f t="shared" si="525"/>
        <v>1134375</v>
      </c>
      <c r="Y142" s="1467">
        <f t="shared" si="525"/>
        <v>1134375</v>
      </c>
      <c r="Z142" s="1467">
        <f t="shared" si="525"/>
        <v>1134375</v>
      </c>
      <c r="AA142" s="1467">
        <f t="shared" si="525"/>
        <v>1134375</v>
      </c>
      <c r="AB142" s="1467">
        <f t="shared" si="595"/>
        <v>1134375</v>
      </c>
      <c r="AC142" s="1467">
        <f t="shared" si="595"/>
        <v>1134375</v>
      </c>
      <c r="AD142" s="1467">
        <f t="shared" si="595"/>
        <v>1134375</v>
      </c>
      <c r="AE142" s="1467">
        <f t="shared" si="595"/>
        <v>1134375</v>
      </c>
      <c r="AF142" s="1467">
        <f t="shared" si="595"/>
        <v>1134375</v>
      </c>
      <c r="AG142" s="1467">
        <f t="shared" si="595"/>
        <v>1134375</v>
      </c>
      <c r="AH142" s="1467">
        <f t="shared" si="595"/>
        <v>1134375</v>
      </c>
      <c r="AI142" s="1467">
        <f t="shared" si="595"/>
        <v>1134375</v>
      </c>
      <c r="AJ142" s="1467">
        <f t="shared" si="595"/>
        <v>1134375</v>
      </c>
      <c r="AK142" s="1467">
        <f t="shared" si="595"/>
        <v>1134375</v>
      </c>
      <c r="AL142" s="1467">
        <f t="shared" si="595"/>
        <v>1134375</v>
      </c>
      <c r="AM142" s="1467">
        <f t="shared" si="595"/>
        <v>1134375</v>
      </c>
      <c r="AN142" s="1467">
        <f t="shared" si="595"/>
        <v>1134375</v>
      </c>
      <c r="AO142" s="1467">
        <f t="shared" si="595"/>
        <v>1134375</v>
      </c>
      <c r="AP142" s="1468">
        <f t="shared" si="526"/>
        <v>34031250</v>
      </c>
      <c r="AQ142" s="1482"/>
      <c r="AR142" s="1467">
        <f t="shared" si="527"/>
        <v>32896875</v>
      </c>
      <c r="AS142" s="1467">
        <f t="shared" si="528"/>
        <v>31762500</v>
      </c>
      <c r="AT142" s="1467">
        <f t="shared" si="529"/>
        <v>30628125</v>
      </c>
      <c r="AU142" s="1467">
        <f t="shared" si="530"/>
        <v>29493750</v>
      </c>
      <c r="AV142" s="1467">
        <f t="shared" si="531"/>
        <v>28359375</v>
      </c>
      <c r="AW142" s="1467">
        <f t="shared" si="532"/>
        <v>27225000</v>
      </c>
      <c r="AX142" s="1467">
        <f t="shared" si="533"/>
        <v>26090625</v>
      </c>
      <c r="AY142" s="1467">
        <f t="shared" si="534"/>
        <v>24956250</v>
      </c>
      <c r="AZ142" s="1467">
        <f t="shared" si="535"/>
        <v>23821875</v>
      </c>
      <c r="BA142" s="1467">
        <f t="shared" si="536"/>
        <v>22687500</v>
      </c>
      <c r="BB142" s="1467">
        <f t="shared" si="537"/>
        <v>21553125</v>
      </c>
      <c r="BC142" s="1467">
        <f t="shared" si="538"/>
        <v>20418750</v>
      </c>
      <c r="BD142" s="1467">
        <f t="shared" si="539"/>
        <v>19284375</v>
      </c>
      <c r="BE142" s="1467">
        <f t="shared" si="540"/>
        <v>18150000</v>
      </c>
      <c r="BF142" s="1467">
        <f t="shared" si="541"/>
        <v>17015625</v>
      </c>
      <c r="BG142" s="1467">
        <f t="shared" si="542"/>
        <v>15881250</v>
      </c>
      <c r="BH142" s="1467">
        <f t="shared" si="543"/>
        <v>14746875</v>
      </c>
      <c r="BI142" s="1467">
        <f t="shared" si="544"/>
        <v>13612500</v>
      </c>
      <c r="BJ142" s="1467">
        <f t="shared" si="556"/>
        <v>12478125</v>
      </c>
      <c r="BK142" s="1467">
        <f t="shared" si="557"/>
        <v>11343750</v>
      </c>
      <c r="BL142" s="1467">
        <f t="shared" si="558"/>
        <v>10209375</v>
      </c>
      <c r="BM142" s="1467">
        <f t="shared" si="547"/>
        <v>9075000</v>
      </c>
      <c r="BN142" s="1467">
        <f t="shared" si="548"/>
        <v>7940625</v>
      </c>
      <c r="BO142" s="1467">
        <f t="shared" si="549"/>
        <v>6806250</v>
      </c>
      <c r="BP142" s="1467">
        <f t="shared" si="550"/>
        <v>5671875</v>
      </c>
      <c r="BQ142" s="1467">
        <f t="shared" si="551"/>
        <v>4537500</v>
      </c>
      <c r="BR142" s="1467">
        <f t="shared" si="552"/>
        <v>3403125</v>
      </c>
      <c r="BS142" s="1467">
        <f t="shared" si="553"/>
        <v>2268750</v>
      </c>
      <c r="BT142" s="1467">
        <f t="shared" si="554"/>
        <v>1134375</v>
      </c>
      <c r="BU142" s="1467">
        <f t="shared" si="555"/>
        <v>0</v>
      </c>
      <c r="BV142" s="1485"/>
    </row>
    <row r="143" spans="1:74" x14ac:dyDescent="0.2">
      <c r="A143" s="927" t="str">
        <f t="shared" si="521"/>
        <v>Forest Residues (Cellulosic).Straight-Line</v>
      </c>
      <c r="B143" s="1076"/>
      <c r="C143" s="1076" t="str">
        <f t="shared" si="593"/>
        <v>Forest Residues (Cellulosic)</v>
      </c>
      <c r="D143" s="1076" t="str">
        <f>Assumptions!$AH$81</f>
        <v>Straight-Line</v>
      </c>
      <c r="E143" s="1076" t="str">
        <f t="shared" si="594"/>
        <v>Enzymtic hydrolysis and Fermentation Plant</v>
      </c>
      <c r="F143" s="1467">
        <f t="shared" si="594"/>
        <v>40000000</v>
      </c>
      <c r="G143" s="1467">
        <f t="shared" si="522"/>
        <v>49500000</v>
      </c>
      <c r="H143" s="1467">
        <f t="shared" si="523"/>
        <v>54450000.000000007</v>
      </c>
      <c r="I143" s="1467">
        <f t="shared" si="524"/>
        <v>54450000.000000007</v>
      </c>
      <c r="J143" s="1161">
        <f t="shared" si="596"/>
        <v>3.3333333333333333E-2</v>
      </c>
      <c r="K143" s="1107"/>
      <c r="L143" s="1467">
        <f t="shared" si="525"/>
        <v>1815000.0000000002</v>
      </c>
      <c r="M143" s="1467">
        <f t="shared" si="525"/>
        <v>1815000.0000000002</v>
      </c>
      <c r="N143" s="1467">
        <f t="shared" si="525"/>
        <v>1815000.0000000002</v>
      </c>
      <c r="O143" s="1467">
        <f t="shared" si="525"/>
        <v>1815000.0000000002</v>
      </c>
      <c r="P143" s="1467">
        <f t="shared" si="525"/>
        <v>1815000.0000000002</v>
      </c>
      <c r="Q143" s="1467">
        <f t="shared" si="525"/>
        <v>1815000.0000000002</v>
      </c>
      <c r="R143" s="1467">
        <f t="shared" si="525"/>
        <v>1815000.0000000002</v>
      </c>
      <c r="S143" s="1467">
        <f t="shared" si="525"/>
        <v>1815000.0000000002</v>
      </c>
      <c r="T143" s="1467">
        <f t="shared" si="525"/>
        <v>1815000.0000000002</v>
      </c>
      <c r="U143" s="1467">
        <f t="shared" si="525"/>
        <v>1815000.0000000002</v>
      </c>
      <c r="V143" s="1467">
        <f t="shared" si="525"/>
        <v>1815000.0000000002</v>
      </c>
      <c r="W143" s="1467">
        <f t="shared" si="525"/>
        <v>1815000.0000000002</v>
      </c>
      <c r="X143" s="1467">
        <f t="shared" si="525"/>
        <v>1815000.0000000002</v>
      </c>
      <c r="Y143" s="1467">
        <f t="shared" si="525"/>
        <v>1815000.0000000002</v>
      </c>
      <c r="Z143" s="1467">
        <f t="shared" si="525"/>
        <v>1815000.0000000002</v>
      </c>
      <c r="AA143" s="1467">
        <f t="shared" si="525"/>
        <v>1815000.0000000002</v>
      </c>
      <c r="AB143" s="1467">
        <f t="shared" si="595"/>
        <v>1815000.0000000002</v>
      </c>
      <c r="AC143" s="1467">
        <f t="shared" si="595"/>
        <v>1815000.0000000002</v>
      </c>
      <c r="AD143" s="1467">
        <f t="shared" si="595"/>
        <v>1815000.0000000002</v>
      </c>
      <c r="AE143" s="1467">
        <f t="shared" si="595"/>
        <v>1815000.0000000002</v>
      </c>
      <c r="AF143" s="1467">
        <f t="shared" si="595"/>
        <v>1815000.0000000002</v>
      </c>
      <c r="AG143" s="1467">
        <f t="shared" si="595"/>
        <v>1815000.0000000002</v>
      </c>
      <c r="AH143" s="1467">
        <f t="shared" si="595"/>
        <v>1815000.0000000002</v>
      </c>
      <c r="AI143" s="1467">
        <f t="shared" si="595"/>
        <v>1815000.0000000002</v>
      </c>
      <c r="AJ143" s="1467">
        <f t="shared" si="595"/>
        <v>1815000.0000000002</v>
      </c>
      <c r="AK143" s="1467">
        <f t="shared" si="595"/>
        <v>1815000.0000000002</v>
      </c>
      <c r="AL143" s="1467">
        <f t="shared" si="595"/>
        <v>1815000.0000000002</v>
      </c>
      <c r="AM143" s="1467">
        <f t="shared" si="595"/>
        <v>1815000.0000000002</v>
      </c>
      <c r="AN143" s="1467">
        <f t="shared" si="595"/>
        <v>1815000.0000000002</v>
      </c>
      <c r="AO143" s="1467">
        <f t="shared" si="595"/>
        <v>1815000.0000000002</v>
      </c>
      <c r="AP143" s="1468">
        <f t="shared" si="526"/>
        <v>54450000.000000007</v>
      </c>
      <c r="AQ143" s="1482"/>
      <c r="AR143" s="1467">
        <f t="shared" si="527"/>
        <v>52635000.000000007</v>
      </c>
      <c r="AS143" s="1467">
        <f t="shared" si="528"/>
        <v>50820000.000000007</v>
      </c>
      <c r="AT143" s="1467">
        <f t="shared" si="529"/>
        <v>49005000.000000007</v>
      </c>
      <c r="AU143" s="1467">
        <f t="shared" si="530"/>
        <v>47190000.000000007</v>
      </c>
      <c r="AV143" s="1467">
        <f t="shared" si="531"/>
        <v>45375000.000000007</v>
      </c>
      <c r="AW143" s="1467">
        <f t="shared" si="532"/>
        <v>43560000.000000007</v>
      </c>
      <c r="AX143" s="1467">
        <f t="shared" si="533"/>
        <v>41745000.000000007</v>
      </c>
      <c r="AY143" s="1467">
        <f t="shared" si="534"/>
        <v>39930000.000000007</v>
      </c>
      <c r="AZ143" s="1467">
        <f t="shared" si="535"/>
        <v>38115000.000000007</v>
      </c>
      <c r="BA143" s="1467">
        <f t="shared" si="536"/>
        <v>36300000.000000007</v>
      </c>
      <c r="BB143" s="1467">
        <f t="shared" si="537"/>
        <v>34485000.000000007</v>
      </c>
      <c r="BC143" s="1467">
        <f t="shared" si="538"/>
        <v>32670000.000000007</v>
      </c>
      <c r="BD143" s="1467">
        <f t="shared" si="539"/>
        <v>30855000.000000007</v>
      </c>
      <c r="BE143" s="1467">
        <f t="shared" si="540"/>
        <v>29040000.000000007</v>
      </c>
      <c r="BF143" s="1467">
        <f t="shared" si="541"/>
        <v>27225000.000000007</v>
      </c>
      <c r="BG143" s="1467">
        <f t="shared" si="542"/>
        <v>25410000.000000007</v>
      </c>
      <c r="BH143" s="1467">
        <f t="shared" si="543"/>
        <v>23595000.000000007</v>
      </c>
      <c r="BI143" s="1467">
        <f t="shared" si="544"/>
        <v>21780000.000000007</v>
      </c>
      <c r="BJ143" s="1467">
        <f t="shared" si="556"/>
        <v>19965000.000000007</v>
      </c>
      <c r="BK143" s="1467">
        <f t="shared" si="557"/>
        <v>18150000.000000007</v>
      </c>
      <c r="BL143" s="1467">
        <f t="shared" si="558"/>
        <v>16335000.000000007</v>
      </c>
      <c r="BM143" s="1467">
        <f t="shared" si="547"/>
        <v>14520000.000000007</v>
      </c>
      <c r="BN143" s="1467">
        <f t="shared" si="548"/>
        <v>12705000.000000007</v>
      </c>
      <c r="BO143" s="1467">
        <f t="shared" si="549"/>
        <v>10890000.000000007</v>
      </c>
      <c r="BP143" s="1467">
        <f t="shared" si="550"/>
        <v>9075000.0000000075</v>
      </c>
      <c r="BQ143" s="1467">
        <f t="shared" si="551"/>
        <v>7260000.0000000075</v>
      </c>
      <c r="BR143" s="1467">
        <f t="shared" si="552"/>
        <v>5445000.0000000075</v>
      </c>
      <c r="BS143" s="1467">
        <f t="shared" si="553"/>
        <v>3630000.0000000075</v>
      </c>
      <c r="BT143" s="1467">
        <f t="shared" si="554"/>
        <v>1815000.0000000072</v>
      </c>
      <c r="BU143" s="1467">
        <f t="shared" si="555"/>
        <v>6.9849193096160889E-9</v>
      </c>
      <c r="BV143" s="1485"/>
    </row>
    <row r="144" spans="1:74" x14ac:dyDescent="0.2">
      <c r="A144" s="927" t="str">
        <f t="shared" si="521"/>
        <v>Forest Residues (Cellulosic).Straight-Line</v>
      </c>
      <c r="B144" s="1076"/>
      <c r="C144" s="1076" t="str">
        <f t="shared" si="593"/>
        <v>Forest Residues (Cellulosic)</v>
      </c>
      <c r="D144" s="1076" t="str">
        <f>Assumptions!$AH$81</f>
        <v>Straight-Line</v>
      </c>
      <c r="E144" s="1076" t="str">
        <f t="shared" si="594"/>
        <v>Distillation, Rectification and Dehydration</v>
      </c>
      <c r="F144" s="1467">
        <f t="shared" si="594"/>
        <v>23000000</v>
      </c>
      <c r="G144" s="1467">
        <f t="shared" si="522"/>
        <v>28462500</v>
      </c>
      <c r="H144" s="1467">
        <f t="shared" si="523"/>
        <v>31308750.000000004</v>
      </c>
      <c r="I144" s="1467">
        <f t="shared" si="524"/>
        <v>31308750.000000004</v>
      </c>
      <c r="J144" s="1161">
        <f t="shared" si="596"/>
        <v>3.3333333333333333E-2</v>
      </c>
      <c r="K144" s="1107"/>
      <c r="L144" s="1467">
        <f t="shared" si="525"/>
        <v>1043625.0000000001</v>
      </c>
      <c r="M144" s="1467">
        <f t="shared" si="525"/>
        <v>1043625.0000000001</v>
      </c>
      <c r="N144" s="1467">
        <f t="shared" si="525"/>
        <v>1043625.0000000001</v>
      </c>
      <c r="O144" s="1467">
        <f t="shared" si="525"/>
        <v>1043625.0000000001</v>
      </c>
      <c r="P144" s="1467">
        <f t="shared" si="525"/>
        <v>1043625.0000000001</v>
      </c>
      <c r="Q144" s="1467">
        <f t="shared" si="525"/>
        <v>1043625.0000000001</v>
      </c>
      <c r="R144" s="1467">
        <f t="shared" si="525"/>
        <v>1043625.0000000001</v>
      </c>
      <c r="S144" s="1467">
        <f t="shared" si="525"/>
        <v>1043625.0000000001</v>
      </c>
      <c r="T144" s="1467">
        <f t="shared" si="525"/>
        <v>1043625.0000000001</v>
      </c>
      <c r="U144" s="1467">
        <f t="shared" si="525"/>
        <v>1043625.0000000001</v>
      </c>
      <c r="V144" s="1467">
        <f t="shared" si="525"/>
        <v>1043625.0000000001</v>
      </c>
      <c r="W144" s="1467">
        <f t="shared" si="525"/>
        <v>1043625.0000000001</v>
      </c>
      <c r="X144" s="1467">
        <f t="shared" si="525"/>
        <v>1043625.0000000001</v>
      </c>
      <c r="Y144" s="1467">
        <f t="shared" si="525"/>
        <v>1043625.0000000001</v>
      </c>
      <c r="Z144" s="1467">
        <f t="shared" si="525"/>
        <v>1043625.0000000001</v>
      </c>
      <c r="AA144" s="1467">
        <f t="shared" si="525"/>
        <v>1043625.0000000001</v>
      </c>
      <c r="AB144" s="1467">
        <f t="shared" si="595"/>
        <v>1043625.0000000001</v>
      </c>
      <c r="AC144" s="1467">
        <f t="shared" si="595"/>
        <v>1043625.0000000001</v>
      </c>
      <c r="AD144" s="1467">
        <f t="shared" si="595"/>
        <v>1043625.0000000001</v>
      </c>
      <c r="AE144" s="1467">
        <f t="shared" si="595"/>
        <v>1043625.0000000001</v>
      </c>
      <c r="AF144" s="1467">
        <f t="shared" si="595"/>
        <v>1043625.0000000001</v>
      </c>
      <c r="AG144" s="1467">
        <f t="shared" si="595"/>
        <v>1043625.0000000001</v>
      </c>
      <c r="AH144" s="1467">
        <f t="shared" si="595"/>
        <v>1043625.0000000001</v>
      </c>
      <c r="AI144" s="1467">
        <f t="shared" si="595"/>
        <v>1043625.0000000001</v>
      </c>
      <c r="AJ144" s="1467">
        <f t="shared" si="595"/>
        <v>1043625.0000000001</v>
      </c>
      <c r="AK144" s="1467">
        <f t="shared" si="595"/>
        <v>1043625.0000000001</v>
      </c>
      <c r="AL144" s="1467">
        <f t="shared" si="595"/>
        <v>1043625.0000000001</v>
      </c>
      <c r="AM144" s="1467">
        <f t="shared" si="595"/>
        <v>1043625.0000000001</v>
      </c>
      <c r="AN144" s="1467">
        <f t="shared" si="595"/>
        <v>1043625.0000000001</v>
      </c>
      <c r="AO144" s="1467">
        <f t="shared" si="595"/>
        <v>1043625.0000000001</v>
      </c>
      <c r="AP144" s="1468">
        <f t="shared" si="526"/>
        <v>31308750.000000004</v>
      </c>
      <c r="AQ144" s="1482"/>
      <c r="AR144" s="1467">
        <f t="shared" si="527"/>
        <v>30265125.000000004</v>
      </c>
      <c r="AS144" s="1467">
        <f t="shared" si="528"/>
        <v>29221500.000000004</v>
      </c>
      <c r="AT144" s="1467">
        <f t="shared" si="529"/>
        <v>28177875.000000004</v>
      </c>
      <c r="AU144" s="1467">
        <f t="shared" si="530"/>
        <v>27134250.000000004</v>
      </c>
      <c r="AV144" s="1467">
        <f t="shared" si="531"/>
        <v>26090625.000000004</v>
      </c>
      <c r="AW144" s="1467">
        <f t="shared" si="532"/>
        <v>25047000.000000004</v>
      </c>
      <c r="AX144" s="1467">
        <f t="shared" si="533"/>
        <v>24003375.000000004</v>
      </c>
      <c r="AY144" s="1467">
        <f t="shared" si="534"/>
        <v>22959750.000000004</v>
      </c>
      <c r="AZ144" s="1467">
        <f t="shared" si="535"/>
        <v>21916125.000000004</v>
      </c>
      <c r="BA144" s="1467">
        <f t="shared" si="536"/>
        <v>20872500.000000004</v>
      </c>
      <c r="BB144" s="1467">
        <f t="shared" si="537"/>
        <v>19828875.000000004</v>
      </c>
      <c r="BC144" s="1467">
        <f t="shared" si="538"/>
        <v>18785250.000000004</v>
      </c>
      <c r="BD144" s="1467">
        <f t="shared" si="539"/>
        <v>17741625.000000004</v>
      </c>
      <c r="BE144" s="1467">
        <f t="shared" si="540"/>
        <v>16698000.000000004</v>
      </c>
      <c r="BF144" s="1467">
        <f t="shared" si="541"/>
        <v>15654375.000000004</v>
      </c>
      <c r="BG144" s="1467">
        <f t="shared" si="542"/>
        <v>14610750.000000004</v>
      </c>
      <c r="BH144" s="1467">
        <f t="shared" si="543"/>
        <v>13567125.000000004</v>
      </c>
      <c r="BI144" s="1467">
        <f t="shared" si="544"/>
        <v>12523500.000000004</v>
      </c>
      <c r="BJ144" s="1467">
        <f t="shared" si="556"/>
        <v>11479875.000000004</v>
      </c>
      <c r="BK144" s="1467">
        <f t="shared" si="557"/>
        <v>10436250.000000004</v>
      </c>
      <c r="BL144" s="1467">
        <f t="shared" si="558"/>
        <v>9392625.0000000037</v>
      </c>
      <c r="BM144" s="1467">
        <f t="shared" si="547"/>
        <v>8349000.0000000037</v>
      </c>
      <c r="BN144" s="1467">
        <f t="shared" si="548"/>
        <v>7305375.0000000037</v>
      </c>
      <c r="BO144" s="1467">
        <f t="shared" si="549"/>
        <v>6261750.0000000037</v>
      </c>
      <c r="BP144" s="1467">
        <f t="shared" si="550"/>
        <v>5218125.0000000037</v>
      </c>
      <c r="BQ144" s="1467">
        <f t="shared" si="551"/>
        <v>4174500.0000000037</v>
      </c>
      <c r="BR144" s="1467">
        <f t="shared" si="552"/>
        <v>3130875.0000000037</v>
      </c>
      <c r="BS144" s="1467">
        <f t="shared" si="553"/>
        <v>2087250.0000000037</v>
      </c>
      <c r="BT144" s="1467">
        <f t="shared" si="554"/>
        <v>1043625.0000000036</v>
      </c>
      <c r="BU144" s="1467">
        <f t="shared" si="555"/>
        <v>3.4924596548080444E-9</v>
      </c>
      <c r="BV144" s="1485"/>
    </row>
    <row r="145" spans="1:74" x14ac:dyDescent="0.2">
      <c r="A145" s="927" t="str">
        <f t="shared" si="521"/>
        <v>Forest Residues (Cellulosic).Straight-Line</v>
      </c>
      <c r="B145" s="1076"/>
      <c r="C145" s="1076" t="str">
        <f t="shared" si="593"/>
        <v>Forest Residues (Cellulosic)</v>
      </c>
      <c r="D145" s="1076" t="str">
        <f>Assumptions!$AH$81</f>
        <v>Straight-Line</v>
      </c>
      <c r="E145" s="1076" t="str">
        <f t="shared" si="594"/>
        <v>Alcohol Storage</v>
      </c>
      <c r="F145" s="1467">
        <f t="shared" si="594"/>
        <v>5000000</v>
      </c>
      <c r="G145" s="1467">
        <f t="shared" si="522"/>
        <v>6187500</v>
      </c>
      <c r="H145" s="1467">
        <f t="shared" si="523"/>
        <v>6806250.0000000009</v>
      </c>
      <c r="I145" s="1467">
        <f t="shared" si="524"/>
        <v>6806250.0000000009</v>
      </c>
      <c r="J145" s="1161">
        <f t="shared" si="596"/>
        <v>3.3333333333333333E-2</v>
      </c>
      <c r="K145" s="1107"/>
      <c r="L145" s="1467">
        <f t="shared" si="525"/>
        <v>226875.00000000003</v>
      </c>
      <c r="M145" s="1467">
        <f t="shared" si="525"/>
        <v>226875.00000000003</v>
      </c>
      <c r="N145" s="1467">
        <f t="shared" si="525"/>
        <v>226875.00000000003</v>
      </c>
      <c r="O145" s="1467">
        <f t="shared" si="525"/>
        <v>226875.00000000003</v>
      </c>
      <c r="P145" s="1467">
        <f t="shared" si="525"/>
        <v>226875.00000000003</v>
      </c>
      <c r="Q145" s="1467">
        <f t="shared" si="525"/>
        <v>226875.00000000003</v>
      </c>
      <c r="R145" s="1467">
        <f t="shared" si="525"/>
        <v>226875.00000000003</v>
      </c>
      <c r="S145" s="1467">
        <f t="shared" si="525"/>
        <v>226875.00000000003</v>
      </c>
      <c r="T145" s="1467">
        <f t="shared" si="525"/>
        <v>226875.00000000003</v>
      </c>
      <c r="U145" s="1467">
        <f t="shared" si="525"/>
        <v>226875.00000000003</v>
      </c>
      <c r="V145" s="1467">
        <f t="shared" si="525"/>
        <v>226875.00000000003</v>
      </c>
      <c r="W145" s="1467">
        <f t="shared" si="525"/>
        <v>226875.00000000003</v>
      </c>
      <c r="X145" s="1467">
        <f t="shared" si="525"/>
        <v>226875.00000000003</v>
      </c>
      <c r="Y145" s="1467">
        <f t="shared" si="525"/>
        <v>226875.00000000003</v>
      </c>
      <c r="Z145" s="1467">
        <f t="shared" si="525"/>
        <v>226875.00000000003</v>
      </c>
      <c r="AA145" s="1467">
        <f t="shared" si="525"/>
        <v>226875.00000000003</v>
      </c>
      <c r="AB145" s="1467">
        <f t="shared" si="595"/>
        <v>226875.00000000003</v>
      </c>
      <c r="AC145" s="1467">
        <f t="shared" si="595"/>
        <v>226875.00000000003</v>
      </c>
      <c r="AD145" s="1467">
        <f t="shared" si="595"/>
        <v>226875.00000000003</v>
      </c>
      <c r="AE145" s="1467">
        <f t="shared" si="595"/>
        <v>226875.00000000003</v>
      </c>
      <c r="AF145" s="1467">
        <f t="shared" si="595"/>
        <v>226875.00000000003</v>
      </c>
      <c r="AG145" s="1467">
        <f t="shared" si="595"/>
        <v>226875.00000000003</v>
      </c>
      <c r="AH145" s="1467">
        <f t="shared" si="595"/>
        <v>226875.00000000003</v>
      </c>
      <c r="AI145" s="1467">
        <f t="shared" si="595"/>
        <v>226875.00000000003</v>
      </c>
      <c r="AJ145" s="1467">
        <f t="shared" si="595"/>
        <v>226875.00000000003</v>
      </c>
      <c r="AK145" s="1467">
        <f t="shared" si="595"/>
        <v>226875.00000000003</v>
      </c>
      <c r="AL145" s="1467">
        <f t="shared" si="595"/>
        <v>226875.00000000003</v>
      </c>
      <c r="AM145" s="1467">
        <f t="shared" si="595"/>
        <v>226875.00000000003</v>
      </c>
      <c r="AN145" s="1467">
        <f t="shared" si="595"/>
        <v>226875.00000000003</v>
      </c>
      <c r="AO145" s="1467">
        <f t="shared" si="595"/>
        <v>226875.00000000003</v>
      </c>
      <c r="AP145" s="1468">
        <f t="shared" si="526"/>
        <v>6806250.0000000009</v>
      </c>
      <c r="AQ145" s="1482"/>
      <c r="AR145" s="1467">
        <f t="shared" si="527"/>
        <v>6579375.0000000009</v>
      </c>
      <c r="AS145" s="1467">
        <f t="shared" si="528"/>
        <v>6352500.0000000009</v>
      </c>
      <c r="AT145" s="1467">
        <f t="shared" si="529"/>
        <v>6125625.0000000009</v>
      </c>
      <c r="AU145" s="1467">
        <f t="shared" si="530"/>
        <v>5898750.0000000009</v>
      </c>
      <c r="AV145" s="1467">
        <f t="shared" si="531"/>
        <v>5671875.0000000009</v>
      </c>
      <c r="AW145" s="1467">
        <f t="shared" si="532"/>
        <v>5445000.0000000009</v>
      </c>
      <c r="AX145" s="1467">
        <f t="shared" si="533"/>
        <v>5218125.0000000009</v>
      </c>
      <c r="AY145" s="1467">
        <f t="shared" si="534"/>
        <v>4991250.0000000009</v>
      </c>
      <c r="AZ145" s="1467">
        <f t="shared" si="535"/>
        <v>4764375.0000000009</v>
      </c>
      <c r="BA145" s="1467">
        <f t="shared" si="536"/>
        <v>4537500.0000000009</v>
      </c>
      <c r="BB145" s="1467">
        <f t="shared" si="537"/>
        <v>4310625.0000000009</v>
      </c>
      <c r="BC145" s="1467">
        <f t="shared" si="538"/>
        <v>4083750.0000000009</v>
      </c>
      <c r="BD145" s="1467">
        <f t="shared" si="539"/>
        <v>3856875.0000000009</v>
      </c>
      <c r="BE145" s="1467">
        <f t="shared" si="540"/>
        <v>3630000.0000000009</v>
      </c>
      <c r="BF145" s="1467">
        <f t="shared" si="541"/>
        <v>3403125.0000000009</v>
      </c>
      <c r="BG145" s="1467">
        <f t="shared" si="542"/>
        <v>3176250.0000000009</v>
      </c>
      <c r="BH145" s="1467">
        <f t="shared" si="543"/>
        <v>2949375.0000000009</v>
      </c>
      <c r="BI145" s="1467">
        <f t="shared" si="544"/>
        <v>2722500.0000000009</v>
      </c>
      <c r="BJ145" s="1467">
        <f t="shared" si="556"/>
        <v>2495625.0000000009</v>
      </c>
      <c r="BK145" s="1467">
        <f t="shared" si="557"/>
        <v>2268750.0000000009</v>
      </c>
      <c r="BL145" s="1467">
        <f t="shared" si="558"/>
        <v>2041875.0000000009</v>
      </c>
      <c r="BM145" s="1467">
        <f t="shared" si="547"/>
        <v>1815000.0000000009</v>
      </c>
      <c r="BN145" s="1467">
        <f t="shared" si="548"/>
        <v>1588125.0000000009</v>
      </c>
      <c r="BO145" s="1467">
        <f t="shared" si="549"/>
        <v>1361250.0000000009</v>
      </c>
      <c r="BP145" s="1467">
        <f t="shared" si="550"/>
        <v>1134375.0000000009</v>
      </c>
      <c r="BQ145" s="1467">
        <f t="shared" si="551"/>
        <v>907500.00000000093</v>
      </c>
      <c r="BR145" s="1467">
        <f t="shared" si="552"/>
        <v>680625.00000000093</v>
      </c>
      <c r="BS145" s="1467">
        <f t="shared" si="553"/>
        <v>453750.00000000093</v>
      </c>
      <c r="BT145" s="1467">
        <f t="shared" si="554"/>
        <v>226875.0000000009</v>
      </c>
      <c r="BU145" s="1467">
        <f t="shared" si="555"/>
        <v>8.7311491370201111E-10</v>
      </c>
      <c r="BV145" s="1485"/>
    </row>
    <row r="146" spans="1:74" x14ac:dyDescent="0.2">
      <c r="A146" s="927" t="str">
        <f t="shared" si="521"/>
        <v>Forest Residues (Cellulosic).Straight-Line</v>
      </c>
      <c r="B146" s="1076"/>
      <c r="C146" s="1076" t="str">
        <f t="shared" si="593"/>
        <v>Forest Residues (Cellulosic)</v>
      </c>
      <c r="D146" s="1076" t="str">
        <f>Assumptions!$AH$81</f>
        <v>Straight-Line</v>
      </c>
      <c r="E146" s="1076" t="str">
        <f t="shared" si="594"/>
        <v>Biogas Plant</v>
      </c>
      <c r="F146" s="1467">
        <f t="shared" si="594"/>
        <v>13000000</v>
      </c>
      <c r="G146" s="1467">
        <f t="shared" si="522"/>
        <v>16087500</v>
      </c>
      <c r="H146" s="1467">
        <f t="shared" si="523"/>
        <v>17696250</v>
      </c>
      <c r="I146" s="1467">
        <f t="shared" si="524"/>
        <v>17696250</v>
      </c>
      <c r="J146" s="1161">
        <f t="shared" si="596"/>
        <v>3.3333333333333333E-2</v>
      </c>
      <c r="K146" s="1107"/>
      <c r="L146" s="1467">
        <f t="shared" si="525"/>
        <v>589875</v>
      </c>
      <c r="M146" s="1467">
        <f t="shared" si="525"/>
        <v>589875</v>
      </c>
      <c r="N146" s="1467">
        <f t="shared" si="525"/>
        <v>589875</v>
      </c>
      <c r="O146" s="1467">
        <f t="shared" si="525"/>
        <v>589875</v>
      </c>
      <c r="P146" s="1467">
        <f t="shared" si="525"/>
        <v>589875</v>
      </c>
      <c r="Q146" s="1467">
        <f t="shared" si="525"/>
        <v>589875</v>
      </c>
      <c r="R146" s="1467">
        <f t="shared" si="525"/>
        <v>589875</v>
      </c>
      <c r="S146" s="1467">
        <f t="shared" si="525"/>
        <v>589875</v>
      </c>
      <c r="T146" s="1467">
        <f t="shared" si="525"/>
        <v>589875</v>
      </c>
      <c r="U146" s="1467">
        <f t="shared" si="525"/>
        <v>589875</v>
      </c>
      <c r="V146" s="1467">
        <f t="shared" si="525"/>
        <v>589875</v>
      </c>
      <c r="W146" s="1467">
        <f t="shared" si="525"/>
        <v>589875</v>
      </c>
      <c r="X146" s="1467">
        <f t="shared" si="525"/>
        <v>589875</v>
      </c>
      <c r="Y146" s="1467">
        <f t="shared" si="525"/>
        <v>589875</v>
      </c>
      <c r="Z146" s="1467">
        <f t="shared" si="525"/>
        <v>589875</v>
      </c>
      <c r="AA146" s="1467">
        <f t="shared" si="525"/>
        <v>589875</v>
      </c>
      <c r="AB146" s="1467">
        <f t="shared" si="595"/>
        <v>589875</v>
      </c>
      <c r="AC146" s="1467">
        <f t="shared" si="595"/>
        <v>589875</v>
      </c>
      <c r="AD146" s="1467">
        <f t="shared" si="595"/>
        <v>589875</v>
      </c>
      <c r="AE146" s="1467">
        <f t="shared" si="595"/>
        <v>589875</v>
      </c>
      <c r="AF146" s="1467">
        <f t="shared" si="595"/>
        <v>589875</v>
      </c>
      <c r="AG146" s="1467">
        <f t="shared" si="595"/>
        <v>589875</v>
      </c>
      <c r="AH146" s="1467">
        <f t="shared" si="595"/>
        <v>589875</v>
      </c>
      <c r="AI146" s="1467">
        <f t="shared" si="595"/>
        <v>589875</v>
      </c>
      <c r="AJ146" s="1467">
        <f t="shared" si="595"/>
        <v>589875</v>
      </c>
      <c r="AK146" s="1467">
        <f t="shared" si="595"/>
        <v>589875</v>
      </c>
      <c r="AL146" s="1467">
        <f t="shared" si="595"/>
        <v>589875</v>
      </c>
      <c r="AM146" s="1467">
        <f t="shared" si="595"/>
        <v>589875</v>
      </c>
      <c r="AN146" s="1467">
        <f t="shared" si="595"/>
        <v>589875</v>
      </c>
      <c r="AO146" s="1467">
        <f t="shared" si="595"/>
        <v>589875</v>
      </c>
      <c r="AP146" s="1468">
        <f t="shared" ref="AP146:AP148" si="597">SUM(L146:AO146)</f>
        <v>17696250</v>
      </c>
      <c r="AQ146" s="1482"/>
      <c r="AR146" s="1467">
        <f t="shared" si="527"/>
        <v>17106375</v>
      </c>
      <c r="AS146" s="1467">
        <f t="shared" si="528"/>
        <v>16516500</v>
      </c>
      <c r="AT146" s="1467">
        <f t="shared" si="529"/>
        <v>15926625</v>
      </c>
      <c r="AU146" s="1467">
        <f t="shared" si="530"/>
        <v>15336750</v>
      </c>
      <c r="AV146" s="1467">
        <f t="shared" si="531"/>
        <v>14746875</v>
      </c>
      <c r="AW146" s="1467">
        <f t="shared" si="532"/>
        <v>14157000</v>
      </c>
      <c r="AX146" s="1467">
        <f t="shared" si="533"/>
        <v>13567125</v>
      </c>
      <c r="AY146" s="1467">
        <f t="shared" si="534"/>
        <v>12977250</v>
      </c>
      <c r="AZ146" s="1467">
        <f t="shared" si="535"/>
        <v>12387375</v>
      </c>
      <c r="BA146" s="1467">
        <f t="shared" si="536"/>
        <v>11797500</v>
      </c>
      <c r="BB146" s="1467">
        <f t="shared" si="537"/>
        <v>11207625</v>
      </c>
      <c r="BC146" s="1467">
        <f t="shared" si="538"/>
        <v>10617750</v>
      </c>
      <c r="BD146" s="1467">
        <f t="shared" si="539"/>
        <v>10027875</v>
      </c>
      <c r="BE146" s="1467">
        <f t="shared" si="540"/>
        <v>9438000</v>
      </c>
      <c r="BF146" s="1467">
        <f t="shared" si="541"/>
        <v>8848125</v>
      </c>
      <c r="BG146" s="1467">
        <f t="shared" si="542"/>
        <v>8258250</v>
      </c>
      <c r="BH146" s="1467">
        <f t="shared" si="543"/>
        <v>7668375</v>
      </c>
      <c r="BI146" s="1467">
        <f t="shared" si="544"/>
        <v>7078500</v>
      </c>
      <c r="BJ146" s="1467">
        <f t="shared" si="556"/>
        <v>6488625</v>
      </c>
      <c r="BK146" s="1467">
        <f t="shared" si="557"/>
        <v>5898750</v>
      </c>
      <c r="BL146" s="1467">
        <f t="shared" si="558"/>
        <v>5308875</v>
      </c>
      <c r="BM146" s="1467">
        <f t="shared" si="547"/>
        <v>4719000</v>
      </c>
      <c r="BN146" s="1467">
        <f t="shared" si="548"/>
        <v>4129125</v>
      </c>
      <c r="BO146" s="1467">
        <f t="shared" si="549"/>
        <v>3539250</v>
      </c>
      <c r="BP146" s="1467">
        <f t="shared" si="550"/>
        <v>2949375</v>
      </c>
      <c r="BQ146" s="1467">
        <f t="shared" si="551"/>
        <v>2359500</v>
      </c>
      <c r="BR146" s="1467">
        <f t="shared" si="552"/>
        <v>1769625</v>
      </c>
      <c r="BS146" s="1467">
        <f t="shared" si="553"/>
        <v>1179750</v>
      </c>
      <c r="BT146" s="1467">
        <f t="shared" si="554"/>
        <v>589875</v>
      </c>
      <c r="BU146" s="1467">
        <f t="shared" si="555"/>
        <v>0</v>
      </c>
      <c r="BV146" s="1485"/>
    </row>
    <row r="147" spans="1:74" x14ac:dyDescent="0.2">
      <c r="A147" s="927" t="str">
        <f t="shared" si="521"/>
        <v>Forest Residues (Cellulosic).Straight-Line</v>
      </c>
      <c r="B147" s="1076"/>
      <c r="C147" s="1076" t="str">
        <f t="shared" si="593"/>
        <v>Forest Residues (Cellulosic)</v>
      </c>
      <c r="D147" s="1076" t="str">
        <f>Assumptions!$AH$81</f>
        <v>Straight-Line</v>
      </c>
      <c r="E147" s="1076" t="str">
        <f t="shared" si="594"/>
        <v>Cogeneration Plant</v>
      </c>
      <c r="F147" s="1467">
        <f t="shared" si="594"/>
        <v>40000000</v>
      </c>
      <c r="G147" s="1467">
        <f t="shared" si="522"/>
        <v>49500000</v>
      </c>
      <c r="H147" s="1467">
        <f t="shared" si="523"/>
        <v>54450000.000000007</v>
      </c>
      <c r="I147" s="1467">
        <f t="shared" si="524"/>
        <v>54450000.000000007</v>
      </c>
      <c r="J147" s="1161">
        <f t="shared" si="596"/>
        <v>3.3333333333333333E-2</v>
      </c>
      <c r="K147" s="1107"/>
      <c r="L147" s="1467">
        <f t="shared" ref="L147:AA149" si="598">$I147*$J147</f>
        <v>1815000.0000000002</v>
      </c>
      <c r="M147" s="1467">
        <f t="shared" si="598"/>
        <v>1815000.0000000002</v>
      </c>
      <c r="N147" s="1467">
        <f t="shared" si="598"/>
        <v>1815000.0000000002</v>
      </c>
      <c r="O147" s="1467">
        <f t="shared" si="598"/>
        <v>1815000.0000000002</v>
      </c>
      <c r="P147" s="1467">
        <f t="shared" si="598"/>
        <v>1815000.0000000002</v>
      </c>
      <c r="Q147" s="1467">
        <f t="shared" si="598"/>
        <v>1815000.0000000002</v>
      </c>
      <c r="R147" s="1467">
        <f t="shared" si="598"/>
        <v>1815000.0000000002</v>
      </c>
      <c r="S147" s="1467">
        <f t="shared" si="598"/>
        <v>1815000.0000000002</v>
      </c>
      <c r="T147" s="1467">
        <f t="shared" si="598"/>
        <v>1815000.0000000002</v>
      </c>
      <c r="U147" s="1467">
        <f t="shared" si="598"/>
        <v>1815000.0000000002</v>
      </c>
      <c r="V147" s="1467">
        <f t="shared" si="598"/>
        <v>1815000.0000000002</v>
      </c>
      <c r="W147" s="1467">
        <f t="shared" si="598"/>
        <v>1815000.0000000002</v>
      </c>
      <c r="X147" s="1467">
        <f t="shared" si="598"/>
        <v>1815000.0000000002</v>
      </c>
      <c r="Y147" s="1467">
        <f t="shared" si="598"/>
        <v>1815000.0000000002</v>
      </c>
      <c r="Z147" s="1467">
        <f t="shared" si="598"/>
        <v>1815000.0000000002</v>
      </c>
      <c r="AA147" s="1467">
        <f t="shared" si="598"/>
        <v>1815000.0000000002</v>
      </c>
      <c r="AB147" s="1467">
        <f t="shared" si="595"/>
        <v>1815000.0000000002</v>
      </c>
      <c r="AC147" s="1467">
        <f t="shared" si="595"/>
        <v>1815000.0000000002</v>
      </c>
      <c r="AD147" s="1467">
        <f t="shared" si="595"/>
        <v>1815000.0000000002</v>
      </c>
      <c r="AE147" s="1467">
        <f t="shared" si="595"/>
        <v>1815000.0000000002</v>
      </c>
      <c r="AF147" s="1467">
        <f t="shared" si="595"/>
        <v>1815000.0000000002</v>
      </c>
      <c r="AG147" s="1467">
        <f t="shared" si="595"/>
        <v>1815000.0000000002</v>
      </c>
      <c r="AH147" s="1467">
        <f t="shared" si="595"/>
        <v>1815000.0000000002</v>
      </c>
      <c r="AI147" s="1467">
        <f t="shared" si="595"/>
        <v>1815000.0000000002</v>
      </c>
      <c r="AJ147" s="1467">
        <f t="shared" si="595"/>
        <v>1815000.0000000002</v>
      </c>
      <c r="AK147" s="1467">
        <f t="shared" si="595"/>
        <v>1815000.0000000002</v>
      </c>
      <c r="AL147" s="1467">
        <f t="shared" si="595"/>
        <v>1815000.0000000002</v>
      </c>
      <c r="AM147" s="1467">
        <f t="shared" si="595"/>
        <v>1815000.0000000002</v>
      </c>
      <c r="AN147" s="1467">
        <f t="shared" si="595"/>
        <v>1815000.0000000002</v>
      </c>
      <c r="AO147" s="1467">
        <f t="shared" si="595"/>
        <v>1815000.0000000002</v>
      </c>
      <c r="AP147" s="1468">
        <f t="shared" si="597"/>
        <v>54450000.000000007</v>
      </c>
      <c r="AQ147" s="1482"/>
      <c r="AR147" s="1467">
        <f t="shared" si="527"/>
        <v>52635000.000000007</v>
      </c>
      <c r="AS147" s="1467">
        <f t="shared" si="528"/>
        <v>50820000.000000007</v>
      </c>
      <c r="AT147" s="1467">
        <f t="shared" si="529"/>
        <v>49005000.000000007</v>
      </c>
      <c r="AU147" s="1467">
        <f t="shared" si="530"/>
        <v>47190000.000000007</v>
      </c>
      <c r="AV147" s="1467">
        <f t="shared" si="531"/>
        <v>45375000.000000007</v>
      </c>
      <c r="AW147" s="1467">
        <f t="shared" si="532"/>
        <v>43560000.000000007</v>
      </c>
      <c r="AX147" s="1467">
        <f t="shared" si="533"/>
        <v>41745000.000000007</v>
      </c>
      <c r="AY147" s="1467">
        <f t="shared" si="534"/>
        <v>39930000.000000007</v>
      </c>
      <c r="AZ147" s="1467">
        <f t="shared" si="535"/>
        <v>38115000.000000007</v>
      </c>
      <c r="BA147" s="1467">
        <f t="shared" si="536"/>
        <v>36300000.000000007</v>
      </c>
      <c r="BB147" s="1467">
        <f t="shared" si="537"/>
        <v>34485000.000000007</v>
      </c>
      <c r="BC147" s="1467">
        <f t="shared" si="538"/>
        <v>32670000.000000007</v>
      </c>
      <c r="BD147" s="1467">
        <f t="shared" si="539"/>
        <v>30855000.000000007</v>
      </c>
      <c r="BE147" s="1467">
        <f t="shared" si="540"/>
        <v>29040000.000000007</v>
      </c>
      <c r="BF147" s="1467">
        <f t="shared" si="541"/>
        <v>27225000.000000007</v>
      </c>
      <c r="BG147" s="1467">
        <f t="shared" si="542"/>
        <v>25410000.000000007</v>
      </c>
      <c r="BH147" s="1467">
        <f t="shared" si="543"/>
        <v>23595000.000000007</v>
      </c>
      <c r="BI147" s="1467">
        <f t="shared" si="544"/>
        <v>21780000.000000007</v>
      </c>
      <c r="BJ147" s="1467">
        <f t="shared" si="556"/>
        <v>19965000.000000007</v>
      </c>
      <c r="BK147" s="1467">
        <f t="shared" si="557"/>
        <v>18150000.000000007</v>
      </c>
      <c r="BL147" s="1467">
        <f t="shared" si="558"/>
        <v>16335000.000000007</v>
      </c>
      <c r="BM147" s="1467">
        <f t="shared" si="547"/>
        <v>14520000.000000007</v>
      </c>
      <c r="BN147" s="1467">
        <f t="shared" si="548"/>
        <v>12705000.000000007</v>
      </c>
      <c r="BO147" s="1467">
        <f t="shared" si="549"/>
        <v>10890000.000000007</v>
      </c>
      <c r="BP147" s="1467">
        <f t="shared" si="550"/>
        <v>9075000.0000000075</v>
      </c>
      <c r="BQ147" s="1467">
        <f t="shared" si="551"/>
        <v>7260000.0000000075</v>
      </c>
      <c r="BR147" s="1467">
        <f t="shared" si="552"/>
        <v>5445000.0000000075</v>
      </c>
      <c r="BS147" s="1467">
        <f t="shared" si="553"/>
        <v>3630000.0000000075</v>
      </c>
      <c r="BT147" s="1467">
        <f t="shared" si="554"/>
        <v>1815000.0000000072</v>
      </c>
      <c r="BU147" s="1467">
        <f t="shared" si="555"/>
        <v>6.9849193096160889E-9</v>
      </c>
      <c r="BV147" s="1485"/>
    </row>
    <row r="148" spans="1:74" x14ac:dyDescent="0.2">
      <c r="A148" s="927" t="str">
        <f t="shared" si="521"/>
        <v>Forest Residues (Cellulosic).Straight-Line</v>
      </c>
      <c r="B148" s="1168"/>
      <c r="C148" s="1168" t="str">
        <f t="shared" si="593"/>
        <v>Forest Residues (Cellulosic)</v>
      </c>
      <c r="D148" s="1168" t="str">
        <f>Assumptions!$AH$81</f>
        <v>Straight-Line</v>
      </c>
      <c r="E148" s="1168" t="str">
        <f t="shared" si="594"/>
        <v>Non-process buildings</v>
      </c>
      <c r="F148" s="1469">
        <f t="shared" si="594"/>
        <v>5000000</v>
      </c>
      <c r="G148" s="1469">
        <f t="shared" si="522"/>
        <v>6187500</v>
      </c>
      <c r="H148" s="1469">
        <f t="shared" si="523"/>
        <v>6806250.0000000009</v>
      </c>
      <c r="I148" s="1469">
        <f t="shared" si="524"/>
        <v>6806250.0000000009</v>
      </c>
      <c r="J148" s="1473">
        <f t="shared" si="596"/>
        <v>3.3333333333333333E-2</v>
      </c>
      <c r="K148" s="1107"/>
      <c r="L148" s="1467">
        <f t="shared" si="598"/>
        <v>226875.00000000003</v>
      </c>
      <c r="M148" s="1467">
        <f t="shared" si="598"/>
        <v>226875.00000000003</v>
      </c>
      <c r="N148" s="1467">
        <f t="shared" si="598"/>
        <v>226875.00000000003</v>
      </c>
      <c r="O148" s="1467">
        <f t="shared" si="598"/>
        <v>226875.00000000003</v>
      </c>
      <c r="P148" s="1467">
        <f t="shared" si="598"/>
        <v>226875.00000000003</v>
      </c>
      <c r="Q148" s="1467">
        <f t="shared" si="598"/>
        <v>226875.00000000003</v>
      </c>
      <c r="R148" s="1467">
        <f t="shared" si="598"/>
        <v>226875.00000000003</v>
      </c>
      <c r="S148" s="1467">
        <f t="shared" si="598"/>
        <v>226875.00000000003</v>
      </c>
      <c r="T148" s="1467">
        <f t="shared" si="598"/>
        <v>226875.00000000003</v>
      </c>
      <c r="U148" s="1467">
        <f t="shared" si="598"/>
        <v>226875.00000000003</v>
      </c>
      <c r="V148" s="1467">
        <f t="shared" si="598"/>
        <v>226875.00000000003</v>
      </c>
      <c r="W148" s="1467">
        <f t="shared" si="598"/>
        <v>226875.00000000003</v>
      </c>
      <c r="X148" s="1467">
        <f t="shared" si="598"/>
        <v>226875.00000000003</v>
      </c>
      <c r="Y148" s="1467">
        <f t="shared" si="598"/>
        <v>226875.00000000003</v>
      </c>
      <c r="Z148" s="1467">
        <f t="shared" si="598"/>
        <v>226875.00000000003</v>
      </c>
      <c r="AA148" s="1467">
        <f t="shared" si="598"/>
        <v>226875.00000000003</v>
      </c>
      <c r="AB148" s="1467">
        <f t="shared" si="595"/>
        <v>226875.00000000003</v>
      </c>
      <c r="AC148" s="1467">
        <f t="shared" si="595"/>
        <v>226875.00000000003</v>
      </c>
      <c r="AD148" s="1467">
        <f t="shared" si="595"/>
        <v>226875.00000000003</v>
      </c>
      <c r="AE148" s="1467">
        <f t="shared" si="595"/>
        <v>226875.00000000003</v>
      </c>
      <c r="AF148" s="1467">
        <f t="shared" si="595"/>
        <v>226875.00000000003</v>
      </c>
      <c r="AG148" s="1467">
        <f t="shared" si="595"/>
        <v>226875.00000000003</v>
      </c>
      <c r="AH148" s="1467">
        <f t="shared" si="595"/>
        <v>226875.00000000003</v>
      </c>
      <c r="AI148" s="1467">
        <f t="shared" si="595"/>
        <v>226875.00000000003</v>
      </c>
      <c r="AJ148" s="1467">
        <f t="shared" si="595"/>
        <v>226875.00000000003</v>
      </c>
      <c r="AK148" s="1467">
        <f t="shared" si="595"/>
        <v>226875.00000000003</v>
      </c>
      <c r="AL148" s="1467">
        <f t="shared" si="595"/>
        <v>226875.00000000003</v>
      </c>
      <c r="AM148" s="1467">
        <f t="shared" si="595"/>
        <v>226875.00000000003</v>
      </c>
      <c r="AN148" s="1467">
        <f t="shared" si="595"/>
        <v>226875.00000000003</v>
      </c>
      <c r="AO148" s="1467">
        <f t="shared" si="595"/>
        <v>226875.00000000003</v>
      </c>
      <c r="AP148" s="1468">
        <f t="shared" si="597"/>
        <v>6806250.0000000009</v>
      </c>
      <c r="AQ148" s="1482"/>
      <c r="AR148" s="1467">
        <f t="shared" si="527"/>
        <v>6579375.0000000009</v>
      </c>
      <c r="AS148" s="1467">
        <f t="shared" si="528"/>
        <v>6352500.0000000009</v>
      </c>
      <c r="AT148" s="1467">
        <f t="shared" si="529"/>
        <v>6125625.0000000009</v>
      </c>
      <c r="AU148" s="1467">
        <f t="shared" si="530"/>
        <v>5898750.0000000009</v>
      </c>
      <c r="AV148" s="1467">
        <f t="shared" si="531"/>
        <v>5671875.0000000009</v>
      </c>
      <c r="AW148" s="1467">
        <f t="shared" si="532"/>
        <v>5445000.0000000009</v>
      </c>
      <c r="AX148" s="1467">
        <f t="shared" si="533"/>
        <v>5218125.0000000009</v>
      </c>
      <c r="AY148" s="1467">
        <f t="shared" si="534"/>
        <v>4991250.0000000009</v>
      </c>
      <c r="AZ148" s="1467">
        <f t="shared" si="535"/>
        <v>4764375.0000000009</v>
      </c>
      <c r="BA148" s="1467">
        <f t="shared" si="536"/>
        <v>4537500.0000000009</v>
      </c>
      <c r="BB148" s="1467">
        <f t="shared" si="537"/>
        <v>4310625.0000000009</v>
      </c>
      <c r="BC148" s="1467">
        <f t="shared" si="538"/>
        <v>4083750.0000000009</v>
      </c>
      <c r="BD148" s="1467">
        <f t="shared" si="539"/>
        <v>3856875.0000000009</v>
      </c>
      <c r="BE148" s="1467">
        <f t="shared" si="540"/>
        <v>3630000.0000000009</v>
      </c>
      <c r="BF148" s="1467">
        <f t="shared" si="541"/>
        <v>3403125.0000000009</v>
      </c>
      <c r="BG148" s="1467">
        <f t="shared" si="542"/>
        <v>3176250.0000000009</v>
      </c>
      <c r="BH148" s="1467">
        <f t="shared" si="543"/>
        <v>2949375.0000000009</v>
      </c>
      <c r="BI148" s="1467">
        <f t="shared" si="544"/>
        <v>2722500.0000000009</v>
      </c>
      <c r="BJ148" s="1467">
        <f t="shared" si="556"/>
        <v>2495625.0000000009</v>
      </c>
      <c r="BK148" s="1467">
        <f t="shared" si="557"/>
        <v>2268750.0000000009</v>
      </c>
      <c r="BL148" s="1467">
        <f t="shared" si="558"/>
        <v>2041875.0000000009</v>
      </c>
      <c r="BM148" s="1467">
        <f t="shared" si="547"/>
        <v>1815000.0000000009</v>
      </c>
      <c r="BN148" s="1467">
        <f t="shared" si="548"/>
        <v>1588125.0000000009</v>
      </c>
      <c r="BO148" s="1467">
        <f t="shared" si="549"/>
        <v>1361250.0000000009</v>
      </c>
      <c r="BP148" s="1467">
        <f t="shared" si="550"/>
        <v>1134375.0000000009</v>
      </c>
      <c r="BQ148" s="1467">
        <f t="shared" si="551"/>
        <v>907500.00000000093</v>
      </c>
      <c r="BR148" s="1467">
        <f t="shared" si="552"/>
        <v>680625.00000000093</v>
      </c>
      <c r="BS148" s="1467">
        <f t="shared" si="553"/>
        <v>453750.00000000093</v>
      </c>
      <c r="BT148" s="1467">
        <f t="shared" si="554"/>
        <v>226875.0000000009</v>
      </c>
      <c r="BU148" s="1467">
        <f t="shared" si="555"/>
        <v>8.7311491370201111E-10</v>
      </c>
      <c r="BV148" s="1485"/>
    </row>
    <row r="149" spans="1:74" x14ac:dyDescent="0.2">
      <c r="B149" s="1470"/>
      <c r="C149" s="1470" t="str">
        <f t="shared" si="593"/>
        <v>Forest Residues (Cellulosic)</v>
      </c>
      <c r="D149" s="1470" t="str">
        <f>Assumptions!$AH$81</f>
        <v>Straight-Line</v>
      </c>
      <c r="E149" s="1470" t="s">
        <v>995</v>
      </c>
      <c r="F149" s="1470"/>
      <c r="G149" s="1486">
        <f>G138</f>
        <v>24500000</v>
      </c>
      <c r="H149" s="1471">
        <f t="shared" ref="H149" si="599">G149*(1+$F$5)</f>
        <v>26950000.000000004</v>
      </c>
      <c r="I149" s="1471">
        <f t="shared" ref="I149" si="600">H149*(1+$F$6)</f>
        <v>26950000.000000004</v>
      </c>
      <c r="J149" s="1475">
        <f t="shared" si="596"/>
        <v>3.3333333333333333E-2</v>
      </c>
      <c r="K149" s="1107"/>
      <c r="L149" s="1467">
        <f t="shared" si="598"/>
        <v>898333.33333333349</v>
      </c>
      <c r="M149" s="1467">
        <f t="shared" si="598"/>
        <v>898333.33333333349</v>
      </c>
      <c r="N149" s="1467">
        <f t="shared" si="598"/>
        <v>898333.33333333349</v>
      </c>
      <c r="O149" s="1467">
        <f t="shared" si="598"/>
        <v>898333.33333333349</v>
      </c>
      <c r="P149" s="1467">
        <f t="shared" si="598"/>
        <v>898333.33333333349</v>
      </c>
      <c r="Q149" s="1467">
        <f t="shared" si="598"/>
        <v>898333.33333333349</v>
      </c>
      <c r="R149" s="1467">
        <f t="shared" si="598"/>
        <v>898333.33333333349</v>
      </c>
      <c r="S149" s="1467">
        <f t="shared" si="598"/>
        <v>898333.33333333349</v>
      </c>
      <c r="T149" s="1467">
        <f t="shared" si="598"/>
        <v>898333.33333333349</v>
      </c>
      <c r="U149" s="1467">
        <f t="shared" si="598"/>
        <v>898333.33333333349</v>
      </c>
      <c r="V149" s="1467">
        <f t="shared" si="598"/>
        <v>898333.33333333349</v>
      </c>
      <c r="W149" s="1467">
        <f t="shared" si="598"/>
        <v>898333.33333333349</v>
      </c>
      <c r="X149" s="1467">
        <f t="shared" si="598"/>
        <v>898333.33333333349</v>
      </c>
      <c r="Y149" s="1467">
        <f t="shared" si="598"/>
        <v>898333.33333333349</v>
      </c>
      <c r="Z149" s="1467">
        <f t="shared" si="598"/>
        <v>898333.33333333349</v>
      </c>
      <c r="AA149" s="1467">
        <f t="shared" si="598"/>
        <v>898333.33333333349</v>
      </c>
      <c r="AB149" s="1467">
        <f t="shared" si="595"/>
        <v>898333.33333333349</v>
      </c>
      <c r="AC149" s="1467">
        <f t="shared" si="595"/>
        <v>898333.33333333349</v>
      </c>
      <c r="AD149" s="1467">
        <f t="shared" si="595"/>
        <v>898333.33333333349</v>
      </c>
      <c r="AE149" s="1467">
        <f t="shared" si="595"/>
        <v>898333.33333333349</v>
      </c>
      <c r="AF149" s="1467">
        <f t="shared" si="595"/>
        <v>898333.33333333349</v>
      </c>
      <c r="AG149" s="1467">
        <f t="shared" si="595"/>
        <v>898333.33333333349</v>
      </c>
      <c r="AH149" s="1467">
        <f t="shared" si="595"/>
        <v>898333.33333333349</v>
      </c>
      <c r="AI149" s="1467">
        <f t="shared" si="595"/>
        <v>898333.33333333349</v>
      </c>
      <c r="AJ149" s="1467">
        <f t="shared" si="595"/>
        <v>898333.33333333349</v>
      </c>
      <c r="AK149" s="1467">
        <f t="shared" si="595"/>
        <v>898333.33333333349</v>
      </c>
      <c r="AL149" s="1467">
        <f t="shared" si="595"/>
        <v>898333.33333333349</v>
      </c>
      <c r="AM149" s="1467">
        <f t="shared" si="595"/>
        <v>898333.33333333349</v>
      </c>
      <c r="AN149" s="1467">
        <f t="shared" si="595"/>
        <v>898333.33333333349</v>
      </c>
      <c r="AO149" s="1467">
        <f t="shared" si="595"/>
        <v>898333.33333333349</v>
      </c>
      <c r="AP149" s="1468">
        <f t="shared" ref="AP149" si="601">SUM(L149:AO149)</f>
        <v>26949999.999999996</v>
      </c>
      <c r="AQ149" s="1482"/>
      <c r="AR149" s="1467">
        <f t="shared" ref="AR149" si="602">I149-L149</f>
        <v>26051666.666666672</v>
      </c>
      <c r="AS149" s="1467">
        <f t="shared" ref="AS149" si="603">AR149-M149</f>
        <v>25153333.33333334</v>
      </c>
      <c r="AT149" s="1467">
        <f t="shared" ref="AT149" si="604">AS149-N149</f>
        <v>24255000.000000007</v>
      </c>
      <c r="AU149" s="1467">
        <f t="shared" ref="AU149" si="605">AT149-O149</f>
        <v>23356666.666666675</v>
      </c>
      <c r="AV149" s="1467">
        <f t="shared" ref="AV149" si="606">AU149-P149</f>
        <v>22458333.333333343</v>
      </c>
      <c r="AW149" s="1467">
        <f t="shared" ref="AW149" si="607">AV149-Q149</f>
        <v>21560000.000000011</v>
      </c>
      <c r="AX149" s="1467">
        <f t="shared" ref="AX149" si="608">AW149-R149</f>
        <v>20661666.666666679</v>
      </c>
      <c r="AY149" s="1467">
        <f t="shared" ref="AY149" si="609">AX149-S149</f>
        <v>19763333.333333347</v>
      </c>
      <c r="AZ149" s="1467">
        <f t="shared" ref="AZ149" si="610">AY149-T149</f>
        <v>18865000.000000015</v>
      </c>
      <c r="BA149" s="1467">
        <f t="shared" ref="BA149" si="611">AZ149-U149</f>
        <v>17966666.666666683</v>
      </c>
      <c r="BB149" s="1467">
        <f t="shared" ref="BB149" si="612">BA149-V149</f>
        <v>17068333.333333351</v>
      </c>
      <c r="BC149" s="1467">
        <f t="shared" ref="BC149" si="613">BB149-W149</f>
        <v>16170000.000000017</v>
      </c>
      <c r="BD149" s="1467">
        <f t="shared" ref="BD149" si="614">BC149-X149</f>
        <v>15271666.666666683</v>
      </c>
      <c r="BE149" s="1467">
        <f t="shared" ref="BE149" si="615">BD149-Y149</f>
        <v>14373333.333333349</v>
      </c>
      <c r="BF149" s="1467">
        <f t="shared" ref="BF149" si="616">BE149-Z149</f>
        <v>13475000.000000015</v>
      </c>
      <c r="BG149" s="1467">
        <f t="shared" ref="BG149" si="617">BF149-AA149</f>
        <v>12576666.666666681</v>
      </c>
      <c r="BH149" s="1467">
        <f t="shared" ref="BH149" si="618">BG149-AB149</f>
        <v>11678333.333333347</v>
      </c>
      <c r="BI149" s="1467">
        <f t="shared" ref="BI149" si="619">BH149-AC149</f>
        <v>10780000.000000013</v>
      </c>
      <c r="BJ149" s="1467">
        <f t="shared" ref="BJ149" si="620">BI149-AD149</f>
        <v>9881666.6666666791</v>
      </c>
      <c r="BK149" s="1467">
        <f t="shared" ref="BK149" si="621">BJ149-AE149</f>
        <v>8983333.3333333451</v>
      </c>
      <c r="BL149" s="1467">
        <f t="shared" ref="BL149" si="622">BK149-AF149</f>
        <v>8085000.0000000112</v>
      </c>
      <c r="BM149" s="1467">
        <f t="shared" ref="BM149" si="623">BL149-AG149</f>
        <v>7186666.6666666772</v>
      </c>
      <c r="BN149" s="1467">
        <f t="shared" ref="BN149" si="624">BM149-AH149</f>
        <v>6288333.3333333433</v>
      </c>
      <c r="BO149" s="1467">
        <f t="shared" ref="BO149" si="625">BN149-AI149</f>
        <v>5390000.0000000093</v>
      </c>
      <c r="BP149" s="1467">
        <f t="shared" ref="BP149" si="626">BO149-AJ149</f>
        <v>4491666.6666666754</v>
      </c>
      <c r="BQ149" s="1467">
        <f t="shared" ref="BQ149" si="627">BP149-AK149</f>
        <v>3593333.3333333419</v>
      </c>
      <c r="BR149" s="1467">
        <f t="shared" ref="BR149" si="628">BQ149-AL149</f>
        <v>2695000.0000000084</v>
      </c>
      <c r="BS149" s="1467">
        <f t="shared" ref="BS149" si="629">BR149-AM149</f>
        <v>1796666.6666666749</v>
      </c>
      <c r="BT149" s="1467">
        <f t="shared" ref="BT149" si="630">BS149-AN149</f>
        <v>898333.3333333414</v>
      </c>
      <c r="BU149" s="1467">
        <f t="shared" ref="BU149" si="631">BT149-AO149</f>
        <v>7.9162418842315674E-9</v>
      </c>
      <c r="BV149" s="1485"/>
    </row>
    <row r="150" spans="1:74" hidden="1" x14ac:dyDescent="0.2">
      <c r="B150" s="1297" t="str">
        <f>"Total Depreciation "&amp;C129&amp;" ("&amp;B128&amp;") over 30 years"</f>
        <v>Total Depreciation Forest Residues (Cellulosic) (Accelerated) over 30 years</v>
      </c>
      <c r="C150" s="1107"/>
      <c r="D150" s="1107"/>
      <c r="E150" s="1107"/>
      <c r="F150" s="1107"/>
      <c r="G150" s="1107">
        <f t="shared" ref="G150:G151" si="632">F150*(1+$F$4)</f>
        <v>0</v>
      </c>
      <c r="H150" s="1107">
        <f t="shared" ref="H150:H151" si="633">G150*(1+$F$5)</f>
        <v>0</v>
      </c>
      <c r="I150" s="1107">
        <f t="shared" ref="I150" si="634">H150*(1+$F$6)</f>
        <v>0</v>
      </c>
      <c r="J150" s="1472">
        <f>IFERROR(INDEX(Assumptions!$AI$82:$AI$164,MATCH(Depreciation!$D150,Assumptions!$AH$81:$AH$163,0)),0)</f>
        <v>0</v>
      </c>
      <c r="K150" s="1107"/>
      <c r="L150" s="1468">
        <f t="shared" ref="L150:AP150" si="635">SUM(L129:L137)</f>
        <v>51999750</v>
      </c>
      <c r="M150" s="1468">
        <f t="shared" si="635"/>
        <v>41599800</v>
      </c>
      <c r="N150" s="1468">
        <f t="shared" si="635"/>
        <v>33279840</v>
      </c>
      <c r="O150" s="1468">
        <f t="shared" si="635"/>
        <v>26623872</v>
      </c>
      <c r="P150" s="1468">
        <f t="shared" si="635"/>
        <v>21299097.600000001</v>
      </c>
      <c r="Q150" s="1468">
        <f t="shared" si="635"/>
        <v>17039278.079999998</v>
      </c>
      <c r="R150" s="1468">
        <f t="shared" si="635"/>
        <v>13631422.464</v>
      </c>
      <c r="S150" s="1468">
        <f t="shared" si="635"/>
        <v>10905137.971199999</v>
      </c>
      <c r="T150" s="1468">
        <f t="shared" si="635"/>
        <v>8724110.3769600019</v>
      </c>
      <c r="U150" s="1468">
        <f t="shared" si="635"/>
        <v>6979288.3015680006</v>
      </c>
      <c r="V150" s="1468">
        <f t="shared" si="635"/>
        <v>5583430.641254398</v>
      </c>
      <c r="W150" s="1468">
        <f t="shared" si="635"/>
        <v>4466744.5130035188</v>
      </c>
      <c r="X150" s="1468">
        <f t="shared" si="635"/>
        <v>3573395.6104028146</v>
      </c>
      <c r="Y150" s="1468">
        <f t="shared" si="635"/>
        <v>2858716.4883222529</v>
      </c>
      <c r="Z150" s="1468">
        <f t="shared" si="635"/>
        <v>2286973.1906578015</v>
      </c>
      <c r="AA150" s="1468">
        <f t="shared" si="635"/>
        <v>1829578.5525262419</v>
      </c>
      <c r="AB150" s="1468">
        <f t="shared" si="635"/>
        <v>1463662.8420209945</v>
      </c>
      <c r="AC150" s="1468">
        <f t="shared" si="635"/>
        <v>1170930.2736167982</v>
      </c>
      <c r="AD150" s="1468">
        <f t="shared" si="635"/>
        <v>936744.21889344067</v>
      </c>
      <c r="AE150" s="1468">
        <f t="shared" si="635"/>
        <v>749395.37511475268</v>
      </c>
      <c r="AF150" s="1468">
        <f t="shared" si="635"/>
        <v>599516.30009180459</v>
      </c>
      <c r="AG150" s="1468">
        <f t="shared" si="635"/>
        <v>479613.04007344472</v>
      </c>
      <c r="AH150" s="1468">
        <f t="shared" si="635"/>
        <v>383690.43205875601</v>
      </c>
      <c r="AI150" s="1468">
        <f t="shared" si="635"/>
        <v>306952.34564700653</v>
      </c>
      <c r="AJ150" s="1468">
        <f t="shared" si="635"/>
        <v>245561.87651760434</v>
      </c>
      <c r="AK150" s="1468">
        <f t="shared" si="635"/>
        <v>196449.50121408215</v>
      </c>
      <c r="AL150" s="1468">
        <f t="shared" si="635"/>
        <v>157159.60097126776</v>
      </c>
      <c r="AM150" s="1468">
        <f t="shared" si="635"/>
        <v>125727.6807770163</v>
      </c>
      <c r="AN150" s="1468">
        <f t="shared" si="635"/>
        <v>100582.14462161438</v>
      </c>
      <c r="AO150" s="1468">
        <f t="shared" si="635"/>
        <v>80465.715697293723</v>
      </c>
      <c r="AP150" s="1468">
        <f t="shared" si="635"/>
        <v>259676887.13721085</v>
      </c>
      <c r="AQ150" s="1482"/>
      <c r="AR150" s="1297"/>
      <c r="AS150" s="1297"/>
      <c r="AT150" s="1297"/>
      <c r="AU150" s="1297"/>
      <c r="AV150" s="1297"/>
      <c r="AW150" s="1297"/>
      <c r="AX150" s="1297"/>
      <c r="AY150" s="1297"/>
      <c r="AZ150" s="1297"/>
      <c r="BA150" s="1297"/>
      <c r="BB150" s="1297"/>
      <c r="BC150" s="1297"/>
      <c r="BD150" s="1297"/>
      <c r="BE150" s="1297"/>
      <c r="BF150" s="1297"/>
      <c r="BG150" s="1297"/>
      <c r="BH150" s="1297"/>
      <c r="BI150" s="1297"/>
      <c r="BJ150" s="1297"/>
      <c r="BK150" s="1297"/>
      <c r="BL150" s="1297"/>
      <c r="BM150" s="1297"/>
      <c r="BN150" s="1297"/>
      <c r="BO150" s="1297"/>
      <c r="BP150" s="1297"/>
      <c r="BQ150" s="1297"/>
      <c r="BR150" s="1297"/>
      <c r="BS150" s="1297"/>
      <c r="BT150" s="1297"/>
      <c r="BU150" s="1297"/>
      <c r="BV150" s="1485"/>
    </row>
    <row r="151" spans="1:74" x14ac:dyDescent="0.2">
      <c r="B151" s="1297" t="str">
        <f>"Total Depreciation "&amp;C129&amp;" ("&amp;B139&amp;") over 30 years"</f>
        <v>Total Depreciation Forest Residues (Cellulosic) (Straight-Line) over 30 years</v>
      </c>
      <c r="C151" s="1107"/>
      <c r="D151" s="1107"/>
      <c r="E151" s="1107"/>
      <c r="F151" s="1107"/>
      <c r="G151" s="1107">
        <f t="shared" si="632"/>
        <v>0</v>
      </c>
      <c r="H151" s="1107">
        <f t="shared" si="633"/>
        <v>0</v>
      </c>
      <c r="I151" s="1468">
        <f>SUM(I140:I149)</f>
        <v>286948750</v>
      </c>
      <c r="J151" s="1472">
        <f>IFERROR(INDEX(Assumptions!$AI$82:$AI$164,MATCH(Depreciation!$D151,Assumptions!$AH$81:$AH$163,0)),0)</f>
        <v>0</v>
      </c>
      <c r="K151" s="1107"/>
      <c r="L151" s="1468">
        <f>SUM(L140:L149)</f>
        <v>9564958.333333334</v>
      </c>
      <c r="M151" s="1468">
        <f t="shared" ref="M151:AO151" si="636">SUM(M140:M149)</f>
        <v>9564958.333333334</v>
      </c>
      <c r="N151" s="1468">
        <f t="shared" si="636"/>
        <v>9564958.333333334</v>
      </c>
      <c r="O151" s="1468">
        <f t="shared" si="636"/>
        <v>9564958.333333334</v>
      </c>
      <c r="P151" s="1468">
        <f t="shared" si="636"/>
        <v>9564958.333333334</v>
      </c>
      <c r="Q151" s="1468">
        <f t="shared" si="636"/>
        <v>9564958.333333334</v>
      </c>
      <c r="R151" s="1468">
        <f t="shared" si="636"/>
        <v>9564958.333333334</v>
      </c>
      <c r="S151" s="1468">
        <f t="shared" si="636"/>
        <v>9564958.333333334</v>
      </c>
      <c r="T151" s="1468">
        <f t="shared" si="636"/>
        <v>9564958.333333334</v>
      </c>
      <c r="U151" s="1468">
        <f t="shared" si="636"/>
        <v>9564958.333333334</v>
      </c>
      <c r="V151" s="1468">
        <f t="shared" si="636"/>
        <v>9564958.333333334</v>
      </c>
      <c r="W151" s="1468">
        <f t="shared" si="636"/>
        <v>9564958.333333334</v>
      </c>
      <c r="X151" s="1468">
        <f t="shared" si="636"/>
        <v>9564958.333333334</v>
      </c>
      <c r="Y151" s="1468">
        <f t="shared" si="636"/>
        <v>9564958.333333334</v>
      </c>
      <c r="Z151" s="1468">
        <f t="shared" si="636"/>
        <v>9564958.333333334</v>
      </c>
      <c r="AA151" s="1468">
        <f t="shared" si="636"/>
        <v>9564958.333333334</v>
      </c>
      <c r="AB151" s="1468">
        <f t="shared" si="636"/>
        <v>9564958.333333334</v>
      </c>
      <c r="AC151" s="1468">
        <f t="shared" si="636"/>
        <v>9564958.333333334</v>
      </c>
      <c r="AD151" s="1468">
        <f t="shared" si="636"/>
        <v>9564958.333333334</v>
      </c>
      <c r="AE151" s="1468">
        <f t="shared" si="636"/>
        <v>9564958.333333334</v>
      </c>
      <c r="AF151" s="1468">
        <f t="shared" si="636"/>
        <v>9564958.333333334</v>
      </c>
      <c r="AG151" s="1468">
        <f t="shared" si="636"/>
        <v>9564958.333333334</v>
      </c>
      <c r="AH151" s="1468">
        <f t="shared" si="636"/>
        <v>9564958.333333334</v>
      </c>
      <c r="AI151" s="1468">
        <f t="shared" si="636"/>
        <v>9564958.333333334</v>
      </c>
      <c r="AJ151" s="1468">
        <f t="shared" si="636"/>
        <v>9564958.333333334</v>
      </c>
      <c r="AK151" s="1468">
        <f t="shared" si="636"/>
        <v>9564958.333333334</v>
      </c>
      <c r="AL151" s="1468">
        <f t="shared" si="636"/>
        <v>9564958.333333334</v>
      </c>
      <c r="AM151" s="1468">
        <f t="shared" si="636"/>
        <v>9564958.333333334</v>
      </c>
      <c r="AN151" s="1468">
        <f t="shared" si="636"/>
        <v>9564958.333333334</v>
      </c>
      <c r="AO151" s="1468">
        <f t="shared" si="636"/>
        <v>9564958.333333334</v>
      </c>
      <c r="AP151" s="1468">
        <f>SUM(AP140:AP149)</f>
        <v>286948750</v>
      </c>
      <c r="AQ151" s="1482"/>
      <c r="AR151" s="1297"/>
      <c r="AS151" s="1297"/>
      <c r="AT151" s="1297"/>
      <c r="AU151" s="1297"/>
      <c r="AV151" s="1297"/>
      <c r="AW151" s="1297"/>
      <c r="AX151" s="1297"/>
      <c r="AY151" s="1297"/>
      <c r="AZ151" s="1297"/>
      <c r="BA151" s="1297"/>
      <c r="BB151" s="1297"/>
      <c r="BC151" s="1297"/>
      <c r="BD151" s="1297"/>
      <c r="BE151" s="1297"/>
      <c r="BF151" s="1297"/>
      <c r="BG151" s="1297"/>
      <c r="BH151" s="1297"/>
      <c r="BI151" s="1297"/>
      <c r="BJ151" s="1297"/>
      <c r="BK151" s="1297"/>
      <c r="BL151" s="1297"/>
      <c r="BM151" s="1297"/>
      <c r="BN151" s="1297"/>
      <c r="BO151" s="1297"/>
      <c r="BP151" s="1297"/>
      <c r="BQ151" s="1297"/>
      <c r="BR151" s="1297"/>
      <c r="BS151" s="1297"/>
      <c r="BT151" s="1297"/>
      <c r="BU151" s="1297"/>
      <c r="BV151" s="1485"/>
    </row>
    <row r="152" spans="1:74" x14ac:dyDescent="0.2">
      <c r="L152" s="1476"/>
    </row>
    <row r="154" spans="1:74" ht="15" x14ac:dyDescent="0.25">
      <c r="B154" s="1487" t="s">
        <v>854</v>
      </c>
      <c r="C154" s="1488"/>
      <c r="D154" s="1488"/>
      <c r="E154" s="1488"/>
      <c r="F154" s="1488"/>
      <c r="G154" s="1488"/>
      <c r="H154" s="1488"/>
      <c r="I154" s="1488"/>
      <c r="J154" s="1488"/>
      <c r="K154" s="1488"/>
      <c r="L154" s="1488"/>
      <c r="M154" s="1488"/>
      <c r="N154" s="1488"/>
      <c r="O154" s="1488"/>
      <c r="P154" s="1488"/>
      <c r="Q154" s="1488"/>
      <c r="R154" s="1488"/>
      <c r="S154" s="1488"/>
      <c r="T154" s="1488"/>
      <c r="U154" s="1488"/>
      <c r="V154" s="1488"/>
      <c r="W154" s="1488"/>
      <c r="X154" s="1488"/>
      <c r="Y154" s="1488"/>
      <c r="Z154" s="1488"/>
      <c r="AA154" s="1488"/>
      <c r="AB154" s="1488"/>
      <c r="AC154" s="1488"/>
      <c r="AD154" s="1488"/>
      <c r="AE154" s="1488"/>
      <c r="AF154" s="1488"/>
      <c r="AG154" s="1488"/>
      <c r="AH154" s="1488"/>
      <c r="AI154" s="1488"/>
      <c r="AJ154" s="1488"/>
      <c r="AK154" s="1488"/>
      <c r="AL154" s="1488"/>
      <c r="AM154" s="1488"/>
      <c r="AN154" s="1488"/>
      <c r="AO154" s="1488"/>
      <c r="AP154" s="1488"/>
      <c r="AQ154" s="1488"/>
      <c r="AR154" s="1488"/>
      <c r="AS154" s="1488"/>
      <c r="AT154" s="1488"/>
      <c r="AU154" s="1488"/>
      <c r="AV154" s="1488"/>
      <c r="AW154" s="1488"/>
      <c r="AX154" s="1488"/>
      <c r="AY154" s="1488"/>
      <c r="AZ154" s="1488"/>
      <c r="BA154" s="1488"/>
      <c r="BB154" s="1488"/>
      <c r="BC154" s="1488"/>
      <c r="BD154" s="1488"/>
      <c r="BE154" s="1488"/>
      <c r="BF154" s="1488"/>
      <c r="BG154" s="1488"/>
      <c r="BH154" s="1488"/>
      <c r="BI154" s="1488"/>
      <c r="BJ154" s="1488"/>
      <c r="BK154" s="1488"/>
      <c r="BL154" s="1488"/>
      <c r="BM154" s="1488"/>
      <c r="BN154" s="1488"/>
      <c r="BO154" s="1488"/>
      <c r="BP154" s="1488"/>
      <c r="BQ154" s="1488"/>
      <c r="BR154" s="1488"/>
      <c r="BS154" s="1488"/>
      <c r="BT154" s="1488"/>
      <c r="BU154" s="1488"/>
      <c r="BV154" s="1488"/>
    </row>
    <row r="155" spans="1:74" x14ac:dyDescent="0.2">
      <c r="B155" s="1297" t="str">
        <f>Assumptions!$AH$82</f>
        <v>Accelerated</v>
      </c>
      <c r="C155" s="1297"/>
      <c r="D155" s="1297"/>
      <c r="E155" s="1297"/>
      <c r="F155" s="1297"/>
      <c r="G155" s="1297"/>
      <c r="H155" s="1297"/>
      <c r="I155" s="1297"/>
      <c r="J155" s="1297"/>
      <c r="K155" s="1107"/>
      <c r="L155" s="1107"/>
      <c r="M155" s="1107"/>
      <c r="N155" s="1107"/>
      <c r="O155" s="1107"/>
      <c r="P155" s="1107"/>
      <c r="Q155" s="1107"/>
      <c r="R155" s="1107"/>
      <c r="S155" s="1107"/>
      <c r="T155" s="1107"/>
      <c r="U155" s="1107"/>
      <c r="V155" s="1107"/>
      <c r="W155" s="1107"/>
      <c r="X155" s="1107"/>
      <c r="Y155" s="1107"/>
      <c r="Z155" s="1107"/>
      <c r="AA155" s="1107"/>
      <c r="AB155" s="1107"/>
      <c r="AC155" s="1107"/>
      <c r="AD155" s="1107"/>
      <c r="AE155" s="1107"/>
      <c r="AF155" s="1107"/>
      <c r="AG155" s="1107"/>
      <c r="AH155" s="1107"/>
      <c r="AI155" s="1107"/>
      <c r="AJ155" s="1107"/>
      <c r="AK155" s="1107"/>
      <c r="AL155" s="1107"/>
      <c r="AM155" s="1107"/>
      <c r="AN155" s="1107"/>
      <c r="AO155" s="1107"/>
      <c r="AP155" s="1297"/>
      <c r="AQ155" s="1488"/>
      <c r="AR155" s="1297"/>
      <c r="AS155" s="1297"/>
      <c r="AT155" s="1297"/>
      <c r="AU155" s="1297"/>
      <c r="AV155" s="1297"/>
      <c r="AW155" s="1297"/>
      <c r="AX155" s="1297"/>
      <c r="AY155" s="1297"/>
      <c r="AZ155" s="1297"/>
      <c r="BA155" s="1297"/>
      <c r="BB155" s="1297"/>
      <c r="BC155" s="1297"/>
      <c r="BD155" s="1297"/>
      <c r="BE155" s="1297"/>
      <c r="BF155" s="1297"/>
      <c r="BG155" s="1297"/>
      <c r="BH155" s="1297"/>
      <c r="BI155" s="1297"/>
      <c r="BJ155" s="1297"/>
      <c r="BK155" s="1297"/>
      <c r="BL155" s="1297"/>
      <c r="BM155" s="1297"/>
      <c r="BN155" s="1297"/>
      <c r="BO155" s="1297"/>
      <c r="BP155" s="1297"/>
      <c r="BQ155" s="1297"/>
      <c r="BR155" s="1297"/>
      <c r="BS155" s="1297"/>
      <c r="BT155" s="1297"/>
      <c r="BU155" s="1297"/>
      <c r="BV155" s="1488"/>
    </row>
    <row r="156" spans="1:74" x14ac:dyDescent="0.2">
      <c r="A156" s="927" t="str">
        <f>C156&amp;"."&amp;D156</f>
        <v>Accelerated.Accelerated</v>
      </c>
      <c r="B156" s="1076"/>
      <c r="C156" s="1076" t="str">
        <f>B155</f>
        <v>Accelerated</v>
      </c>
      <c r="D156" s="1076" t="str">
        <f>Assumptions!$AH$82</f>
        <v>Accelerated</v>
      </c>
      <c r="E156" s="1076" t="str">
        <f>'Imported Starch'!H252</f>
        <v>Stockpile</v>
      </c>
      <c r="F156" s="1467">
        <f>SUM('Imported Starch'!J252:K252)*1000000</f>
        <v>5000000</v>
      </c>
      <c r="G156" s="1467">
        <f>F156*(1+$F$4)</f>
        <v>6187500</v>
      </c>
      <c r="H156" s="1467">
        <f>G156*(1+$F$5)</f>
        <v>6806250.0000000009</v>
      </c>
      <c r="I156" s="1467">
        <f>H156*(1+$F$6)</f>
        <v>6806250.0000000009</v>
      </c>
      <c r="J156" s="1076">
        <f>Assumptions!$N$55</f>
        <v>0.2</v>
      </c>
      <c r="K156" s="1107"/>
      <c r="L156" s="1467">
        <f>$I156*$J156</f>
        <v>1361250.0000000002</v>
      </c>
      <c r="M156" s="1467">
        <f>($I156-SUM($L156:L156))*$J156</f>
        <v>1089000.0000000002</v>
      </c>
      <c r="N156" s="1467">
        <f>($I156-SUM($L156:M156))*$J156</f>
        <v>871200</v>
      </c>
      <c r="O156" s="1467">
        <f>($I156-SUM($L156:N156))*$J156</f>
        <v>696960.00000000012</v>
      </c>
      <c r="P156" s="1467">
        <f>($I156-SUM($L156:O156))*$J156</f>
        <v>557568.00000000012</v>
      </c>
      <c r="Q156" s="1467">
        <f>($I156-SUM($L156:P156))*$J156</f>
        <v>446054.40000000002</v>
      </c>
      <c r="R156" s="1467">
        <f>($I156-SUM($L156:Q156))*$J156</f>
        <v>356843.51999999996</v>
      </c>
      <c r="S156" s="1467">
        <f>($I156-SUM($L156:R156))*$J156</f>
        <v>285474.81600000005</v>
      </c>
      <c r="T156" s="1467">
        <f>($I156-SUM($L156:S156))*$J156</f>
        <v>228379.85280000011</v>
      </c>
      <c r="U156" s="1467">
        <f>($I156-SUM($L156:T156))*$J156</f>
        <v>182703.88224000001</v>
      </c>
      <c r="V156" s="1467">
        <f>($I156-SUM($L156:U156))*$J156</f>
        <v>146163.10579199996</v>
      </c>
      <c r="W156" s="1467">
        <f>($I156-SUM($L156:V156))*$J156</f>
        <v>116930.48463359998</v>
      </c>
      <c r="X156" s="1467">
        <f>($I156-SUM($L156:W156))*$J156</f>
        <v>93544.387706879905</v>
      </c>
      <c r="Y156" s="1467">
        <f>($I156-SUM($L156:X156))*$J156</f>
        <v>74835.510165503991</v>
      </c>
      <c r="Z156" s="1467">
        <f>($I156-SUM($L156:Y156))*$J156</f>
        <v>59868.408132403158</v>
      </c>
      <c r="AA156" s="1467">
        <f>($I156-SUM($L156:Z156))*$J156</f>
        <v>47894.726505922532</v>
      </c>
      <c r="AB156" s="1467">
        <f>($I156-SUM($L156:AA156))*$J156</f>
        <v>38315.781204738094</v>
      </c>
      <c r="AC156" s="1467">
        <f>($I156-SUM($L156:AB156))*$J156</f>
        <v>30652.624963790553</v>
      </c>
      <c r="AD156" s="1467">
        <f>($I156-SUM($L156:AC156))*$J156</f>
        <v>24522.099971032516</v>
      </c>
      <c r="AE156" s="1467">
        <f>($I156-SUM($L156:AD156))*$J156</f>
        <v>19617.679976825977</v>
      </c>
      <c r="AF156" s="1467">
        <f>($I156-SUM($L156:AE156))*$J156</f>
        <v>15694.143981460855</v>
      </c>
      <c r="AG156" s="1467">
        <f>($I156-SUM($L156:AF156))*$J156</f>
        <v>12555.315185168758</v>
      </c>
      <c r="AH156" s="1467">
        <f>($I156-SUM($L156:AG156))*$J156</f>
        <v>10044.252148135007</v>
      </c>
      <c r="AI156" s="1467">
        <f>($I156-SUM($L156:AH156))*$J156</f>
        <v>8035.4017185080802</v>
      </c>
      <c r="AJ156" s="1467">
        <f>($I156-SUM($L156:AI156))*$J156</f>
        <v>6428.3213748063899</v>
      </c>
      <c r="AK156" s="1467">
        <f>($I156-SUM($L156:AJ156))*$J156</f>
        <v>5142.6570998450743</v>
      </c>
      <c r="AL156" s="1467">
        <f>($I156-SUM($L156:AK156))*$J156</f>
        <v>4114.1256798760969</v>
      </c>
      <c r="AM156" s="1467">
        <f>($I156-SUM($L156:AL156))*$J156</f>
        <v>3291.3005439009521</v>
      </c>
      <c r="AN156" s="1467">
        <f>($I156-SUM($L156:AM156))*$J156</f>
        <v>2633.0404351208363</v>
      </c>
      <c r="AO156" s="1467">
        <f>($I156-SUM($L156:AN156))*$J156</f>
        <v>2106.4323480967432</v>
      </c>
      <c r="AP156" s="1468">
        <f>SUM(L156:AO156)</f>
        <v>6797824.270607614</v>
      </c>
      <c r="AQ156" s="1488"/>
      <c r="AR156" s="1467">
        <f>I156-L156</f>
        <v>5445000.0000000009</v>
      </c>
      <c r="AS156" s="1467">
        <f>AR156-M156</f>
        <v>4356000.0000000009</v>
      </c>
      <c r="AT156" s="1467">
        <f t="shared" ref="AT156:AT178" si="637">AS156-N156</f>
        <v>3484800.0000000009</v>
      </c>
      <c r="AU156" s="1467">
        <f t="shared" ref="AU156:AU178" si="638">AT156-O156</f>
        <v>2787840.0000000009</v>
      </c>
      <c r="AV156" s="1467">
        <f t="shared" ref="AV156:AV178" si="639">AU156-P156</f>
        <v>2230272.0000000009</v>
      </c>
      <c r="AW156" s="1467">
        <f t="shared" ref="AW156:AW178" si="640">AV156-Q156</f>
        <v>1784217.600000001</v>
      </c>
      <c r="AX156" s="1467">
        <f t="shared" ref="AX156:AX178" si="641">AW156-R156</f>
        <v>1427374.080000001</v>
      </c>
      <c r="AY156" s="1467">
        <f t="shared" ref="AY156:AY178" si="642">AX156-S156</f>
        <v>1141899.2640000009</v>
      </c>
      <c r="AZ156" s="1467">
        <f t="shared" ref="AZ156:AZ178" si="643">AY156-T156</f>
        <v>913519.41120000079</v>
      </c>
      <c r="BA156" s="1467">
        <f t="shared" ref="BA156:BA178" si="644">AZ156-U156</f>
        <v>730815.52896000072</v>
      </c>
      <c r="BB156" s="1467">
        <f t="shared" ref="BB156:BB178" si="645">BA156-V156</f>
        <v>584652.42316800077</v>
      </c>
      <c r="BC156" s="1467">
        <f t="shared" ref="BC156:BC178" si="646">BB156-W156</f>
        <v>467721.93853440078</v>
      </c>
      <c r="BD156" s="1467">
        <f t="shared" ref="BD156:BD178" si="647">BC156-X156</f>
        <v>374177.5508275209</v>
      </c>
      <c r="BE156" s="1467">
        <f t="shared" ref="BE156:BE178" si="648">BD156-Y156</f>
        <v>299342.04066201689</v>
      </c>
      <c r="BF156" s="1467">
        <f t="shared" ref="BF156:BF178" si="649">BE156-Z156</f>
        <v>239473.63252961374</v>
      </c>
      <c r="BG156" s="1467">
        <f t="shared" ref="BG156:BG178" si="650">BF156-AA156</f>
        <v>191578.9060236912</v>
      </c>
      <c r="BH156" s="1467">
        <f t="shared" ref="BH156:BH178" si="651">BG156-AB156</f>
        <v>153263.1248189531</v>
      </c>
      <c r="BI156" s="1467">
        <f t="shared" ref="BI156:BI178" si="652">BH156-AC156</f>
        <v>122610.49985516255</v>
      </c>
      <c r="BJ156" s="1467">
        <f t="shared" ref="BJ156:BJ178" si="653">BI156-AD156</f>
        <v>98088.399884130034</v>
      </c>
      <c r="BK156" s="1467">
        <f t="shared" ref="BK156:BK178" si="654">BJ156-AE156</f>
        <v>78470.719907304054</v>
      </c>
      <c r="BL156" s="1467">
        <f t="shared" ref="BL156:BL178" si="655">BK156-AF156</f>
        <v>62776.575925843201</v>
      </c>
      <c r="BM156" s="1467">
        <f t="shared" ref="BM156:BM178" si="656">BL156-AG156</f>
        <v>50221.260740674443</v>
      </c>
      <c r="BN156" s="1467">
        <f t="shared" ref="BN156:BN178" si="657">BM156-AH156</f>
        <v>40177.008592539438</v>
      </c>
      <c r="BO156" s="1467">
        <f t="shared" ref="BO156:BO178" si="658">BN156-AI156</f>
        <v>32141.606874031357</v>
      </c>
      <c r="BP156" s="1467">
        <f t="shared" ref="BP156:BP178" si="659">BO156-AJ156</f>
        <v>25713.285499224967</v>
      </c>
      <c r="BQ156" s="1467">
        <f t="shared" ref="BQ156:BQ178" si="660">BP156-AK156</f>
        <v>20570.628399379893</v>
      </c>
      <c r="BR156" s="1467">
        <f t="shared" ref="BR156:BR178" si="661">BQ156-AL156</f>
        <v>16456.502719503798</v>
      </c>
      <c r="BS156" s="1467">
        <f t="shared" ref="BS156:BS178" si="662">BR156-AM156</f>
        <v>13165.202175602846</v>
      </c>
      <c r="BT156" s="1467">
        <f t="shared" ref="BT156:BT178" si="663">BS156-AN156</f>
        <v>10532.16174048201</v>
      </c>
      <c r="BU156" s="1467">
        <f t="shared" ref="BU156:BU178" si="664">BT156-AO156</f>
        <v>8425.7293923852667</v>
      </c>
      <c r="BV156" s="1488"/>
    </row>
    <row r="157" spans="1:74" x14ac:dyDescent="0.2">
      <c r="A157" s="927" t="str">
        <f t="shared" ref="A157:A181" si="665">C157&amp;"."&amp;D157</f>
        <v>Accelerated.Accelerated</v>
      </c>
      <c r="B157" s="1076"/>
      <c r="C157" s="1076" t="str">
        <f>C156</f>
        <v>Accelerated</v>
      </c>
      <c r="D157" s="1076" t="str">
        <f>Assumptions!$AH$82</f>
        <v>Accelerated</v>
      </c>
      <c r="E157" s="1076" t="str">
        <f>'Imported Starch'!H253</f>
        <v>Dry Mill</v>
      </c>
      <c r="F157" s="1467">
        <f>SUM('Imported Starch'!J253:K253)*1000000</f>
        <v>0</v>
      </c>
      <c r="G157" s="1467">
        <f t="shared" ref="G157:G178" si="666">F157*(1+$F$4)</f>
        <v>0</v>
      </c>
      <c r="H157" s="1467">
        <f t="shared" ref="H157:H178" si="667">G157*(1+$F$5)</f>
        <v>0</v>
      </c>
      <c r="I157" s="1467">
        <f t="shared" ref="I157:I178" si="668">H157*(1+$F$6)</f>
        <v>0</v>
      </c>
      <c r="J157" s="1076">
        <f>J156</f>
        <v>0.2</v>
      </c>
      <c r="K157" s="1107"/>
      <c r="L157" s="1467">
        <f t="shared" ref="L157:AA176" si="669">$I157*$J157</f>
        <v>0</v>
      </c>
      <c r="M157" s="1467">
        <f>($I157-SUM($L157:L157))*$J157</f>
        <v>0</v>
      </c>
      <c r="N157" s="1467">
        <f>($I157-SUM($L157:M157))*$J157</f>
        <v>0</v>
      </c>
      <c r="O157" s="1467">
        <f>($I157-SUM($L157:N157))*$J157</f>
        <v>0</v>
      </c>
      <c r="P157" s="1467">
        <f>($I157-SUM($L157:O157))*$J157</f>
        <v>0</v>
      </c>
      <c r="Q157" s="1467">
        <f>($I157-SUM($L157:P157))*$J157</f>
        <v>0</v>
      </c>
      <c r="R157" s="1467">
        <f>($I157-SUM($L157:Q157))*$J157</f>
        <v>0</v>
      </c>
      <c r="S157" s="1467">
        <f>($I157-SUM($L157:R157))*$J157</f>
        <v>0</v>
      </c>
      <c r="T157" s="1467">
        <f>($I157-SUM($L157:S157))*$J157</f>
        <v>0</v>
      </c>
      <c r="U157" s="1467">
        <f>($I157-SUM($L157:T157))*$J157</f>
        <v>0</v>
      </c>
      <c r="V157" s="1467">
        <f>($I157-SUM($L157:U157))*$J157</f>
        <v>0</v>
      </c>
      <c r="W157" s="1467">
        <f>($I157-SUM($L157:V157))*$J157</f>
        <v>0</v>
      </c>
      <c r="X157" s="1467">
        <f>($I157-SUM($L157:W157))*$J157</f>
        <v>0</v>
      </c>
      <c r="Y157" s="1467">
        <f>($I157-SUM($L157:X157))*$J157</f>
        <v>0</v>
      </c>
      <c r="Z157" s="1467">
        <f>($I157-SUM($L157:Y157))*$J157</f>
        <v>0</v>
      </c>
      <c r="AA157" s="1467">
        <f>($I157-SUM($L157:Z157))*$J157</f>
        <v>0</v>
      </c>
      <c r="AB157" s="1467">
        <f>($I157-SUM($L157:AA157))*$J157</f>
        <v>0</v>
      </c>
      <c r="AC157" s="1467">
        <f>($I157-SUM($L157:AB157))*$J157</f>
        <v>0</v>
      </c>
      <c r="AD157" s="1467">
        <f>($I157-SUM($L157:AC157))*$J157</f>
        <v>0</v>
      </c>
      <c r="AE157" s="1467">
        <f>($I157-SUM($L157:AD157))*$J157</f>
        <v>0</v>
      </c>
      <c r="AF157" s="1467">
        <f>($I157-SUM($L157:AE157))*$J157</f>
        <v>0</v>
      </c>
      <c r="AG157" s="1467">
        <f>($I157-SUM($L157:AF157))*$J157</f>
        <v>0</v>
      </c>
      <c r="AH157" s="1467">
        <f>($I157-SUM($L157:AG157))*$J157</f>
        <v>0</v>
      </c>
      <c r="AI157" s="1467">
        <f>($I157-SUM($L157:AH157))*$J157</f>
        <v>0</v>
      </c>
      <c r="AJ157" s="1467">
        <f>($I157-SUM($L157:AI157))*$J157</f>
        <v>0</v>
      </c>
      <c r="AK157" s="1467">
        <f>($I157-SUM($L157:AJ157))*$J157</f>
        <v>0</v>
      </c>
      <c r="AL157" s="1467">
        <f>($I157-SUM($L157:AK157))*$J157</f>
        <v>0</v>
      </c>
      <c r="AM157" s="1467">
        <f>($I157-SUM($L157:AL157))*$J157</f>
        <v>0</v>
      </c>
      <c r="AN157" s="1467">
        <f>($I157-SUM($L157:AM157))*$J157</f>
        <v>0</v>
      </c>
      <c r="AO157" s="1467">
        <f>($I157-SUM($L157:AN157))*$J157</f>
        <v>0</v>
      </c>
      <c r="AP157" s="1468">
        <f t="shared" ref="AP157:AP175" si="670">SUM(L157:AO157)</f>
        <v>0</v>
      </c>
      <c r="AQ157" s="1488"/>
      <c r="AR157" s="1467">
        <f t="shared" ref="AR157:AR178" si="671">I157-L157</f>
        <v>0</v>
      </c>
      <c r="AS157" s="1467">
        <f t="shared" ref="AS157:AS178" si="672">AR157-M157</f>
        <v>0</v>
      </c>
      <c r="AT157" s="1467">
        <f t="shared" si="637"/>
        <v>0</v>
      </c>
      <c r="AU157" s="1467">
        <f t="shared" si="638"/>
        <v>0</v>
      </c>
      <c r="AV157" s="1467">
        <f t="shared" si="639"/>
        <v>0</v>
      </c>
      <c r="AW157" s="1467">
        <f t="shared" si="640"/>
        <v>0</v>
      </c>
      <c r="AX157" s="1467">
        <f t="shared" si="641"/>
        <v>0</v>
      </c>
      <c r="AY157" s="1467">
        <f t="shared" si="642"/>
        <v>0</v>
      </c>
      <c r="AZ157" s="1467">
        <f t="shared" si="643"/>
        <v>0</v>
      </c>
      <c r="BA157" s="1467">
        <f t="shared" si="644"/>
        <v>0</v>
      </c>
      <c r="BB157" s="1467">
        <f t="shared" si="645"/>
        <v>0</v>
      </c>
      <c r="BC157" s="1467">
        <f t="shared" si="646"/>
        <v>0</v>
      </c>
      <c r="BD157" s="1467">
        <f t="shared" si="647"/>
        <v>0</v>
      </c>
      <c r="BE157" s="1467">
        <f t="shared" si="648"/>
        <v>0</v>
      </c>
      <c r="BF157" s="1467">
        <f t="shared" si="649"/>
        <v>0</v>
      </c>
      <c r="BG157" s="1467">
        <f t="shared" si="650"/>
        <v>0</v>
      </c>
      <c r="BH157" s="1467">
        <f t="shared" si="651"/>
        <v>0</v>
      </c>
      <c r="BI157" s="1467">
        <f t="shared" si="652"/>
        <v>0</v>
      </c>
      <c r="BJ157" s="1467">
        <f t="shared" si="653"/>
        <v>0</v>
      </c>
      <c r="BK157" s="1467">
        <f t="shared" si="654"/>
        <v>0</v>
      </c>
      <c r="BL157" s="1467">
        <f t="shared" si="655"/>
        <v>0</v>
      </c>
      <c r="BM157" s="1467">
        <f t="shared" si="656"/>
        <v>0</v>
      </c>
      <c r="BN157" s="1467">
        <f t="shared" si="657"/>
        <v>0</v>
      </c>
      <c r="BO157" s="1467">
        <f t="shared" si="658"/>
        <v>0</v>
      </c>
      <c r="BP157" s="1467">
        <f t="shared" si="659"/>
        <v>0</v>
      </c>
      <c r="BQ157" s="1467">
        <f t="shared" si="660"/>
        <v>0</v>
      </c>
      <c r="BR157" s="1467">
        <f t="shared" si="661"/>
        <v>0</v>
      </c>
      <c r="BS157" s="1467">
        <f t="shared" si="662"/>
        <v>0</v>
      </c>
      <c r="BT157" s="1467">
        <f t="shared" si="663"/>
        <v>0</v>
      </c>
      <c r="BU157" s="1467">
        <f t="shared" si="664"/>
        <v>0</v>
      </c>
      <c r="BV157" s="1488"/>
    </row>
    <row r="158" spans="1:74" x14ac:dyDescent="0.2">
      <c r="A158" s="927" t="str">
        <f t="shared" si="665"/>
        <v>Accelerated.Accelerated</v>
      </c>
      <c r="B158" s="1076"/>
      <c r="C158" s="1076" t="str">
        <f t="shared" ref="C158:C168" si="673">C157</f>
        <v>Accelerated</v>
      </c>
      <c r="D158" s="1076" t="str">
        <f>Assumptions!$AH$82</f>
        <v>Accelerated</v>
      </c>
      <c r="E158" s="1076" t="str">
        <f>'Imported Starch'!H254</f>
        <v>Wet Mill and gluten handling</v>
      </c>
      <c r="F158" s="1467">
        <f>SUM('Imported Starch'!J254:K254)*1000000</f>
        <v>0</v>
      </c>
      <c r="G158" s="1467">
        <f t="shared" si="666"/>
        <v>0</v>
      </c>
      <c r="H158" s="1467">
        <f t="shared" si="667"/>
        <v>0</v>
      </c>
      <c r="I158" s="1467">
        <f t="shared" si="668"/>
        <v>0</v>
      </c>
      <c r="J158" s="1076">
        <f t="shared" ref="J158:J168" si="674">J157</f>
        <v>0.2</v>
      </c>
      <c r="K158" s="1107"/>
      <c r="L158" s="1467">
        <f t="shared" si="669"/>
        <v>0</v>
      </c>
      <c r="M158" s="1467">
        <f>($I158-SUM($L158:L158))*$J158</f>
        <v>0</v>
      </c>
      <c r="N158" s="1467">
        <f>($I158-SUM($L158:M158))*$J158</f>
        <v>0</v>
      </c>
      <c r="O158" s="1467">
        <f>($I158-SUM($L158:N158))*$J158</f>
        <v>0</v>
      </c>
      <c r="P158" s="1467">
        <f>($I158-SUM($L158:O158))*$J158</f>
        <v>0</v>
      </c>
      <c r="Q158" s="1467">
        <f>($I158-SUM($L158:P158))*$J158</f>
        <v>0</v>
      </c>
      <c r="R158" s="1467">
        <f>($I158-SUM($L158:Q158))*$J158</f>
        <v>0</v>
      </c>
      <c r="S158" s="1467">
        <f>($I158-SUM($L158:R158))*$J158</f>
        <v>0</v>
      </c>
      <c r="T158" s="1467">
        <f>($I158-SUM($L158:S158))*$J158</f>
        <v>0</v>
      </c>
      <c r="U158" s="1467">
        <f>($I158-SUM($L158:T158))*$J158</f>
        <v>0</v>
      </c>
      <c r="V158" s="1467">
        <f>($I158-SUM($L158:U158))*$J158</f>
        <v>0</v>
      </c>
      <c r="W158" s="1467">
        <f>($I158-SUM($L158:V158))*$J158</f>
        <v>0</v>
      </c>
      <c r="X158" s="1467">
        <f>($I158-SUM($L158:W158))*$J158</f>
        <v>0</v>
      </c>
      <c r="Y158" s="1467">
        <f>($I158-SUM($L158:X158))*$J158</f>
        <v>0</v>
      </c>
      <c r="Z158" s="1467">
        <f>($I158-SUM($L158:Y158))*$J158</f>
        <v>0</v>
      </c>
      <c r="AA158" s="1467">
        <f>($I158-SUM($L158:Z158))*$J158</f>
        <v>0</v>
      </c>
      <c r="AB158" s="1467">
        <f>($I158-SUM($L158:AA158))*$J158</f>
        <v>0</v>
      </c>
      <c r="AC158" s="1467">
        <f>($I158-SUM($L158:AB158))*$J158</f>
        <v>0</v>
      </c>
      <c r="AD158" s="1467">
        <f>($I158-SUM($L158:AC158))*$J158</f>
        <v>0</v>
      </c>
      <c r="AE158" s="1467">
        <f>($I158-SUM($L158:AD158))*$J158</f>
        <v>0</v>
      </c>
      <c r="AF158" s="1467">
        <f>($I158-SUM($L158:AE158))*$J158</f>
        <v>0</v>
      </c>
      <c r="AG158" s="1467">
        <f>($I158-SUM($L158:AF158))*$J158</f>
        <v>0</v>
      </c>
      <c r="AH158" s="1467">
        <f>($I158-SUM($L158:AG158))*$J158</f>
        <v>0</v>
      </c>
      <c r="AI158" s="1467">
        <f>($I158-SUM($L158:AH158))*$J158</f>
        <v>0</v>
      </c>
      <c r="AJ158" s="1467">
        <f>($I158-SUM($L158:AI158))*$J158</f>
        <v>0</v>
      </c>
      <c r="AK158" s="1467">
        <f>($I158-SUM($L158:AJ158))*$J158</f>
        <v>0</v>
      </c>
      <c r="AL158" s="1467">
        <f>($I158-SUM($L158:AK158))*$J158</f>
        <v>0</v>
      </c>
      <c r="AM158" s="1467">
        <f>($I158-SUM($L158:AL158))*$J158</f>
        <v>0</v>
      </c>
      <c r="AN158" s="1467">
        <f>($I158-SUM($L158:AM158))*$J158</f>
        <v>0</v>
      </c>
      <c r="AO158" s="1467">
        <f>($I158-SUM($L158:AN158))*$J158</f>
        <v>0</v>
      </c>
      <c r="AP158" s="1468">
        <f t="shared" si="670"/>
        <v>0</v>
      </c>
      <c r="AQ158" s="1488"/>
      <c r="AR158" s="1467">
        <f t="shared" si="671"/>
        <v>0</v>
      </c>
      <c r="AS158" s="1467">
        <f t="shared" si="672"/>
        <v>0</v>
      </c>
      <c r="AT158" s="1467">
        <f t="shared" si="637"/>
        <v>0</v>
      </c>
      <c r="AU158" s="1467">
        <f t="shared" si="638"/>
        <v>0</v>
      </c>
      <c r="AV158" s="1467">
        <f t="shared" si="639"/>
        <v>0</v>
      </c>
      <c r="AW158" s="1467">
        <f t="shared" si="640"/>
        <v>0</v>
      </c>
      <c r="AX158" s="1467">
        <f t="shared" si="641"/>
        <v>0</v>
      </c>
      <c r="AY158" s="1467">
        <f t="shared" si="642"/>
        <v>0</v>
      </c>
      <c r="AZ158" s="1467">
        <f t="shared" si="643"/>
        <v>0</v>
      </c>
      <c r="BA158" s="1467">
        <f t="shared" si="644"/>
        <v>0</v>
      </c>
      <c r="BB158" s="1467">
        <f t="shared" si="645"/>
        <v>0</v>
      </c>
      <c r="BC158" s="1467">
        <f t="shared" si="646"/>
        <v>0</v>
      </c>
      <c r="BD158" s="1467">
        <f t="shared" si="647"/>
        <v>0</v>
      </c>
      <c r="BE158" s="1467">
        <f t="shared" si="648"/>
        <v>0</v>
      </c>
      <c r="BF158" s="1467">
        <f t="shared" si="649"/>
        <v>0</v>
      </c>
      <c r="BG158" s="1467">
        <f t="shared" si="650"/>
        <v>0</v>
      </c>
      <c r="BH158" s="1467">
        <f t="shared" si="651"/>
        <v>0</v>
      </c>
      <c r="BI158" s="1467">
        <f t="shared" si="652"/>
        <v>0</v>
      </c>
      <c r="BJ158" s="1467">
        <f t="shared" si="653"/>
        <v>0</v>
      </c>
      <c r="BK158" s="1467">
        <f t="shared" si="654"/>
        <v>0</v>
      </c>
      <c r="BL158" s="1467">
        <f t="shared" si="655"/>
        <v>0</v>
      </c>
      <c r="BM158" s="1467">
        <f t="shared" si="656"/>
        <v>0</v>
      </c>
      <c r="BN158" s="1467">
        <f t="shared" si="657"/>
        <v>0</v>
      </c>
      <c r="BO158" s="1467">
        <f t="shared" si="658"/>
        <v>0</v>
      </c>
      <c r="BP158" s="1467">
        <f t="shared" si="659"/>
        <v>0</v>
      </c>
      <c r="BQ158" s="1467">
        <f t="shared" si="660"/>
        <v>0</v>
      </c>
      <c r="BR158" s="1467">
        <f t="shared" si="661"/>
        <v>0</v>
      </c>
      <c r="BS158" s="1467">
        <f t="shared" si="662"/>
        <v>0</v>
      </c>
      <c r="BT158" s="1467">
        <f t="shared" si="663"/>
        <v>0</v>
      </c>
      <c r="BU158" s="1467">
        <f t="shared" si="664"/>
        <v>0</v>
      </c>
      <c r="BV158" s="1488"/>
    </row>
    <row r="159" spans="1:74" x14ac:dyDescent="0.2">
      <c r="A159" s="927" t="str">
        <f t="shared" si="665"/>
        <v>Accelerated.Accelerated</v>
      </c>
      <c r="B159" s="1076"/>
      <c r="C159" s="1076" t="str">
        <f t="shared" si="673"/>
        <v>Accelerated</v>
      </c>
      <c r="D159" s="1076" t="str">
        <f>Assumptions!$AH$82</f>
        <v>Accelerated</v>
      </c>
      <c r="E159" s="1076" t="str">
        <f>'Imported Starch'!H255</f>
        <v>Liquefaction and saccharification</v>
      </c>
      <c r="F159" s="1467">
        <f>SUM('Imported Starch'!J255:K255)*1000000</f>
        <v>8000000</v>
      </c>
      <c r="G159" s="1467">
        <f t="shared" si="666"/>
        <v>9900000</v>
      </c>
      <c r="H159" s="1467">
        <f t="shared" si="667"/>
        <v>10890000</v>
      </c>
      <c r="I159" s="1467">
        <f t="shared" si="668"/>
        <v>10890000</v>
      </c>
      <c r="J159" s="1076">
        <f t="shared" si="674"/>
        <v>0.2</v>
      </c>
      <c r="K159" s="1107"/>
      <c r="L159" s="1467">
        <f t="shared" si="669"/>
        <v>2178000</v>
      </c>
      <c r="M159" s="1467">
        <f>($I159-SUM($L159:L159))*$J159</f>
        <v>1742400</v>
      </c>
      <c r="N159" s="1467">
        <f>($I159-SUM($L159:M159))*$J159</f>
        <v>1393920</v>
      </c>
      <c r="O159" s="1467">
        <f>($I159-SUM($L159:N159))*$J159</f>
        <v>1115136</v>
      </c>
      <c r="P159" s="1467">
        <f>($I159-SUM($L159:O159))*$J159</f>
        <v>892108.80000000005</v>
      </c>
      <c r="Q159" s="1467">
        <f>($I159-SUM($L159:P159))*$J159</f>
        <v>713687.04000000004</v>
      </c>
      <c r="R159" s="1467">
        <f>($I159-SUM($L159:Q159))*$J159</f>
        <v>570949.6320000001</v>
      </c>
      <c r="S159" s="1467">
        <f>($I159-SUM($L159:R159))*$J159</f>
        <v>456759.70560000022</v>
      </c>
      <c r="T159" s="1467">
        <f>($I159-SUM($L159:S159))*$J159</f>
        <v>365407.76448000001</v>
      </c>
      <c r="U159" s="1467">
        <f>($I159-SUM($L159:T159))*$J159</f>
        <v>292326.21158399992</v>
      </c>
      <c r="V159" s="1467">
        <f>($I159-SUM($L159:U159))*$J159</f>
        <v>233860.96926719995</v>
      </c>
      <c r="W159" s="1467">
        <f>($I159-SUM($L159:V159))*$J159</f>
        <v>187088.77541375981</v>
      </c>
      <c r="X159" s="1467">
        <f>($I159-SUM($L159:W159))*$J159</f>
        <v>149671.02033100798</v>
      </c>
      <c r="Y159" s="1467">
        <f>($I159-SUM($L159:X159))*$J159</f>
        <v>119736.81626480632</v>
      </c>
      <c r="Z159" s="1467">
        <f>($I159-SUM($L159:Y159))*$J159</f>
        <v>95789.453011845064</v>
      </c>
      <c r="AA159" s="1467">
        <f>($I159-SUM($L159:Z159))*$J159</f>
        <v>76631.562409476188</v>
      </c>
      <c r="AB159" s="1467">
        <f>($I159-SUM($L159:AA159))*$J159</f>
        <v>61305.249927581106</v>
      </c>
      <c r="AC159" s="1467">
        <f>($I159-SUM($L159:AB159))*$J159</f>
        <v>49044.199942065032</v>
      </c>
      <c r="AD159" s="1467">
        <f>($I159-SUM($L159:AC159))*$J159</f>
        <v>39235.359953651954</v>
      </c>
      <c r="AE159" s="1467">
        <f>($I159-SUM($L159:AD159))*$J159</f>
        <v>31388.28796292171</v>
      </c>
      <c r="AF159" s="1467">
        <f>($I159-SUM($L159:AE159))*$J159</f>
        <v>25110.630370337516</v>
      </c>
      <c r="AG159" s="1467">
        <f>($I159-SUM($L159:AF159))*$J159</f>
        <v>20088.504296270014</v>
      </c>
      <c r="AH159" s="1467">
        <f>($I159-SUM($L159:AG159))*$J159</f>
        <v>16070.80343701616</v>
      </c>
      <c r="AI159" s="1467">
        <f>($I159-SUM($L159:AH159))*$J159</f>
        <v>12856.64274961278</v>
      </c>
      <c r="AJ159" s="1467">
        <f>($I159-SUM($L159:AI159))*$J159</f>
        <v>10285.314199690149</v>
      </c>
      <c r="AK159" s="1467">
        <f>($I159-SUM($L159:AJ159))*$J159</f>
        <v>8228.2513597521938</v>
      </c>
      <c r="AL159" s="1467">
        <f>($I159-SUM($L159:AK159))*$J159</f>
        <v>6582.6010878019042</v>
      </c>
      <c r="AM159" s="1467">
        <f>($I159-SUM($L159:AL159))*$J159</f>
        <v>5266.0808702416725</v>
      </c>
      <c r="AN159" s="1467">
        <f>($I159-SUM($L159:AM159))*$J159</f>
        <v>4212.8646961934865</v>
      </c>
      <c r="AO159" s="1467">
        <f>($I159-SUM($L159:AN159))*$J159</f>
        <v>3370.2917569547894</v>
      </c>
      <c r="AP159" s="1468">
        <f t="shared" si="670"/>
        <v>10876518.83297218</v>
      </c>
      <c r="AQ159" s="1488"/>
      <c r="AR159" s="1467">
        <f t="shared" si="671"/>
        <v>8712000</v>
      </c>
      <c r="AS159" s="1467">
        <f t="shared" si="672"/>
        <v>6969600</v>
      </c>
      <c r="AT159" s="1467">
        <f t="shared" si="637"/>
        <v>5575680</v>
      </c>
      <c r="AU159" s="1467">
        <f t="shared" si="638"/>
        <v>4460544</v>
      </c>
      <c r="AV159" s="1467">
        <f t="shared" si="639"/>
        <v>3568435.2000000002</v>
      </c>
      <c r="AW159" s="1467">
        <f t="shared" si="640"/>
        <v>2854748.1600000001</v>
      </c>
      <c r="AX159" s="1467">
        <f t="shared" si="641"/>
        <v>2283798.5279999999</v>
      </c>
      <c r="AY159" s="1467">
        <f t="shared" si="642"/>
        <v>1827038.8223999997</v>
      </c>
      <c r="AZ159" s="1467">
        <f t="shared" si="643"/>
        <v>1461631.0579199996</v>
      </c>
      <c r="BA159" s="1467">
        <f t="shared" si="644"/>
        <v>1169304.8463359997</v>
      </c>
      <c r="BB159" s="1467">
        <f t="shared" si="645"/>
        <v>935443.87706879969</v>
      </c>
      <c r="BC159" s="1467">
        <f t="shared" si="646"/>
        <v>748355.10165503994</v>
      </c>
      <c r="BD159" s="1467">
        <f t="shared" si="647"/>
        <v>598684.08132403193</v>
      </c>
      <c r="BE159" s="1467">
        <f t="shared" si="648"/>
        <v>478947.26505922561</v>
      </c>
      <c r="BF159" s="1467">
        <f t="shared" si="649"/>
        <v>383157.81204738055</v>
      </c>
      <c r="BG159" s="1467">
        <f t="shared" si="650"/>
        <v>306526.24963790434</v>
      </c>
      <c r="BH159" s="1467">
        <f t="shared" si="651"/>
        <v>245220.99971032323</v>
      </c>
      <c r="BI159" s="1467">
        <f t="shared" si="652"/>
        <v>196176.79976825821</v>
      </c>
      <c r="BJ159" s="1467">
        <f t="shared" si="653"/>
        <v>156941.43981460624</v>
      </c>
      <c r="BK159" s="1467">
        <f t="shared" si="654"/>
        <v>125553.15185168454</v>
      </c>
      <c r="BL159" s="1467">
        <f t="shared" si="655"/>
        <v>100442.52148134702</v>
      </c>
      <c r="BM159" s="1467">
        <f t="shared" si="656"/>
        <v>80354.017185077013</v>
      </c>
      <c r="BN159" s="1467">
        <f t="shared" si="657"/>
        <v>64283.213748060851</v>
      </c>
      <c r="BO159" s="1467">
        <f t="shared" si="658"/>
        <v>51426.570998448071</v>
      </c>
      <c r="BP159" s="1467">
        <f t="shared" si="659"/>
        <v>41141.256798757924</v>
      </c>
      <c r="BQ159" s="1467">
        <f t="shared" si="660"/>
        <v>32913.005439005734</v>
      </c>
      <c r="BR159" s="1467">
        <f t="shared" si="661"/>
        <v>26330.40435120383</v>
      </c>
      <c r="BS159" s="1467">
        <f t="shared" si="662"/>
        <v>21064.323480962157</v>
      </c>
      <c r="BT159" s="1467">
        <f t="shared" si="663"/>
        <v>16851.458784768671</v>
      </c>
      <c r="BU159" s="1467">
        <f t="shared" si="664"/>
        <v>13481.167027813881</v>
      </c>
      <c r="BV159" s="1488"/>
    </row>
    <row r="160" spans="1:74" x14ac:dyDescent="0.2">
      <c r="A160" s="927" t="str">
        <f t="shared" si="665"/>
        <v>Accelerated.Accelerated</v>
      </c>
      <c r="B160" s="1076"/>
      <c r="C160" s="1076" t="str">
        <f t="shared" si="673"/>
        <v>Accelerated</v>
      </c>
      <c r="D160" s="1076" t="str">
        <f>Assumptions!$AH$82</f>
        <v>Accelerated</v>
      </c>
      <c r="E160" s="1076" t="str">
        <f>'Imported Starch'!H256</f>
        <v>Fermentation Plant</v>
      </c>
      <c r="F160" s="1467">
        <f>SUM('Imported Starch'!J256:K256)*1000000</f>
        <v>18000000</v>
      </c>
      <c r="G160" s="1467">
        <f t="shared" si="666"/>
        <v>22275000</v>
      </c>
      <c r="H160" s="1467">
        <f t="shared" si="667"/>
        <v>24502500.000000004</v>
      </c>
      <c r="I160" s="1467">
        <f t="shared" si="668"/>
        <v>24502500.000000004</v>
      </c>
      <c r="J160" s="1076">
        <f t="shared" si="674"/>
        <v>0.2</v>
      </c>
      <c r="K160" s="1107"/>
      <c r="L160" s="1467">
        <f t="shared" si="669"/>
        <v>4900500.0000000009</v>
      </c>
      <c r="M160" s="1467">
        <f>($I160-SUM($L160:L160))*$J160</f>
        <v>3920400.0000000009</v>
      </c>
      <c r="N160" s="1467">
        <f>($I160-SUM($L160:M160))*$J160</f>
        <v>3136320.0000000005</v>
      </c>
      <c r="O160" s="1467">
        <f>($I160-SUM($L160:N160))*$J160</f>
        <v>2509056.0000000005</v>
      </c>
      <c r="P160" s="1467">
        <f>($I160-SUM($L160:O160))*$J160</f>
        <v>2007244.8000000005</v>
      </c>
      <c r="Q160" s="1467">
        <f>($I160-SUM($L160:P160))*$J160</f>
        <v>1605795.8400000003</v>
      </c>
      <c r="R160" s="1467">
        <f>($I160-SUM($L160:Q160))*$J160</f>
        <v>1284636.672</v>
      </c>
      <c r="S160" s="1467">
        <f>($I160-SUM($L160:R160))*$J160</f>
        <v>1027709.3376000002</v>
      </c>
      <c r="T160" s="1467">
        <f>($I160-SUM($L160:S160))*$J160</f>
        <v>822167.47008000023</v>
      </c>
      <c r="U160" s="1467">
        <f>($I160-SUM($L160:T160))*$J160</f>
        <v>657733.97606400028</v>
      </c>
      <c r="V160" s="1467">
        <f>($I160-SUM($L160:U160))*$J160</f>
        <v>526187.18085120025</v>
      </c>
      <c r="W160" s="1467">
        <f>($I160-SUM($L160:V160))*$J160</f>
        <v>420949.74468096049</v>
      </c>
      <c r="X160" s="1467">
        <f>($I160-SUM($L160:W160))*$J160</f>
        <v>336759.79574476858</v>
      </c>
      <c r="Y160" s="1467">
        <f>($I160-SUM($L160:X160))*$J160</f>
        <v>269407.83659581468</v>
      </c>
      <c r="Z160" s="1467">
        <f>($I160-SUM($L160:Y160))*$J160</f>
        <v>215526.26927665176</v>
      </c>
      <c r="AA160" s="1467">
        <f>($I160-SUM($L160:Z160))*$J160</f>
        <v>172421.01542132127</v>
      </c>
      <c r="AB160" s="1467">
        <f>($I160-SUM($L160:AA160))*$J160</f>
        <v>137936.81233705729</v>
      </c>
      <c r="AC160" s="1467">
        <f>($I160-SUM($L160:AB160))*$J160</f>
        <v>110349.44986964614</v>
      </c>
      <c r="AD160" s="1467">
        <f>($I160-SUM($L160:AC160))*$J160</f>
        <v>88279.559895716608</v>
      </c>
      <c r="AE160" s="1467">
        <f>($I160-SUM($L160:AD160))*$J160</f>
        <v>70623.647916573289</v>
      </c>
      <c r="AF160" s="1467">
        <f>($I160-SUM($L160:AE160))*$J160</f>
        <v>56498.91833325848</v>
      </c>
      <c r="AG160" s="1467">
        <f>($I160-SUM($L160:AF160))*$J160</f>
        <v>45199.134666606784</v>
      </c>
      <c r="AH160" s="1467">
        <f>($I160-SUM($L160:AG160))*$J160</f>
        <v>36159.30773328543</v>
      </c>
      <c r="AI160" s="1467">
        <f>($I160-SUM($L160:AH160))*$J160</f>
        <v>28927.446186628193</v>
      </c>
      <c r="AJ160" s="1467">
        <f>($I160-SUM($L160:AI160))*$J160</f>
        <v>23141.956949302556</v>
      </c>
      <c r="AK160" s="1467">
        <f>($I160-SUM($L160:AJ160))*$J160</f>
        <v>18513.565559442341</v>
      </c>
      <c r="AL160" s="1467">
        <f>($I160-SUM($L160:AK160))*$J160</f>
        <v>14810.852447553725</v>
      </c>
      <c r="AM160" s="1467">
        <f>($I160-SUM($L160:AL160))*$J160</f>
        <v>11848.681958042831</v>
      </c>
      <c r="AN160" s="1467">
        <f>($I160-SUM($L160:AM160))*$J160</f>
        <v>9478.9455664344132</v>
      </c>
      <c r="AO160" s="1467">
        <f>($I160-SUM($L160:AN160))*$J160</f>
        <v>7583.1564531475306</v>
      </c>
      <c r="AP160" s="1468">
        <f t="shared" si="670"/>
        <v>24472167.374187414</v>
      </c>
      <c r="AQ160" s="1488"/>
      <c r="AR160" s="1467">
        <f t="shared" si="671"/>
        <v>19602000.000000004</v>
      </c>
      <c r="AS160" s="1467">
        <f t="shared" si="672"/>
        <v>15681600.000000004</v>
      </c>
      <c r="AT160" s="1467">
        <f t="shared" si="637"/>
        <v>12545280.000000004</v>
      </c>
      <c r="AU160" s="1467">
        <f t="shared" si="638"/>
        <v>10036224.000000004</v>
      </c>
      <c r="AV160" s="1467">
        <f t="shared" si="639"/>
        <v>8028979.200000003</v>
      </c>
      <c r="AW160" s="1467">
        <f t="shared" si="640"/>
        <v>6423183.3600000031</v>
      </c>
      <c r="AX160" s="1467">
        <f t="shared" si="641"/>
        <v>5138546.6880000029</v>
      </c>
      <c r="AY160" s="1467">
        <f t="shared" si="642"/>
        <v>4110837.3504000027</v>
      </c>
      <c r="AZ160" s="1467">
        <f t="shared" si="643"/>
        <v>3288669.8803200023</v>
      </c>
      <c r="BA160" s="1467">
        <f t="shared" si="644"/>
        <v>2630935.904256002</v>
      </c>
      <c r="BB160" s="1467">
        <f t="shared" si="645"/>
        <v>2104748.7234048019</v>
      </c>
      <c r="BC160" s="1467">
        <f t="shared" si="646"/>
        <v>1683798.9787238415</v>
      </c>
      <c r="BD160" s="1467">
        <f t="shared" si="647"/>
        <v>1347039.1829790729</v>
      </c>
      <c r="BE160" s="1467">
        <f t="shared" si="648"/>
        <v>1077631.3463832582</v>
      </c>
      <c r="BF160" s="1467">
        <f t="shared" si="649"/>
        <v>862105.07710660645</v>
      </c>
      <c r="BG160" s="1467">
        <f t="shared" si="650"/>
        <v>689684.06168528518</v>
      </c>
      <c r="BH160" s="1467">
        <f t="shared" si="651"/>
        <v>551747.24934822787</v>
      </c>
      <c r="BI160" s="1467">
        <f t="shared" si="652"/>
        <v>441397.79947858176</v>
      </c>
      <c r="BJ160" s="1467">
        <f t="shared" si="653"/>
        <v>353118.23958286515</v>
      </c>
      <c r="BK160" s="1467">
        <f t="shared" si="654"/>
        <v>282494.59166629188</v>
      </c>
      <c r="BL160" s="1467">
        <f t="shared" si="655"/>
        <v>225995.6733330334</v>
      </c>
      <c r="BM160" s="1467">
        <f t="shared" si="656"/>
        <v>180796.53866642661</v>
      </c>
      <c r="BN160" s="1467">
        <f t="shared" si="657"/>
        <v>144637.2309331412</v>
      </c>
      <c r="BO160" s="1467">
        <f t="shared" si="658"/>
        <v>115709.784746513</v>
      </c>
      <c r="BP160" s="1467">
        <f t="shared" si="659"/>
        <v>92567.827797210455</v>
      </c>
      <c r="BQ160" s="1467">
        <f t="shared" si="660"/>
        <v>74054.262237768111</v>
      </c>
      <c r="BR160" s="1467">
        <f t="shared" si="661"/>
        <v>59243.409790214384</v>
      </c>
      <c r="BS160" s="1467">
        <f t="shared" si="662"/>
        <v>47394.727832171557</v>
      </c>
      <c r="BT160" s="1467">
        <f t="shared" si="663"/>
        <v>37915.782265737143</v>
      </c>
      <c r="BU160" s="1467">
        <f t="shared" si="664"/>
        <v>30332.625812589613</v>
      </c>
      <c r="BV160" s="1488"/>
    </row>
    <row r="161" spans="1:74" x14ac:dyDescent="0.2">
      <c r="A161" s="927" t="str">
        <f t="shared" si="665"/>
        <v>Accelerated.Accelerated</v>
      </c>
      <c r="B161" s="1076"/>
      <c r="C161" s="1076" t="str">
        <f t="shared" si="673"/>
        <v>Accelerated</v>
      </c>
      <c r="D161" s="1076" t="str">
        <f>Assumptions!$AH$82</f>
        <v>Accelerated</v>
      </c>
      <c r="E161" s="1076" t="str">
        <f>'Imported Starch'!H257</f>
        <v>Distillation, Rectification and Dehydration</v>
      </c>
      <c r="F161" s="1467">
        <f>SUM('Imported Starch'!J257:K257)*1000000</f>
        <v>23000000</v>
      </c>
      <c r="G161" s="1467">
        <f t="shared" si="666"/>
        <v>28462500</v>
      </c>
      <c r="H161" s="1467">
        <f t="shared" si="667"/>
        <v>31308750.000000004</v>
      </c>
      <c r="I161" s="1467">
        <f t="shared" si="668"/>
        <v>31308750.000000004</v>
      </c>
      <c r="J161" s="1076">
        <f t="shared" si="674"/>
        <v>0.2</v>
      </c>
      <c r="K161" s="1107"/>
      <c r="L161" s="1467">
        <f t="shared" si="669"/>
        <v>6261750.0000000009</v>
      </c>
      <c r="M161" s="1467">
        <f>($I161-SUM($L161:L161))*$J161</f>
        <v>5009400.0000000009</v>
      </c>
      <c r="N161" s="1467">
        <f>($I161-SUM($L161:M161))*$J161</f>
        <v>4007520</v>
      </c>
      <c r="O161" s="1467">
        <f>($I161-SUM($L161:N161))*$J161</f>
        <v>3206016.0000000005</v>
      </c>
      <c r="P161" s="1467">
        <f>($I161-SUM($L161:O161))*$J161</f>
        <v>2564812.8000000003</v>
      </c>
      <c r="Q161" s="1467">
        <f>($I161-SUM($L161:P161))*$J161</f>
        <v>2051850.24</v>
      </c>
      <c r="R161" s="1467">
        <f>($I161-SUM($L161:Q161))*$J161</f>
        <v>1641480.1920000003</v>
      </c>
      <c r="S161" s="1467">
        <f>($I161-SUM($L161:R161))*$J161</f>
        <v>1313184.1535999998</v>
      </c>
      <c r="T161" s="1467">
        <f>($I161-SUM($L161:S161))*$J161</f>
        <v>1050547.3228799999</v>
      </c>
      <c r="U161" s="1467">
        <f>($I161-SUM($L161:T161))*$J161</f>
        <v>840437.85830399999</v>
      </c>
      <c r="V161" s="1467">
        <f>($I161-SUM($L161:U161))*$J161</f>
        <v>672350.28664319962</v>
      </c>
      <c r="W161" s="1467">
        <f>($I161-SUM($L161:V161))*$J161</f>
        <v>537880.22931455972</v>
      </c>
      <c r="X161" s="1467">
        <f>($I161-SUM($L161:W161))*$J161</f>
        <v>430304.1834516481</v>
      </c>
      <c r="Y161" s="1467">
        <f>($I161-SUM($L161:X161))*$J161</f>
        <v>344243.34676131833</v>
      </c>
      <c r="Z161" s="1467">
        <f>($I161-SUM($L161:Y161))*$J161</f>
        <v>275394.67740905436</v>
      </c>
      <c r="AA161" s="1467">
        <f>($I161-SUM($L161:Z161))*$J161</f>
        <v>220315.74192724377</v>
      </c>
      <c r="AB161" s="1467">
        <f>($I161-SUM($L161:AA161))*$J161</f>
        <v>176252.59354179504</v>
      </c>
      <c r="AC161" s="1467">
        <f>($I161-SUM($L161:AB161))*$J161</f>
        <v>141002.07483343632</v>
      </c>
      <c r="AD161" s="1467">
        <f>($I161-SUM($L161:AC161))*$J161</f>
        <v>112801.65986674876</v>
      </c>
      <c r="AE161" s="1467">
        <f>($I161-SUM($L161:AD161))*$J161</f>
        <v>90241.327893398702</v>
      </c>
      <c r="AF161" s="1467">
        <f>($I161-SUM($L161:AE161))*$J161</f>
        <v>72193.062314718962</v>
      </c>
      <c r="AG161" s="1467">
        <f>($I161-SUM($L161:AF161))*$J161</f>
        <v>57754.449851775171</v>
      </c>
      <c r="AH161" s="1467">
        <f>($I161-SUM($L161:AG161))*$J161</f>
        <v>46203.559881420435</v>
      </c>
      <c r="AI161" s="1467">
        <f>($I161-SUM($L161:AH161))*$J161</f>
        <v>36962.847905136645</v>
      </c>
      <c r="AJ161" s="1467">
        <f>($I161-SUM($L161:AI161))*$J161</f>
        <v>29570.278324109317</v>
      </c>
      <c r="AK161" s="1467">
        <f>($I161-SUM($L161:AJ161))*$J161</f>
        <v>23656.222659287603</v>
      </c>
      <c r="AL161" s="1467">
        <f>($I161-SUM($L161:AK161))*$J161</f>
        <v>18924.978127430379</v>
      </c>
      <c r="AM161" s="1467">
        <f>($I161-SUM($L161:AL161))*$J161</f>
        <v>15139.982501944156</v>
      </c>
      <c r="AN161" s="1467">
        <f>($I161-SUM($L161:AM161))*$J161</f>
        <v>12111.986001555622</v>
      </c>
      <c r="AO161" s="1467">
        <f>($I161-SUM($L161:AN161))*$J161</f>
        <v>9689.5888012446467</v>
      </c>
      <c r="AP161" s="1468">
        <f t="shared" si="670"/>
        <v>31269991.644795027</v>
      </c>
      <c r="AQ161" s="1488"/>
      <c r="AR161" s="1467">
        <f t="shared" si="671"/>
        <v>25047000.000000004</v>
      </c>
      <c r="AS161" s="1467">
        <f t="shared" si="672"/>
        <v>20037600.000000004</v>
      </c>
      <c r="AT161" s="1467">
        <f t="shared" si="637"/>
        <v>16030080.000000004</v>
      </c>
      <c r="AU161" s="1467">
        <f t="shared" si="638"/>
        <v>12824064.000000004</v>
      </c>
      <c r="AV161" s="1467">
        <f t="shared" si="639"/>
        <v>10259251.200000003</v>
      </c>
      <c r="AW161" s="1467">
        <f t="shared" si="640"/>
        <v>8207400.9600000028</v>
      </c>
      <c r="AX161" s="1467">
        <f t="shared" si="641"/>
        <v>6565920.768000003</v>
      </c>
      <c r="AY161" s="1467">
        <f t="shared" si="642"/>
        <v>5252736.6144000031</v>
      </c>
      <c r="AZ161" s="1467">
        <f t="shared" si="643"/>
        <v>4202189.2915200032</v>
      </c>
      <c r="BA161" s="1467">
        <f t="shared" si="644"/>
        <v>3361751.4332160032</v>
      </c>
      <c r="BB161" s="1467">
        <f t="shared" si="645"/>
        <v>2689401.1465728036</v>
      </c>
      <c r="BC161" s="1467">
        <f t="shared" si="646"/>
        <v>2151520.917258244</v>
      </c>
      <c r="BD161" s="1467">
        <f t="shared" si="647"/>
        <v>1721216.7338065959</v>
      </c>
      <c r="BE161" s="1467">
        <f t="shared" si="648"/>
        <v>1376973.3870452775</v>
      </c>
      <c r="BF161" s="1467">
        <f t="shared" si="649"/>
        <v>1101578.709636223</v>
      </c>
      <c r="BG161" s="1467">
        <f t="shared" si="650"/>
        <v>881262.96770897927</v>
      </c>
      <c r="BH161" s="1467">
        <f t="shared" si="651"/>
        <v>705010.37416718423</v>
      </c>
      <c r="BI161" s="1467">
        <f t="shared" si="652"/>
        <v>564008.29933374794</v>
      </c>
      <c r="BJ161" s="1467">
        <f t="shared" si="653"/>
        <v>451206.63946699922</v>
      </c>
      <c r="BK161" s="1467">
        <f t="shared" si="654"/>
        <v>360965.31157360051</v>
      </c>
      <c r="BL161" s="1467">
        <f t="shared" si="655"/>
        <v>288772.24925888155</v>
      </c>
      <c r="BM161" s="1467">
        <f t="shared" si="656"/>
        <v>231017.79940710639</v>
      </c>
      <c r="BN161" s="1467">
        <f t="shared" si="657"/>
        <v>184814.23952568596</v>
      </c>
      <c r="BO161" s="1467">
        <f t="shared" si="658"/>
        <v>147851.39162054932</v>
      </c>
      <c r="BP161" s="1467">
        <f t="shared" si="659"/>
        <v>118281.11329644</v>
      </c>
      <c r="BQ161" s="1467">
        <f t="shared" si="660"/>
        <v>94624.890637152392</v>
      </c>
      <c r="BR161" s="1467">
        <f t="shared" si="661"/>
        <v>75699.912509722009</v>
      </c>
      <c r="BS161" s="1467">
        <f t="shared" si="662"/>
        <v>60559.930007777853</v>
      </c>
      <c r="BT161" s="1467">
        <f t="shared" si="663"/>
        <v>48447.944006222227</v>
      </c>
      <c r="BU161" s="1467">
        <f t="shared" si="664"/>
        <v>38758.355204977583</v>
      </c>
      <c r="BV161" s="1488"/>
    </row>
    <row r="162" spans="1:74" x14ac:dyDescent="0.2">
      <c r="A162" s="927" t="str">
        <f t="shared" si="665"/>
        <v>Accelerated.Accelerated</v>
      </c>
      <c r="B162" s="1076"/>
      <c r="C162" s="1076" t="str">
        <f t="shared" si="673"/>
        <v>Accelerated</v>
      </c>
      <c r="D162" s="1076" t="str">
        <f>Assumptions!$AH$82</f>
        <v>Accelerated</v>
      </c>
      <c r="E162" s="1076" t="str">
        <f>'Imported Starch'!H258</f>
        <v>Alcohol Storage</v>
      </c>
      <c r="F162" s="1467">
        <f>SUM('Imported Starch'!J258:K258)*1000000</f>
        <v>1000000</v>
      </c>
      <c r="G162" s="1467">
        <f t="shared" si="666"/>
        <v>1237500</v>
      </c>
      <c r="H162" s="1467">
        <f t="shared" si="667"/>
        <v>1361250</v>
      </c>
      <c r="I162" s="1467">
        <f t="shared" si="668"/>
        <v>1361250</v>
      </c>
      <c r="J162" s="1076">
        <f t="shared" si="674"/>
        <v>0.2</v>
      </c>
      <c r="K162" s="1107"/>
      <c r="L162" s="1467">
        <f t="shared" si="669"/>
        <v>272250</v>
      </c>
      <c r="M162" s="1467">
        <f>($I162-SUM($L162:L162))*$J162</f>
        <v>217800</v>
      </c>
      <c r="N162" s="1467">
        <f>($I162-SUM($L162:M162))*$J162</f>
        <v>174240</v>
      </c>
      <c r="O162" s="1467">
        <f>($I162-SUM($L162:N162))*$J162</f>
        <v>139392</v>
      </c>
      <c r="P162" s="1467">
        <f>($I162-SUM($L162:O162))*$J162</f>
        <v>111513.60000000001</v>
      </c>
      <c r="Q162" s="1467">
        <f>($I162-SUM($L162:P162))*$J162</f>
        <v>89210.880000000005</v>
      </c>
      <c r="R162" s="1467">
        <f>($I162-SUM($L162:Q162))*$J162</f>
        <v>71368.704000000012</v>
      </c>
      <c r="S162" s="1467">
        <f>($I162-SUM($L162:R162))*$J162</f>
        <v>57094.963200000027</v>
      </c>
      <c r="T162" s="1467">
        <f>($I162-SUM($L162:S162))*$J162</f>
        <v>45675.970560000002</v>
      </c>
      <c r="U162" s="1467">
        <f>($I162-SUM($L162:T162))*$J162</f>
        <v>36540.77644799999</v>
      </c>
      <c r="V162" s="1467">
        <f>($I162-SUM($L162:U162))*$J162</f>
        <v>29232.621158399994</v>
      </c>
      <c r="W162" s="1467">
        <f>($I162-SUM($L162:V162))*$J162</f>
        <v>23386.096926719976</v>
      </c>
      <c r="X162" s="1467">
        <f>($I162-SUM($L162:W162))*$J162</f>
        <v>18708.877541375998</v>
      </c>
      <c r="Y162" s="1467">
        <f>($I162-SUM($L162:X162))*$J162</f>
        <v>14967.102033100789</v>
      </c>
      <c r="Z162" s="1467">
        <f>($I162-SUM($L162:Y162))*$J162</f>
        <v>11973.681626480633</v>
      </c>
      <c r="AA162" s="1467">
        <f>($I162-SUM($L162:Z162))*$J162</f>
        <v>9578.9453011845235</v>
      </c>
      <c r="AB162" s="1467">
        <f>($I162-SUM($L162:AA162))*$J162</f>
        <v>7663.1562409476383</v>
      </c>
      <c r="AC162" s="1467">
        <f>($I162-SUM($L162:AB162))*$J162</f>
        <v>6130.524992758129</v>
      </c>
      <c r="AD162" s="1467">
        <f>($I162-SUM($L162:AC162))*$J162</f>
        <v>4904.4199942064943</v>
      </c>
      <c r="AE162" s="1467">
        <f>($I162-SUM($L162:AD162))*$J162</f>
        <v>3923.5359953652137</v>
      </c>
      <c r="AF162" s="1467">
        <f>($I162-SUM($L162:AE162))*$J162</f>
        <v>3138.8287962921895</v>
      </c>
      <c r="AG162" s="1467">
        <f>($I162-SUM($L162:AF162))*$J162</f>
        <v>2511.0630370337517</v>
      </c>
      <c r="AH162" s="1467">
        <f>($I162-SUM($L162:AG162))*$J162</f>
        <v>2008.85042962702</v>
      </c>
      <c r="AI162" s="1467">
        <f>($I162-SUM($L162:AH162))*$J162</f>
        <v>1607.0803437015975</v>
      </c>
      <c r="AJ162" s="1467">
        <f>($I162-SUM($L162:AI162))*$J162</f>
        <v>1285.6642749612686</v>
      </c>
      <c r="AK162" s="1467">
        <f>($I162-SUM($L162:AJ162))*$J162</f>
        <v>1028.5314199690242</v>
      </c>
      <c r="AL162" s="1467">
        <f>($I162-SUM($L162:AK162))*$J162</f>
        <v>822.82513597523803</v>
      </c>
      <c r="AM162" s="1467">
        <f>($I162-SUM($L162:AL162))*$J162</f>
        <v>658.26010878020907</v>
      </c>
      <c r="AN162" s="1467">
        <f>($I162-SUM($L162:AM162))*$J162</f>
        <v>526.60808702418581</v>
      </c>
      <c r="AO162" s="1467">
        <f>($I162-SUM($L162:AN162))*$J162</f>
        <v>421.28646961934868</v>
      </c>
      <c r="AP162" s="1468">
        <f t="shared" si="670"/>
        <v>1359564.8541215225</v>
      </c>
      <c r="AQ162" s="1488"/>
      <c r="AR162" s="1467">
        <f t="shared" si="671"/>
        <v>1089000</v>
      </c>
      <c r="AS162" s="1467">
        <f t="shared" si="672"/>
        <v>871200</v>
      </c>
      <c r="AT162" s="1467">
        <f t="shared" si="637"/>
        <v>696960</v>
      </c>
      <c r="AU162" s="1467">
        <f t="shared" si="638"/>
        <v>557568</v>
      </c>
      <c r="AV162" s="1467">
        <f t="shared" si="639"/>
        <v>446054.40000000002</v>
      </c>
      <c r="AW162" s="1467">
        <f t="shared" si="640"/>
        <v>356843.52000000002</v>
      </c>
      <c r="AX162" s="1467">
        <f t="shared" si="641"/>
        <v>285474.81599999999</v>
      </c>
      <c r="AY162" s="1467">
        <f t="shared" si="642"/>
        <v>228379.85279999996</v>
      </c>
      <c r="AZ162" s="1467">
        <f t="shared" si="643"/>
        <v>182703.88223999995</v>
      </c>
      <c r="BA162" s="1467">
        <f t="shared" si="644"/>
        <v>146163.10579199996</v>
      </c>
      <c r="BB162" s="1467">
        <f t="shared" si="645"/>
        <v>116930.48463359996</v>
      </c>
      <c r="BC162" s="1467">
        <f t="shared" si="646"/>
        <v>93544.387706879992</v>
      </c>
      <c r="BD162" s="1467">
        <f t="shared" si="647"/>
        <v>74835.510165503991</v>
      </c>
      <c r="BE162" s="1467">
        <f t="shared" si="648"/>
        <v>59868.408132403201</v>
      </c>
      <c r="BF162" s="1467">
        <f t="shared" si="649"/>
        <v>47894.726505922568</v>
      </c>
      <c r="BG162" s="1467">
        <f t="shared" si="650"/>
        <v>38315.781204738043</v>
      </c>
      <c r="BH162" s="1467">
        <f t="shared" si="651"/>
        <v>30652.624963790404</v>
      </c>
      <c r="BI162" s="1467">
        <f t="shared" si="652"/>
        <v>24522.099971032276</v>
      </c>
      <c r="BJ162" s="1467">
        <f t="shared" si="653"/>
        <v>19617.679976825781</v>
      </c>
      <c r="BK162" s="1467">
        <f t="shared" si="654"/>
        <v>15694.143981460567</v>
      </c>
      <c r="BL162" s="1467">
        <f t="shared" si="655"/>
        <v>12555.315185168378</v>
      </c>
      <c r="BM162" s="1467">
        <f t="shared" si="656"/>
        <v>10044.252148134627</v>
      </c>
      <c r="BN162" s="1467">
        <f t="shared" si="657"/>
        <v>8035.4017185076063</v>
      </c>
      <c r="BO162" s="1467">
        <f t="shared" si="658"/>
        <v>6428.3213748060089</v>
      </c>
      <c r="BP162" s="1467">
        <f t="shared" si="659"/>
        <v>5142.6570998447405</v>
      </c>
      <c r="BQ162" s="1467">
        <f t="shared" si="660"/>
        <v>4114.1256798757167</v>
      </c>
      <c r="BR162" s="1467">
        <f t="shared" si="661"/>
        <v>3291.3005439004787</v>
      </c>
      <c r="BS162" s="1467">
        <f t="shared" si="662"/>
        <v>2633.0404351202696</v>
      </c>
      <c r="BT162" s="1467">
        <f t="shared" si="663"/>
        <v>2106.4323480960838</v>
      </c>
      <c r="BU162" s="1467">
        <f t="shared" si="664"/>
        <v>1685.1458784767351</v>
      </c>
      <c r="BV162" s="1488"/>
    </row>
    <row r="163" spans="1:74" x14ac:dyDescent="0.2">
      <c r="A163" s="927" t="str">
        <f t="shared" si="665"/>
        <v>Accelerated.Accelerated</v>
      </c>
      <c r="B163" s="1076"/>
      <c r="C163" s="1076" t="str">
        <f t="shared" si="673"/>
        <v>Accelerated</v>
      </c>
      <c r="D163" s="1076" t="str">
        <f>Assumptions!$AH$82</f>
        <v>Accelerated</v>
      </c>
      <c r="E163" s="1076" t="str">
        <f>'Imported Starch'!H259</f>
        <v>WDGS drying plant</v>
      </c>
      <c r="F163" s="1467">
        <f>SUM('Imported Starch'!J259:K259)*1000000</f>
        <v>10000000</v>
      </c>
      <c r="G163" s="1467">
        <f t="shared" si="666"/>
        <v>12375000</v>
      </c>
      <c r="H163" s="1467">
        <f t="shared" si="667"/>
        <v>13612500.000000002</v>
      </c>
      <c r="I163" s="1467">
        <f t="shared" si="668"/>
        <v>13612500.000000002</v>
      </c>
      <c r="J163" s="1076">
        <f t="shared" si="674"/>
        <v>0.2</v>
      </c>
      <c r="K163" s="1107"/>
      <c r="L163" s="1467">
        <f t="shared" si="669"/>
        <v>2722500.0000000005</v>
      </c>
      <c r="M163" s="1467">
        <f>($I163-SUM($L163:L163))*$J163</f>
        <v>2178000.0000000005</v>
      </c>
      <c r="N163" s="1467">
        <f>($I163-SUM($L163:M163))*$J163</f>
        <v>1742400</v>
      </c>
      <c r="O163" s="1467">
        <f>($I163-SUM($L163:N163))*$J163</f>
        <v>1393920.0000000002</v>
      </c>
      <c r="P163" s="1467">
        <f>($I163-SUM($L163:O163))*$J163</f>
        <v>1115136.0000000002</v>
      </c>
      <c r="Q163" s="1467">
        <f>($I163-SUM($L163:P163))*$J163</f>
        <v>892108.80000000005</v>
      </c>
      <c r="R163" s="1467">
        <f>($I163-SUM($L163:Q163))*$J163</f>
        <v>713687.03999999992</v>
      </c>
      <c r="S163" s="1467">
        <f>($I163-SUM($L163:R163))*$J163</f>
        <v>570949.6320000001</v>
      </c>
      <c r="T163" s="1467">
        <f>($I163-SUM($L163:S163))*$J163</f>
        <v>456759.70560000022</v>
      </c>
      <c r="U163" s="1467">
        <f>($I163-SUM($L163:T163))*$J163</f>
        <v>365407.76448000001</v>
      </c>
      <c r="V163" s="1467">
        <f>($I163-SUM($L163:U163))*$J163</f>
        <v>292326.21158399992</v>
      </c>
      <c r="W163" s="1467">
        <f>($I163-SUM($L163:V163))*$J163</f>
        <v>233860.96926719995</v>
      </c>
      <c r="X163" s="1467">
        <f>($I163-SUM($L163:W163))*$J163</f>
        <v>187088.77541375981</v>
      </c>
      <c r="Y163" s="1467">
        <f>($I163-SUM($L163:X163))*$J163</f>
        <v>149671.02033100798</v>
      </c>
      <c r="Z163" s="1467">
        <f>($I163-SUM($L163:Y163))*$J163</f>
        <v>119736.81626480632</v>
      </c>
      <c r="AA163" s="1467">
        <f>($I163-SUM($L163:Z163))*$J163</f>
        <v>95789.453011845064</v>
      </c>
      <c r="AB163" s="1467">
        <f>($I163-SUM($L163:AA163))*$J163</f>
        <v>76631.562409476188</v>
      </c>
      <c r="AC163" s="1467">
        <f>($I163-SUM($L163:AB163))*$J163</f>
        <v>61305.249927581106</v>
      </c>
      <c r="AD163" s="1467">
        <f>($I163-SUM($L163:AC163))*$J163</f>
        <v>49044.199942065032</v>
      </c>
      <c r="AE163" s="1467">
        <f>($I163-SUM($L163:AD163))*$J163</f>
        <v>39235.359953651954</v>
      </c>
      <c r="AF163" s="1467">
        <f>($I163-SUM($L163:AE163))*$J163</f>
        <v>31388.28796292171</v>
      </c>
      <c r="AG163" s="1467">
        <f>($I163-SUM($L163:AF163))*$J163</f>
        <v>25110.630370337516</v>
      </c>
      <c r="AH163" s="1467">
        <f>($I163-SUM($L163:AG163))*$J163</f>
        <v>20088.504296270014</v>
      </c>
      <c r="AI163" s="1467">
        <f>($I163-SUM($L163:AH163))*$J163</f>
        <v>16070.80343701616</v>
      </c>
      <c r="AJ163" s="1467">
        <f>($I163-SUM($L163:AI163))*$J163</f>
        <v>12856.64274961278</v>
      </c>
      <c r="AK163" s="1467">
        <f>($I163-SUM($L163:AJ163))*$J163</f>
        <v>10285.314199690149</v>
      </c>
      <c r="AL163" s="1467">
        <f>($I163-SUM($L163:AK163))*$J163</f>
        <v>8228.2513597521938</v>
      </c>
      <c r="AM163" s="1467">
        <f>($I163-SUM($L163:AL163))*$J163</f>
        <v>6582.6010878019042</v>
      </c>
      <c r="AN163" s="1467">
        <f>($I163-SUM($L163:AM163))*$J163</f>
        <v>5266.0808702416725</v>
      </c>
      <c r="AO163" s="1467">
        <f>($I163-SUM($L163:AN163))*$J163</f>
        <v>4212.8646961934865</v>
      </c>
      <c r="AP163" s="1468">
        <f t="shared" si="670"/>
        <v>13595648.541215228</v>
      </c>
      <c r="AQ163" s="1488"/>
      <c r="AR163" s="1467">
        <f t="shared" si="671"/>
        <v>10890000.000000002</v>
      </c>
      <c r="AS163" s="1467">
        <f t="shared" si="672"/>
        <v>8712000.0000000019</v>
      </c>
      <c r="AT163" s="1467">
        <f t="shared" si="637"/>
        <v>6969600.0000000019</v>
      </c>
      <c r="AU163" s="1467">
        <f t="shared" si="638"/>
        <v>5575680.0000000019</v>
      </c>
      <c r="AV163" s="1467">
        <f t="shared" si="639"/>
        <v>4460544.0000000019</v>
      </c>
      <c r="AW163" s="1467">
        <f t="shared" si="640"/>
        <v>3568435.200000002</v>
      </c>
      <c r="AX163" s="1467">
        <f t="shared" si="641"/>
        <v>2854748.160000002</v>
      </c>
      <c r="AY163" s="1467">
        <f t="shared" si="642"/>
        <v>2283798.5280000018</v>
      </c>
      <c r="AZ163" s="1467">
        <f t="shared" si="643"/>
        <v>1827038.8224000016</v>
      </c>
      <c r="BA163" s="1467">
        <f t="shared" si="644"/>
        <v>1461631.0579200014</v>
      </c>
      <c r="BB163" s="1467">
        <f t="shared" si="645"/>
        <v>1169304.8463360015</v>
      </c>
      <c r="BC163" s="1467">
        <f t="shared" si="646"/>
        <v>935443.87706880155</v>
      </c>
      <c r="BD163" s="1467">
        <f t="shared" si="647"/>
        <v>748355.1016550418</v>
      </c>
      <c r="BE163" s="1467">
        <f t="shared" si="648"/>
        <v>598684.08132403379</v>
      </c>
      <c r="BF163" s="1467">
        <f t="shared" si="649"/>
        <v>478947.26505922747</v>
      </c>
      <c r="BG163" s="1467">
        <f t="shared" si="650"/>
        <v>383157.81204738241</v>
      </c>
      <c r="BH163" s="1467">
        <f t="shared" si="651"/>
        <v>306526.24963790621</v>
      </c>
      <c r="BI163" s="1467">
        <f t="shared" si="652"/>
        <v>245220.99971032509</v>
      </c>
      <c r="BJ163" s="1467">
        <f t="shared" si="653"/>
        <v>196176.79976826007</v>
      </c>
      <c r="BK163" s="1467">
        <f t="shared" si="654"/>
        <v>156941.43981460811</v>
      </c>
      <c r="BL163" s="1467">
        <f t="shared" si="655"/>
        <v>125553.1518516864</v>
      </c>
      <c r="BM163" s="1467">
        <f t="shared" si="656"/>
        <v>100442.52148134889</v>
      </c>
      <c r="BN163" s="1467">
        <f t="shared" si="657"/>
        <v>80354.017185078876</v>
      </c>
      <c r="BO163" s="1467">
        <f t="shared" si="658"/>
        <v>64283.213748062713</v>
      </c>
      <c r="BP163" s="1467">
        <f t="shared" si="659"/>
        <v>51426.570998449934</v>
      </c>
      <c r="BQ163" s="1467">
        <f t="shared" si="660"/>
        <v>41141.256798759787</v>
      </c>
      <c r="BR163" s="1467">
        <f t="shared" si="661"/>
        <v>32913.005439007597</v>
      </c>
      <c r="BS163" s="1467">
        <f t="shared" si="662"/>
        <v>26330.404351205692</v>
      </c>
      <c r="BT163" s="1467">
        <f t="shared" si="663"/>
        <v>21064.32348096402</v>
      </c>
      <c r="BU163" s="1467">
        <f t="shared" si="664"/>
        <v>16851.458784770533</v>
      </c>
      <c r="BV163" s="1488"/>
    </row>
    <row r="164" spans="1:74" x14ac:dyDescent="0.2">
      <c r="A164" s="927" t="str">
        <f t="shared" si="665"/>
        <v>Accelerated.Accelerated</v>
      </c>
      <c r="B164" s="1076"/>
      <c r="C164" s="1076" t="str">
        <f t="shared" si="673"/>
        <v>Accelerated</v>
      </c>
      <c r="D164" s="1076" t="str">
        <f>Assumptions!$AH$82</f>
        <v>Accelerated</v>
      </c>
      <c r="E164" s="1076" t="str">
        <f>'Imported Starch'!H260</f>
        <v>Stockfeed plant</v>
      </c>
      <c r="F164" s="1467">
        <f>SUM('Imported Starch'!J260:K260)*1000000</f>
        <v>1000000</v>
      </c>
      <c r="G164" s="1467">
        <f t="shared" si="666"/>
        <v>1237500</v>
      </c>
      <c r="H164" s="1467">
        <f t="shared" si="667"/>
        <v>1361250</v>
      </c>
      <c r="I164" s="1467">
        <f t="shared" si="668"/>
        <v>1361250</v>
      </c>
      <c r="J164" s="1076">
        <f t="shared" si="674"/>
        <v>0.2</v>
      </c>
      <c r="K164" s="1107"/>
      <c r="L164" s="1467">
        <f t="shared" si="669"/>
        <v>272250</v>
      </c>
      <c r="M164" s="1467">
        <f>($I164-SUM($L164:L164))*$J164</f>
        <v>217800</v>
      </c>
      <c r="N164" s="1467">
        <f>($I164-SUM($L164:M164))*$J164</f>
        <v>174240</v>
      </c>
      <c r="O164" s="1467">
        <f>($I164-SUM($L164:N164))*$J164</f>
        <v>139392</v>
      </c>
      <c r="P164" s="1467">
        <f>($I164-SUM($L164:O164))*$J164</f>
        <v>111513.60000000001</v>
      </c>
      <c r="Q164" s="1467">
        <f>($I164-SUM($L164:P164))*$J164</f>
        <v>89210.880000000005</v>
      </c>
      <c r="R164" s="1467">
        <f>($I164-SUM($L164:Q164))*$J164</f>
        <v>71368.704000000012</v>
      </c>
      <c r="S164" s="1467">
        <f>($I164-SUM($L164:R164))*$J164</f>
        <v>57094.963200000027</v>
      </c>
      <c r="T164" s="1467">
        <f>($I164-SUM($L164:S164))*$J164</f>
        <v>45675.970560000002</v>
      </c>
      <c r="U164" s="1467">
        <f>($I164-SUM($L164:T164))*$J164</f>
        <v>36540.77644799999</v>
      </c>
      <c r="V164" s="1467">
        <f>($I164-SUM($L164:U164))*$J164</f>
        <v>29232.621158399994</v>
      </c>
      <c r="W164" s="1467">
        <f>($I164-SUM($L164:V164))*$J164</f>
        <v>23386.096926719976</v>
      </c>
      <c r="X164" s="1467">
        <f>($I164-SUM($L164:W164))*$J164</f>
        <v>18708.877541375998</v>
      </c>
      <c r="Y164" s="1467">
        <f>($I164-SUM($L164:X164))*$J164</f>
        <v>14967.102033100789</v>
      </c>
      <c r="Z164" s="1467">
        <f>($I164-SUM($L164:Y164))*$J164</f>
        <v>11973.681626480633</v>
      </c>
      <c r="AA164" s="1467">
        <f>($I164-SUM($L164:Z164))*$J164</f>
        <v>9578.9453011845235</v>
      </c>
      <c r="AB164" s="1467">
        <f>($I164-SUM($L164:AA164))*$J164</f>
        <v>7663.1562409476383</v>
      </c>
      <c r="AC164" s="1467">
        <f>($I164-SUM($L164:AB164))*$J164</f>
        <v>6130.524992758129</v>
      </c>
      <c r="AD164" s="1467">
        <f>($I164-SUM($L164:AC164))*$J164</f>
        <v>4904.4199942064943</v>
      </c>
      <c r="AE164" s="1467">
        <f>($I164-SUM($L164:AD164))*$J164</f>
        <v>3923.5359953652137</v>
      </c>
      <c r="AF164" s="1467">
        <f>($I164-SUM($L164:AE164))*$J164</f>
        <v>3138.8287962921895</v>
      </c>
      <c r="AG164" s="1467">
        <f>($I164-SUM($L164:AF164))*$J164</f>
        <v>2511.0630370337517</v>
      </c>
      <c r="AH164" s="1467">
        <f>($I164-SUM($L164:AG164))*$J164</f>
        <v>2008.85042962702</v>
      </c>
      <c r="AI164" s="1467">
        <f>($I164-SUM($L164:AH164))*$J164</f>
        <v>1607.0803437015975</v>
      </c>
      <c r="AJ164" s="1467">
        <f>($I164-SUM($L164:AI164))*$J164</f>
        <v>1285.6642749612686</v>
      </c>
      <c r="AK164" s="1467">
        <f>($I164-SUM($L164:AJ164))*$J164</f>
        <v>1028.5314199690242</v>
      </c>
      <c r="AL164" s="1467">
        <f>($I164-SUM($L164:AK164))*$J164</f>
        <v>822.82513597523803</v>
      </c>
      <c r="AM164" s="1467">
        <f>($I164-SUM($L164:AL164))*$J164</f>
        <v>658.26010878020907</v>
      </c>
      <c r="AN164" s="1467">
        <f>($I164-SUM($L164:AM164))*$J164</f>
        <v>526.60808702418581</v>
      </c>
      <c r="AO164" s="1467">
        <f>($I164-SUM($L164:AN164))*$J164</f>
        <v>421.28646961934868</v>
      </c>
      <c r="AP164" s="1468">
        <f t="shared" si="670"/>
        <v>1359564.8541215225</v>
      </c>
      <c r="AQ164" s="1488"/>
      <c r="AR164" s="1467">
        <f t="shared" si="671"/>
        <v>1089000</v>
      </c>
      <c r="AS164" s="1467">
        <f t="shared" si="672"/>
        <v>871200</v>
      </c>
      <c r="AT164" s="1467">
        <f t="shared" si="637"/>
        <v>696960</v>
      </c>
      <c r="AU164" s="1467">
        <f t="shared" si="638"/>
        <v>557568</v>
      </c>
      <c r="AV164" s="1467">
        <f t="shared" si="639"/>
        <v>446054.40000000002</v>
      </c>
      <c r="AW164" s="1467">
        <f t="shared" si="640"/>
        <v>356843.52000000002</v>
      </c>
      <c r="AX164" s="1467">
        <f t="shared" si="641"/>
        <v>285474.81599999999</v>
      </c>
      <c r="AY164" s="1467">
        <f t="shared" si="642"/>
        <v>228379.85279999996</v>
      </c>
      <c r="AZ164" s="1467">
        <f t="shared" si="643"/>
        <v>182703.88223999995</v>
      </c>
      <c r="BA164" s="1467">
        <f t="shared" si="644"/>
        <v>146163.10579199996</v>
      </c>
      <c r="BB164" s="1467">
        <f t="shared" si="645"/>
        <v>116930.48463359996</v>
      </c>
      <c r="BC164" s="1467">
        <f t="shared" si="646"/>
        <v>93544.387706879992</v>
      </c>
      <c r="BD164" s="1467">
        <f t="shared" si="647"/>
        <v>74835.510165503991</v>
      </c>
      <c r="BE164" s="1467">
        <f t="shared" si="648"/>
        <v>59868.408132403201</v>
      </c>
      <c r="BF164" s="1467">
        <f t="shared" si="649"/>
        <v>47894.726505922568</v>
      </c>
      <c r="BG164" s="1467">
        <f t="shared" si="650"/>
        <v>38315.781204738043</v>
      </c>
      <c r="BH164" s="1467">
        <f t="shared" si="651"/>
        <v>30652.624963790404</v>
      </c>
      <c r="BI164" s="1467">
        <f t="shared" si="652"/>
        <v>24522.099971032276</v>
      </c>
      <c r="BJ164" s="1467">
        <f t="shared" si="653"/>
        <v>19617.679976825781</v>
      </c>
      <c r="BK164" s="1467">
        <f t="shared" si="654"/>
        <v>15694.143981460567</v>
      </c>
      <c r="BL164" s="1467">
        <f t="shared" si="655"/>
        <v>12555.315185168378</v>
      </c>
      <c r="BM164" s="1467">
        <f t="shared" si="656"/>
        <v>10044.252148134627</v>
      </c>
      <c r="BN164" s="1467">
        <f t="shared" si="657"/>
        <v>8035.4017185076063</v>
      </c>
      <c r="BO164" s="1467">
        <f t="shared" si="658"/>
        <v>6428.3213748060089</v>
      </c>
      <c r="BP164" s="1467">
        <f t="shared" si="659"/>
        <v>5142.6570998447405</v>
      </c>
      <c r="BQ164" s="1467">
        <f t="shared" si="660"/>
        <v>4114.1256798757167</v>
      </c>
      <c r="BR164" s="1467">
        <f t="shared" si="661"/>
        <v>3291.3005439004787</v>
      </c>
      <c r="BS164" s="1467">
        <f t="shared" si="662"/>
        <v>2633.0404351202696</v>
      </c>
      <c r="BT164" s="1467">
        <f t="shared" si="663"/>
        <v>2106.4323480960838</v>
      </c>
      <c r="BU164" s="1467">
        <f t="shared" si="664"/>
        <v>1685.1458784767351</v>
      </c>
      <c r="BV164" s="1488"/>
    </row>
    <row r="165" spans="1:74" x14ac:dyDescent="0.2">
      <c r="A165" s="927" t="str">
        <f t="shared" ref="A165:A167" si="675">C165&amp;"."&amp;D165</f>
        <v>Accelerated.Accelerated</v>
      </c>
      <c r="B165" s="1076"/>
      <c r="C165" s="1076" t="str">
        <f t="shared" si="673"/>
        <v>Accelerated</v>
      </c>
      <c r="D165" s="1076" t="str">
        <f>Assumptions!$AH$82</f>
        <v>Accelerated</v>
      </c>
      <c r="E165" s="1076" t="str">
        <f>'Imported Starch'!H261</f>
        <v>Biogas Plant</v>
      </c>
      <c r="F165" s="1467">
        <f>SUM('Imported Starch'!J261:K261)*1000000</f>
        <v>13000000</v>
      </c>
      <c r="G165" s="1467">
        <f t="shared" ref="G165:G167" si="676">F165*(1+$F$4)</f>
        <v>16087500</v>
      </c>
      <c r="H165" s="1467">
        <f t="shared" ref="H165:H167" si="677">G165*(1+$F$5)</f>
        <v>17696250</v>
      </c>
      <c r="I165" s="1467">
        <f t="shared" ref="I165:I167" si="678">H165*(1+$F$6)</f>
        <v>17696250</v>
      </c>
      <c r="J165" s="1076">
        <f t="shared" si="674"/>
        <v>0.2</v>
      </c>
      <c r="K165" s="1107"/>
      <c r="L165" s="1467">
        <f t="shared" si="669"/>
        <v>3539250</v>
      </c>
      <c r="M165" s="1467">
        <f>($I165-SUM($L165:L165))*$J165</f>
        <v>2831400</v>
      </c>
      <c r="N165" s="1467">
        <f>($I165-SUM($L165:M165))*$J165</f>
        <v>2265120</v>
      </c>
      <c r="O165" s="1467">
        <f>($I165-SUM($L165:N165))*$J165</f>
        <v>1812096</v>
      </c>
      <c r="P165" s="1467">
        <f>($I165-SUM($L165:O165))*$J165</f>
        <v>1449676.8</v>
      </c>
      <c r="Q165" s="1467">
        <f>($I165-SUM($L165:P165))*$J165</f>
        <v>1159741.4399999999</v>
      </c>
      <c r="R165" s="1467">
        <f>($I165-SUM($L165:Q165))*$J165</f>
        <v>927793.152</v>
      </c>
      <c r="S165" s="1467">
        <f>($I165-SUM($L165:R165))*$J165</f>
        <v>742234.52159999986</v>
      </c>
      <c r="T165" s="1467">
        <f>($I165-SUM($L165:S165))*$J165</f>
        <v>593787.61727999977</v>
      </c>
      <c r="U165" s="1467">
        <f>($I165-SUM($L165:T165))*$J165</f>
        <v>475030.09382399992</v>
      </c>
      <c r="V165" s="1467">
        <f>($I165-SUM($L165:U165))*$J165</f>
        <v>380024.07505920011</v>
      </c>
      <c r="W165" s="1467">
        <f>($I165-SUM($L165:V165))*$J165</f>
        <v>304019.26004736015</v>
      </c>
      <c r="X165" s="1467">
        <f>($I165-SUM($L165:W165))*$J165</f>
        <v>243215.40803788826</v>
      </c>
      <c r="Y165" s="1467">
        <f>($I165-SUM($L165:X165))*$J165</f>
        <v>194572.3264303107</v>
      </c>
      <c r="Z165" s="1467">
        <f>($I165-SUM($L165:Y165))*$J165</f>
        <v>155657.8611442484</v>
      </c>
      <c r="AA165" s="1467">
        <f>($I165-SUM($L165:Z165))*$J165</f>
        <v>124526.28891539872</v>
      </c>
      <c r="AB165" s="1467">
        <f>($I165-SUM($L165:AA165))*$J165</f>
        <v>99621.031132318836</v>
      </c>
      <c r="AC165" s="1467">
        <f>($I165-SUM($L165:AB165))*$J165</f>
        <v>79696.824905855217</v>
      </c>
      <c r="AD165" s="1467">
        <f>($I165-SUM($L165:AC165))*$J165</f>
        <v>63757.459924684466</v>
      </c>
      <c r="AE165" s="1467">
        <f>($I165-SUM($L165:AD165))*$J165</f>
        <v>51005.967939747876</v>
      </c>
      <c r="AF165" s="1467">
        <f>($I165-SUM($L165:AE165))*$J165</f>
        <v>40804.774351797998</v>
      </c>
      <c r="AG165" s="1467">
        <f>($I165-SUM($L165:AF165))*$J165</f>
        <v>32643.819481438401</v>
      </c>
      <c r="AH165" s="1467">
        <f>($I165-SUM($L165:AG165))*$J165</f>
        <v>26115.055585150421</v>
      </c>
      <c r="AI165" s="1467">
        <f>($I165-SUM($L165:AH165))*$J165</f>
        <v>20892.044468120486</v>
      </c>
      <c r="AJ165" s="1467">
        <f>($I165-SUM($L165:AI165))*$J165</f>
        <v>16713.635574496537</v>
      </c>
      <c r="AK165" s="1467">
        <f>($I165-SUM($L165:AJ165))*$J165</f>
        <v>13370.908459597082</v>
      </c>
      <c r="AL165" s="1467">
        <f>($I165-SUM($L165:AK165))*$J165</f>
        <v>10696.726767677814</v>
      </c>
      <c r="AM165" s="1467">
        <f>($I165-SUM($L165:AL165))*$J165</f>
        <v>8557.3814141422517</v>
      </c>
      <c r="AN165" s="1467">
        <f>($I165-SUM($L165:AM165))*$J165</f>
        <v>6845.9051313139498</v>
      </c>
      <c r="AO165" s="1467">
        <f>($I165-SUM($L165:AN165))*$J165</f>
        <v>5476.7241050511602</v>
      </c>
      <c r="AP165" s="1468">
        <f t="shared" ref="AP165:AP167" si="679">SUM(L165:AO165)</f>
        <v>17674343.103579797</v>
      </c>
      <c r="AQ165" s="1488"/>
      <c r="AR165" s="1467">
        <f t="shared" ref="AR165:AR167" si="680">I165-L165</f>
        <v>14157000</v>
      </c>
      <c r="AS165" s="1467">
        <f t="shared" ref="AS165:AS167" si="681">AR165-M165</f>
        <v>11325600</v>
      </c>
      <c r="AT165" s="1467">
        <f t="shared" ref="AT165:AT167" si="682">AS165-N165</f>
        <v>9060480</v>
      </c>
      <c r="AU165" s="1467">
        <f t="shared" ref="AU165:AU167" si="683">AT165-O165</f>
        <v>7248384</v>
      </c>
      <c r="AV165" s="1467">
        <f t="shared" ref="AV165:AV167" si="684">AU165-P165</f>
        <v>5798707.2000000002</v>
      </c>
      <c r="AW165" s="1467">
        <f t="shared" ref="AW165:AW167" si="685">AV165-Q165</f>
        <v>4638965.7599999998</v>
      </c>
      <c r="AX165" s="1467">
        <f t="shared" ref="AX165:AX167" si="686">AW165-R165</f>
        <v>3711172.608</v>
      </c>
      <c r="AY165" s="1467">
        <f t="shared" ref="AY165:AY167" si="687">AX165-S165</f>
        <v>2968938.0864000004</v>
      </c>
      <c r="AZ165" s="1467">
        <f t="shared" ref="AZ165:AZ167" si="688">AY165-T165</f>
        <v>2375150.4691200005</v>
      </c>
      <c r="BA165" s="1467">
        <f t="shared" ref="BA165:BA167" si="689">AZ165-U165</f>
        <v>1900120.3752960006</v>
      </c>
      <c r="BB165" s="1467">
        <f t="shared" ref="BB165:BB167" si="690">BA165-V165</f>
        <v>1520096.3002368005</v>
      </c>
      <c r="BC165" s="1467">
        <f t="shared" ref="BC165:BC167" si="691">BB165-W165</f>
        <v>1216077.0401894404</v>
      </c>
      <c r="BD165" s="1467">
        <f t="shared" ref="BD165:BD167" si="692">BC165-X165</f>
        <v>972861.63215155213</v>
      </c>
      <c r="BE165" s="1467">
        <f t="shared" ref="BE165:BE167" si="693">BD165-Y165</f>
        <v>778289.3057212414</v>
      </c>
      <c r="BF165" s="1467">
        <f t="shared" ref="BF165:BF167" si="694">BE165-Z165</f>
        <v>622631.444576993</v>
      </c>
      <c r="BG165" s="1467">
        <f t="shared" ref="BG165:BG167" si="695">BF165-AA165</f>
        <v>498105.1556615943</v>
      </c>
      <c r="BH165" s="1467">
        <f t="shared" ref="BH165:BH167" si="696">BG165-AB165</f>
        <v>398484.12452927546</v>
      </c>
      <c r="BI165" s="1467">
        <f t="shared" ref="BI165:BI167" si="697">BH165-AC165</f>
        <v>318787.29962342023</v>
      </c>
      <c r="BJ165" s="1467">
        <f t="shared" ref="BJ165:BJ167" si="698">BI165-AD165</f>
        <v>255029.83969873577</v>
      </c>
      <c r="BK165" s="1467">
        <f t="shared" ref="BK165:BK167" si="699">BJ165-AE165</f>
        <v>204023.87175898789</v>
      </c>
      <c r="BL165" s="1467">
        <f t="shared" ref="BL165:BL167" si="700">BK165-AF165</f>
        <v>163219.0974071899</v>
      </c>
      <c r="BM165" s="1467">
        <f t="shared" ref="BM165:BM167" si="701">BL165-AG165</f>
        <v>130575.27792575149</v>
      </c>
      <c r="BN165" s="1467">
        <f t="shared" ref="BN165:BN167" si="702">BM165-AH165</f>
        <v>104460.22234060107</v>
      </c>
      <c r="BO165" s="1467">
        <f t="shared" ref="BO165:BO167" si="703">BN165-AI165</f>
        <v>83568.177872480592</v>
      </c>
      <c r="BP165" s="1467">
        <f t="shared" ref="BP165:BP167" si="704">BO165-AJ165</f>
        <v>66854.542297984051</v>
      </c>
      <c r="BQ165" s="1467">
        <f t="shared" ref="BQ165:BQ167" si="705">BP165-AK165</f>
        <v>53483.633838386973</v>
      </c>
      <c r="BR165" s="1467">
        <f t="shared" ref="BR165:BR167" si="706">BQ165-AL165</f>
        <v>42786.90707070916</v>
      </c>
      <c r="BS165" s="1467">
        <f t="shared" ref="BS165:BS167" si="707">BR165-AM165</f>
        <v>34229.525656566911</v>
      </c>
      <c r="BT165" s="1467">
        <f t="shared" ref="BT165:BT167" si="708">BS165-AN165</f>
        <v>27383.620525252962</v>
      </c>
      <c r="BU165" s="1467">
        <f t="shared" ref="BU165:BU167" si="709">BT165-AO165</f>
        <v>21906.896420201803</v>
      </c>
      <c r="BV165" s="1488"/>
    </row>
    <row r="166" spans="1:74" x14ac:dyDescent="0.2">
      <c r="A166" s="927" t="str">
        <f t="shared" si="675"/>
        <v>Accelerated.Accelerated</v>
      </c>
      <c r="B166" s="1076"/>
      <c r="C166" s="1076" t="str">
        <f t="shared" si="673"/>
        <v>Accelerated</v>
      </c>
      <c r="D166" s="1076" t="str">
        <f>Assumptions!$AH$82</f>
        <v>Accelerated</v>
      </c>
      <c r="E166" s="1076" t="str">
        <f>'Imported Starch'!H262</f>
        <v>Cogeneration Plant</v>
      </c>
      <c r="F166" s="1467">
        <f>SUM('Imported Starch'!J262:K262)*1000000</f>
        <v>10000000</v>
      </c>
      <c r="G166" s="1467">
        <f t="shared" si="676"/>
        <v>12375000</v>
      </c>
      <c r="H166" s="1467">
        <f t="shared" si="677"/>
        <v>13612500.000000002</v>
      </c>
      <c r="I166" s="1467">
        <f t="shared" si="678"/>
        <v>13612500.000000002</v>
      </c>
      <c r="J166" s="1076">
        <f t="shared" si="674"/>
        <v>0.2</v>
      </c>
      <c r="K166" s="1107"/>
      <c r="L166" s="1467">
        <f t="shared" si="669"/>
        <v>2722500.0000000005</v>
      </c>
      <c r="M166" s="1467">
        <f>($I166-SUM($L166:L166))*$J166</f>
        <v>2178000.0000000005</v>
      </c>
      <c r="N166" s="1467">
        <f>($I166-SUM($L166:M166))*$J166</f>
        <v>1742400</v>
      </c>
      <c r="O166" s="1467">
        <f>($I166-SUM($L166:N166))*$J166</f>
        <v>1393920.0000000002</v>
      </c>
      <c r="P166" s="1467">
        <f>($I166-SUM($L166:O166))*$J166</f>
        <v>1115136.0000000002</v>
      </c>
      <c r="Q166" s="1467">
        <f>($I166-SUM($L166:P166))*$J166</f>
        <v>892108.80000000005</v>
      </c>
      <c r="R166" s="1467">
        <f>($I166-SUM($L166:Q166))*$J166</f>
        <v>713687.03999999992</v>
      </c>
      <c r="S166" s="1467">
        <f>($I166-SUM($L166:R166))*$J166</f>
        <v>570949.6320000001</v>
      </c>
      <c r="T166" s="1467">
        <f>($I166-SUM($L166:S166))*$J166</f>
        <v>456759.70560000022</v>
      </c>
      <c r="U166" s="1467">
        <f>($I166-SUM($L166:T166))*$J166</f>
        <v>365407.76448000001</v>
      </c>
      <c r="V166" s="1467">
        <f>($I166-SUM($L166:U166))*$J166</f>
        <v>292326.21158399992</v>
      </c>
      <c r="W166" s="1467">
        <f>($I166-SUM($L166:V166))*$J166</f>
        <v>233860.96926719995</v>
      </c>
      <c r="X166" s="1467">
        <f>($I166-SUM($L166:W166))*$J166</f>
        <v>187088.77541375981</v>
      </c>
      <c r="Y166" s="1467">
        <f>($I166-SUM($L166:X166))*$J166</f>
        <v>149671.02033100798</v>
      </c>
      <c r="Z166" s="1467">
        <f>($I166-SUM($L166:Y166))*$J166</f>
        <v>119736.81626480632</v>
      </c>
      <c r="AA166" s="1467">
        <f>($I166-SUM($L166:Z166))*$J166</f>
        <v>95789.453011845064</v>
      </c>
      <c r="AB166" s="1467">
        <f>($I166-SUM($L166:AA166))*$J166</f>
        <v>76631.562409476188</v>
      </c>
      <c r="AC166" s="1467">
        <f>($I166-SUM($L166:AB166))*$J166</f>
        <v>61305.249927581106</v>
      </c>
      <c r="AD166" s="1467">
        <f>($I166-SUM($L166:AC166))*$J166</f>
        <v>49044.199942065032</v>
      </c>
      <c r="AE166" s="1467">
        <f>($I166-SUM($L166:AD166))*$J166</f>
        <v>39235.359953651954</v>
      </c>
      <c r="AF166" s="1467">
        <f>($I166-SUM($L166:AE166))*$J166</f>
        <v>31388.28796292171</v>
      </c>
      <c r="AG166" s="1467">
        <f>($I166-SUM($L166:AF166))*$J166</f>
        <v>25110.630370337516</v>
      </c>
      <c r="AH166" s="1467">
        <f>($I166-SUM($L166:AG166))*$J166</f>
        <v>20088.504296270014</v>
      </c>
      <c r="AI166" s="1467">
        <f>($I166-SUM($L166:AH166))*$J166</f>
        <v>16070.80343701616</v>
      </c>
      <c r="AJ166" s="1467">
        <f>($I166-SUM($L166:AI166))*$J166</f>
        <v>12856.64274961278</v>
      </c>
      <c r="AK166" s="1467">
        <f>($I166-SUM($L166:AJ166))*$J166</f>
        <v>10285.314199690149</v>
      </c>
      <c r="AL166" s="1467">
        <f>($I166-SUM($L166:AK166))*$J166</f>
        <v>8228.2513597521938</v>
      </c>
      <c r="AM166" s="1467">
        <f>($I166-SUM($L166:AL166))*$J166</f>
        <v>6582.6010878019042</v>
      </c>
      <c r="AN166" s="1467">
        <f>($I166-SUM($L166:AM166))*$J166</f>
        <v>5266.0808702416725</v>
      </c>
      <c r="AO166" s="1467">
        <f>($I166-SUM($L166:AN166))*$J166</f>
        <v>4212.8646961934865</v>
      </c>
      <c r="AP166" s="1468">
        <f t="shared" si="679"/>
        <v>13595648.541215228</v>
      </c>
      <c r="AQ166" s="1488"/>
      <c r="AR166" s="1467">
        <f t="shared" si="680"/>
        <v>10890000.000000002</v>
      </c>
      <c r="AS166" s="1467">
        <f t="shared" si="681"/>
        <v>8712000.0000000019</v>
      </c>
      <c r="AT166" s="1467">
        <f t="shared" si="682"/>
        <v>6969600.0000000019</v>
      </c>
      <c r="AU166" s="1467">
        <f t="shared" si="683"/>
        <v>5575680.0000000019</v>
      </c>
      <c r="AV166" s="1467">
        <f t="shared" si="684"/>
        <v>4460544.0000000019</v>
      </c>
      <c r="AW166" s="1467">
        <f t="shared" si="685"/>
        <v>3568435.200000002</v>
      </c>
      <c r="AX166" s="1467">
        <f t="shared" si="686"/>
        <v>2854748.160000002</v>
      </c>
      <c r="AY166" s="1467">
        <f t="shared" si="687"/>
        <v>2283798.5280000018</v>
      </c>
      <c r="AZ166" s="1467">
        <f t="shared" si="688"/>
        <v>1827038.8224000016</v>
      </c>
      <c r="BA166" s="1467">
        <f t="shared" si="689"/>
        <v>1461631.0579200014</v>
      </c>
      <c r="BB166" s="1467">
        <f t="shared" si="690"/>
        <v>1169304.8463360015</v>
      </c>
      <c r="BC166" s="1467">
        <f t="shared" si="691"/>
        <v>935443.87706880155</v>
      </c>
      <c r="BD166" s="1467">
        <f t="shared" si="692"/>
        <v>748355.1016550418</v>
      </c>
      <c r="BE166" s="1467">
        <f t="shared" si="693"/>
        <v>598684.08132403379</v>
      </c>
      <c r="BF166" s="1467">
        <f t="shared" si="694"/>
        <v>478947.26505922747</v>
      </c>
      <c r="BG166" s="1467">
        <f t="shared" si="695"/>
        <v>383157.81204738241</v>
      </c>
      <c r="BH166" s="1467">
        <f t="shared" si="696"/>
        <v>306526.24963790621</v>
      </c>
      <c r="BI166" s="1467">
        <f t="shared" si="697"/>
        <v>245220.99971032509</v>
      </c>
      <c r="BJ166" s="1467">
        <f t="shared" si="698"/>
        <v>196176.79976826007</v>
      </c>
      <c r="BK166" s="1467">
        <f t="shared" si="699"/>
        <v>156941.43981460811</v>
      </c>
      <c r="BL166" s="1467">
        <f t="shared" si="700"/>
        <v>125553.1518516864</v>
      </c>
      <c r="BM166" s="1467">
        <f t="shared" si="701"/>
        <v>100442.52148134889</v>
      </c>
      <c r="BN166" s="1467">
        <f t="shared" si="702"/>
        <v>80354.017185078876</v>
      </c>
      <c r="BO166" s="1467">
        <f t="shared" si="703"/>
        <v>64283.213748062713</v>
      </c>
      <c r="BP166" s="1467">
        <f t="shared" si="704"/>
        <v>51426.570998449934</v>
      </c>
      <c r="BQ166" s="1467">
        <f t="shared" si="705"/>
        <v>41141.256798759787</v>
      </c>
      <c r="BR166" s="1467">
        <f t="shared" si="706"/>
        <v>32913.005439007597</v>
      </c>
      <c r="BS166" s="1467">
        <f t="shared" si="707"/>
        <v>26330.404351205692</v>
      </c>
      <c r="BT166" s="1467">
        <f t="shared" si="708"/>
        <v>21064.32348096402</v>
      </c>
      <c r="BU166" s="1467">
        <f t="shared" si="709"/>
        <v>16851.458784770533</v>
      </c>
      <c r="BV166" s="1488"/>
    </row>
    <row r="167" spans="1:74" x14ac:dyDescent="0.2">
      <c r="A167" s="927" t="str">
        <f t="shared" si="675"/>
        <v>Accelerated.Accelerated</v>
      </c>
      <c r="B167" s="1168"/>
      <c r="C167" s="1168" t="str">
        <f t="shared" si="673"/>
        <v>Accelerated</v>
      </c>
      <c r="D167" s="1168" t="str">
        <f>Assumptions!$AH$82</f>
        <v>Accelerated</v>
      </c>
      <c r="E167" s="1168" t="str">
        <f>'Imported Starch'!H263</f>
        <v>Non-process buildings</v>
      </c>
      <c r="F167" s="1469">
        <f>SUM('Imported Starch'!J263:K263)*1000000</f>
        <v>5000000</v>
      </c>
      <c r="G167" s="1469">
        <f t="shared" si="676"/>
        <v>6187500</v>
      </c>
      <c r="H167" s="1469">
        <f t="shared" si="677"/>
        <v>6806250.0000000009</v>
      </c>
      <c r="I167" s="1469">
        <f t="shared" si="678"/>
        <v>6806250.0000000009</v>
      </c>
      <c r="J167" s="1168">
        <f t="shared" si="674"/>
        <v>0.2</v>
      </c>
      <c r="K167" s="1107"/>
      <c r="L167" s="1467">
        <f t="shared" si="669"/>
        <v>1361250.0000000002</v>
      </c>
      <c r="M167" s="1467">
        <f>($I167-SUM($L167:L167))*$J167</f>
        <v>1089000.0000000002</v>
      </c>
      <c r="N167" s="1467">
        <f>($I167-SUM($L167:M167))*$J167</f>
        <v>871200</v>
      </c>
      <c r="O167" s="1467">
        <f>($I167-SUM($L167:N167))*$J167</f>
        <v>696960.00000000012</v>
      </c>
      <c r="P167" s="1467">
        <f>($I167-SUM($L167:O167))*$J167</f>
        <v>557568.00000000012</v>
      </c>
      <c r="Q167" s="1467">
        <f>($I167-SUM($L167:P167))*$J167</f>
        <v>446054.40000000002</v>
      </c>
      <c r="R167" s="1467">
        <f>($I167-SUM($L167:Q167))*$J167</f>
        <v>356843.51999999996</v>
      </c>
      <c r="S167" s="1467">
        <f>($I167-SUM($L167:R167))*$J167</f>
        <v>285474.81600000005</v>
      </c>
      <c r="T167" s="1467">
        <f>($I167-SUM($L167:S167))*$J167</f>
        <v>228379.85280000011</v>
      </c>
      <c r="U167" s="1467">
        <f>($I167-SUM($L167:T167))*$J167</f>
        <v>182703.88224000001</v>
      </c>
      <c r="V167" s="1467">
        <f>($I167-SUM($L167:U167))*$J167</f>
        <v>146163.10579199996</v>
      </c>
      <c r="W167" s="1467">
        <f>($I167-SUM($L167:V167))*$J167</f>
        <v>116930.48463359998</v>
      </c>
      <c r="X167" s="1467">
        <f>($I167-SUM($L167:W167))*$J167</f>
        <v>93544.387706879905</v>
      </c>
      <c r="Y167" s="1467">
        <f>($I167-SUM($L167:X167))*$J167</f>
        <v>74835.510165503991</v>
      </c>
      <c r="Z167" s="1467">
        <f>($I167-SUM($L167:Y167))*$J167</f>
        <v>59868.408132403158</v>
      </c>
      <c r="AA167" s="1467">
        <f>($I167-SUM($L167:Z167))*$J167</f>
        <v>47894.726505922532</v>
      </c>
      <c r="AB167" s="1467">
        <f>($I167-SUM($L167:AA167))*$J167</f>
        <v>38315.781204738094</v>
      </c>
      <c r="AC167" s="1467">
        <f>($I167-SUM($L167:AB167))*$J167</f>
        <v>30652.624963790553</v>
      </c>
      <c r="AD167" s="1467">
        <f>($I167-SUM($L167:AC167))*$J167</f>
        <v>24522.099971032516</v>
      </c>
      <c r="AE167" s="1467">
        <f>($I167-SUM($L167:AD167))*$J167</f>
        <v>19617.679976825977</v>
      </c>
      <c r="AF167" s="1467">
        <f>($I167-SUM($L167:AE167))*$J167</f>
        <v>15694.143981460855</v>
      </c>
      <c r="AG167" s="1467">
        <f>($I167-SUM($L167:AF167))*$J167</f>
        <v>12555.315185168758</v>
      </c>
      <c r="AH167" s="1467">
        <f>($I167-SUM($L167:AG167))*$J167</f>
        <v>10044.252148135007</v>
      </c>
      <c r="AI167" s="1467">
        <f>($I167-SUM($L167:AH167))*$J167</f>
        <v>8035.4017185080802</v>
      </c>
      <c r="AJ167" s="1467">
        <f>($I167-SUM($L167:AI167))*$J167</f>
        <v>6428.3213748063899</v>
      </c>
      <c r="AK167" s="1467">
        <f>($I167-SUM($L167:AJ167))*$J167</f>
        <v>5142.6570998450743</v>
      </c>
      <c r="AL167" s="1467">
        <f>($I167-SUM($L167:AK167))*$J167</f>
        <v>4114.1256798760969</v>
      </c>
      <c r="AM167" s="1467">
        <f>($I167-SUM($L167:AL167))*$J167</f>
        <v>3291.3005439009521</v>
      </c>
      <c r="AN167" s="1467">
        <f>($I167-SUM($L167:AM167))*$J167</f>
        <v>2633.0404351208363</v>
      </c>
      <c r="AO167" s="1467">
        <f>($I167-SUM($L167:AN167))*$J167</f>
        <v>2106.4323480967432</v>
      </c>
      <c r="AP167" s="1468">
        <f t="shared" si="679"/>
        <v>6797824.270607614</v>
      </c>
      <c r="AQ167" s="1488"/>
      <c r="AR167" s="1467">
        <f t="shared" si="680"/>
        <v>5445000.0000000009</v>
      </c>
      <c r="AS167" s="1467">
        <f t="shared" si="681"/>
        <v>4356000.0000000009</v>
      </c>
      <c r="AT167" s="1467">
        <f t="shared" si="682"/>
        <v>3484800.0000000009</v>
      </c>
      <c r="AU167" s="1467">
        <f t="shared" si="683"/>
        <v>2787840.0000000009</v>
      </c>
      <c r="AV167" s="1467">
        <f t="shared" si="684"/>
        <v>2230272.0000000009</v>
      </c>
      <c r="AW167" s="1467">
        <f t="shared" si="685"/>
        <v>1784217.600000001</v>
      </c>
      <c r="AX167" s="1467">
        <f t="shared" si="686"/>
        <v>1427374.080000001</v>
      </c>
      <c r="AY167" s="1467">
        <f t="shared" si="687"/>
        <v>1141899.2640000009</v>
      </c>
      <c r="AZ167" s="1467">
        <f t="shared" si="688"/>
        <v>913519.41120000079</v>
      </c>
      <c r="BA167" s="1467">
        <f t="shared" si="689"/>
        <v>730815.52896000072</v>
      </c>
      <c r="BB167" s="1467">
        <f t="shared" si="690"/>
        <v>584652.42316800077</v>
      </c>
      <c r="BC167" s="1467">
        <f t="shared" si="691"/>
        <v>467721.93853440078</v>
      </c>
      <c r="BD167" s="1467">
        <f t="shared" si="692"/>
        <v>374177.5508275209</v>
      </c>
      <c r="BE167" s="1467">
        <f t="shared" si="693"/>
        <v>299342.04066201689</v>
      </c>
      <c r="BF167" s="1467">
        <f t="shared" si="694"/>
        <v>239473.63252961374</v>
      </c>
      <c r="BG167" s="1467">
        <f t="shared" si="695"/>
        <v>191578.9060236912</v>
      </c>
      <c r="BH167" s="1467">
        <f t="shared" si="696"/>
        <v>153263.1248189531</v>
      </c>
      <c r="BI167" s="1467">
        <f t="shared" si="697"/>
        <v>122610.49985516255</v>
      </c>
      <c r="BJ167" s="1467">
        <f t="shared" si="698"/>
        <v>98088.399884130034</v>
      </c>
      <c r="BK167" s="1467">
        <f t="shared" si="699"/>
        <v>78470.719907304054</v>
      </c>
      <c r="BL167" s="1467">
        <f t="shared" si="700"/>
        <v>62776.575925843201</v>
      </c>
      <c r="BM167" s="1467">
        <f t="shared" si="701"/>
        <v>50221.260740674443</v>
      </c>
      <c r="BN167" s="1467">
        <f t="shared" si="702"/>
        <v>40177.008592539438</v>
      </c>
      <c r="BO167" s="1467">
        <f t="shared" si="703"/>
        <v>32141.606874031357</v>
      </c>
      <c r="BP167" s="1467">
        <f t="shared" si="704"/>
        <v>25713.285499224967</v>
      </c>
      <c r="BQ167" s="1467">
        <f t="shared" si="705"/>
        <v>20570.628399379893</v>
      </c>
      <c r="BR167" s="1467">
        <f t="shared" si="706"/>
        <v>16456.502719503798</v>
      </c>
      <c r="BS167" s="1467">
        <f t="shared" si="707"/>
        <v>13165.202175602846</v>
      </c>
      <c r="BT167" s="1467">
        <f t="shared" si="708"/>
        <v>10532.16174048201</v>
      </c>
      <c r="BU167" s="1467">
        <f t="shared" si="709"/>
        <v>8425.7293923852667</v>
      </c>
      <c r="BV167" s="1488"/>
    </row>
    <row r="168" spans="1:74" x14ac:dyDescent="0.2">
      <c r="B168" s="1470"/>
      <c r="C168" s="1470" t="str">
        <f t="shared" si="673"/>
        <v>Accelerated</v>
      </c>
      <c r="D168" s="1470" t="str">
        <f>Assumptions!$AH$82</f>
        <v>Accelerated</v>
      </c>
      <c r="E168" s="1470" t="s">
        <v>995</v>
      </c>
      <c r="F168" s="1471"/>
      <c r="G168" s="1471">
        <f>SUM('Imported Starch'!J266:K267)*10^6</f>
        <v>15000000</v>
      </c>
      <c r="H168" s="1471">
        <f t="shared" ref="H168" si="710">G168*(1+$F$5)</f>
        <v>16500000.000000002</v>
      </c>
      <c r="I168" s="1471">
        <f t="shared" ref="I168" si="711">H168*(1+$F$6)</f>
        <v>16500000.000000002</v>
      </c>
      <c r="J168" s="1470">
        <f t="shared" si="674"/>
        <v>0.2</v>
      </c>
      <c r="K168" s="1107"/>
      <c r="L168" s="1467">
        <f t="shared" si="669"/>
        <v>3300000.0000000005</v>
      </c>
      <c r="M168" s="1467">
        <f>($I168-SUM($L168:L168))*$J168</f>
        <v>2640000.0000000005</v>
      </c>
      <c r="N168" s="1467">
        <f>($I168-SUM($L168:M168))*$J168</f>
        <v>2112000</v>
      </c>
      <c r="O168" s="1467">
        <f>($I168-SUM($L168:N168))*$J168</f>
        <v>1689600</v>
      </c>
      <c r="P168" s="1467">
        <f>($I168-SUM($L168:O168))*$J168</f>
        <v>1351680.0000000005</v>
      </c>
      <c r="Q168" s="1467">
        <f>($I168-SUM($L168:P168))*$J168</f>
        <v>1081344.0000000005</v>
      </c>
      <c r="R168" s="1467">
        <f>($I168-SUM($L168:Q168))*$J168</f>
        <v>865075.20000000042</v>
      </c>
      <c r="S168" s="1467">
        <f>($I168-SUM($L168:R168))*$J168</f>
        <v>692060.16000000015</v>
      </c>
      <c r="T168" s="1467">
        <f>($I168-SUM($L168:S168))*$J168</f>
        <v>553648.12800000014</v>
      </c>
      <c r="U168" s="1467">
        <f>($I168-SUM($L168:T168))*$J168</f>
        <v>442918.50240000006</v>
      </c>
      <c r="V168" s="1467">
        <f>($I168-SUM($L168:U168))*$J168</f>
        <v>354334.80192000011</v>
      </c>
      <c r="W168" s="1467">
        <f>($I168-SUM($L168:V168))*$J168</f>
        <v>283467.84153600002</v>
      </c>
      <c r="X168" s="1467">
        <f>($I168-SUM($L168:W168))*$J168</f>
        <v>226774.27322879992</v>
      </c>
      <c r="Y168" s="1467">
        <f>($I168-SUM($L168:X168))*$J168</f>
        <v>181419.41858303995</v>
      </c>
      <c r="Z168" s="1467">
        <f>($I168-SUM($L168:Y168))*$J168</f>
        <v>145135.53486643211</v>
      </c>
      <c r="AA168" s="1467">
        <f>($I168-SUM($L168:Z168))*$J168</f>
        <v>116108.42789314577</v>
      </c>
      <c r="AB168" s="1467">
        <f>($I168-SUM($L168:AA168))*$J168</f>
        <v>92886.742314516756</v>
      </c>
      <c r="AC168" s="1467">
        <f>($I168-SUM($L168:AB168))*$J168</f>
        <v>74309.393851613262</v>
      </c>
      <c r="AD168" s="1467">
        <f>($I168-SUM($L168:AC168))*$J168</f>
        <v>59447.515081290534</v>
      </c>
      <c r="AE168" s="1467">
        <f>($I168-SUM($L168:AD168))*$J168</f>
        <v>47558.012065032497</v>
      </c>
      <c r="AF168" s="1467">
        <f>($I168-SUM($L168:AE168))*$J168</f>
        <v>38046.409652025999</v>
      </c>
      <c r="AG168" s="1467">
        <f>($I168-SUM($L168:AF168))*$J168</f>
        <v>30437.127721620724</v>
      </c>
      <c r="AH168" s="1467">
        <f>($I168-SUM($L168:AG168))*$J168</f>
        <v>24349.702177296582</v>
      </c>
      <c r="AI168" s="1467">
        <f>($I168-SUM($L168:AH168))*$J168</f>
        <v>19479.761741837116</v>
      </c>
      <c r="AJ168" s="1467">
        <f>($I168-SUM($L168:AI168))*$J168</f>
        <v>15583.809393469617</v>
      </c>
      <c r="AK168" s="1467">
        <f>($I168-SUM($L168:AJ168))*$J168</f>
        <v>12467.047514775768</v>
      </c>
      <c r="AL168" s="1467">
        <f>($I168-SUM($L168:AK168))*$J168</f>
        <v>9973.6380118206143</v>
      </c>
      <c r="AM168" s="1467">
        <f>($I168-SUM($L168:AL168))*$J168</f>
        <v>7978.9104094564918</v>
      </c>
      <c r="AN168" s="1467">
        <f>($I168-SUM($L168:AM168))*$J168</f>
        <v>6383.1283275652677</v>
      </c>
      <c r="AO168" s="1467">
        <f>($I168-SUM($L168:AN168))*$J168</f>
        <v>5106.5026620522149</v>
      </c>
      <c r="AP168" s="1468">
        <f t="shared" ref="AP168" si="712">SUM(L168:AO168)</f>
        <v>16479573.989351792</v>
      </c>
      <c r="AQ168" s="1488"/>
      <c r="AR168" s="1467">
        <f t="shared" ref="AR168" si="713">I168-L168</f>
        <v>13200000.000000002</v>
      </c>
      <c r="AS168" s="1467">
        <f t="shared" ref="AS168" si="714">AR168-M168</f>
        <v>10560000.000000002</v>
      </c>
      <c r="AT168" s="1467">
        <f t="shared" ref="AT168" si="715">AS168-N168</f>
        <v>8448000.0000000019</v>
      </c>
      <c r="AU168" s="1467">
        <f t="shared" ref="AU168" si="716">AT168-O168</f>
        <v>6758400.0000000019</v>
      </c>
      <c r="AV168" s="1467">
        <f t="shared" ref="AV168" si="717">AU168-P168</f>
        <v>5406720.0000000019</v>
      </c>
      <c r="AW168" s="1467">
        <f t="shared" ref="AW168" si="718">AV168-Q168</f>
        <v>4325376.0000000019</v>
      </c>
      <c r="AX168" s="1467">
        <f t="shared" ref="AX168" si="719">AW168-R168</f>
        <v>3460300.8000000017</v>
      </c>
      <c r="AY168" s="1467">
        <f t="shared" ref="AY168" si="720">AX168-S168</f>
        <v>2768240.6400000015</v>
      </c>
      <c r="AZ168" s="1467">
        <f t="shared" ref="AZ168" si="721">AY168-T168</f>
        <v>2214592.5120000015</v>
      </c>
      <c r="BA168" s="1467">
        <f t="shared" ref="BA168" si="722">AZ168-U168</f>
        <v>1771674.0096000014</v>
      </c>
      <c r="BB168" s="1467">
        <f t="shared" ref="BB168" si="723">BA168-V168</f>
        <v>1417339.2076800014</v>
      </c>
      <c r="BC168" s="1467">
        <f t="shared" ref="BC168" si="724">BB168-W168</f>
        <v>1133871.3661440015</v>
      </c>
      <c r="BD168" s="1467">
        <f t="shared" ref="BD168" si="725">BC168-X168</f>
        <v>907097.09291520156</v>
      </c>
      <c r="BE168" s="1467">
        <f t="shared" ref="BE168" si="726">BD168-Y168</f>
        <v>725677.67433216167</v>
      </c>
      <c r="BF168" s="1467">
        <f t="shared" ref="BF168" si="727">BE168-Z168</f>
        <v>580542.13946572959</v>
      </c>
      <c r="BG168" s="1467">
        <f t="shared" ref="BG168" si="728">BF168-AA168</f>
        <v>464433.71157258382</v>
      </c>
      <c r="BH168" s="1467">
        <f t="shared" ref="BH168" si="729">BG168-AB168</f>
        <v>371546.96925806708</v>
      </c>
      <c r="BI168" s="1467">
        <f t="shared" ref="BI168" si="730">BH168-AC168</f>
        <v>297237.57540645381</v>
      </c>
      <c r="BJ168" s="1467">
        <f t="shared" ref="BJ168" si="731">BI168-AD168</f>
        <v>237790.06032516327</v>
      </c>
      <c r="BK168" s="1467">
        <f t="shared" ref="BK168" si="732">BJ168-AE168</f>
        <v>190232.04826013077</v>
      </c>
      <c r="BL168" s="1467">
        <f t="shared" ref="BL168" si="733">BK168-AF168</f>
        <v>152185.63860810478</v>
      </c>
      <c r="BM168" s="1467">
        <f t="shared" ref="BM168" si="734">BL168-AG168</f>
        <v>121748.51088648406</v>
      </c>
      <c r="BN168" s="1467">
        <f t="shared" ref="BN168" si="735">BM168-AH168</f>
        <v>97398.808709187477</v>
      </c>
      <c r="BO168" s="1467">
        <f t="shared" ref="BO168" si="736">BN168-AI168</f>
        <v>77919.046967350354</v>
      </c>
      <c r="BP168" s="1467">
        <f t="shared" ref="BP168" si="737">BO168-AJ168</f>
        <v>62335.237573880739</v>
      </c>
      <c r="BQ168" s="1467">
        <f t="shared" ref="BQ168" si="738">BP168-AK168</f>
        <v>49868.190059104971</v>
      </c>
      <c r="BR168" s="1467">
        <f t="shared" ref="BR168" si="739">BQ168-AL168</f>
        <v>39894.552047284356</v>
      </c>
      <c r="BS168" s="1467">
        <f t="shared" ref="BS168" si="740">BR168-AM168</f>
        <v>31915.641637827866</v>
      </c>
      <c r="BT168" s="1467">
        <f t="shared" ref="BT168" si="741">BS168-AN168</f>
        <v>25532.513310262599</v>
      </c>
      <c r="BU168" s="1467">
        <f t="shared" ref="BU168" si="742">BT168-AO168</f>
        <v>20426.010648210384</v>
      </c>
      <c r="BV168" s="1488"/>
    </row>
    <row r="169" spans="1:74" x14ac:dyDescent="0.2">
      <c r="A169" s="927" t="str">
        <f t="shared" si="665"/>
        <v>.</v>
      </c>
      <c r="B169" s="1297" t="str">
        <f>Assumptions!$AH$81</f>
        <v>Straight-Line</v>
      </c>
      <c r="C169" s="1107"/>
      <c r="D169" s="1107"/>
      <c r="E169" s="1107"/>
      <c r="F169" s="1107"/>
      <c r="G169" s="1107">
        <f t="shared" si="666"/>
        <v>0</v>
      </c>
      <c r="H169" s="1107">
        <f t="shared" si="667"/>
        <v>0</v>
      </c>
      <c r="I169" s="1107">
        <f t="shared" si="668"/>
        <v>0</v>
      </c>
      <c r="J169" s="1472">
        <f>IFERROR(INDEX(Assumptions!$AI$82:$AI$164,MATCH(Depreciation!$D169,Assumptions!$AH$81:$AH$163,0)),0)</f>
        <v>0</v>
      </c>
      <c r="K169" s="1107"/>
      <c r="L169" s="1107">
        <f t="shared" si="669"/>
        <v>0</v>
      </c>
      <c r="M169" s="1107">
        <f t="shared" ref="M169" si="743">L169*$J169</f>
        <v>0</v>
      </c>
      <c r="N169" s="1107"/>
      <c r="O169" s="1107"/>
      <c r="P169" s="1107"/>
      <c r="Q169" s="1107"/>
      <c r="R169" s="1107"/>
      <c r="S169" s="1107"/>
      <c r="T169" s="1107"/>
      <c r="U169" s="1107"/>
      <c r="V169" s="1107"/>
      <c r="W169" s="1107"/>
      <c r="X169" s="1107"/>
      <c r="Y169" s="1107"/>
      <c r="Z169" s="1107"/>
      <c r="AA169" s="1107"/>
      <c r="AB169" s="1107"/>
      <c r="AC169" s="1107"/>
      <c r="AD169" s="1107"/>
      <c r="AE169" s="1107"/>
      <c r="AF169" s="1107"/>
      <c r="AG169" s="1107"/>
      <c r="AH169" s="1107"/>
      <c r="AI169" s="1107"/>
      <c r="AJ169" s="1107"/>
      <c r="AK169" s="1107"/>
      <c r="AL169" s="1107"/>
      <c r="AM169" s="1107"/>
      <c r="AN169" s="1107"/>
      <c r="AO169" s="1107"/>
      <c r="AP169" s="1107">
        <f t="shared" si="670"/>
        <v>0</v>
      </c>
      <c r="AQ169" s="1488"/>
      <c r="AR169" s="1297">
        <f t="shared" si="671"/>
        <v>0</v>
      </c>
      <c r="AS169" s="1297">
        <f t="shared" si="672"/>
        <v>0</v>
      </c>
      <c r="AT169" s="1297">
        <f t="shared" si="637"/>
        <v>0</v>
      </c>
      <c r="AU169" s="1297">
        <f t="shared" si="638"/>
        <v>0</v>
      </c>
      <c r="AV169" s="1297">
        <f t="shared" si="639"/>
        <v>0</v>
      </c>
      <c r="AW169" s="1297">
        <f t="shared" si="640"/>
        <v>0</v>
      </c>
      <c r="AX169" s="1297">
        <f t="shared" si="641"/>
        <v>0</v>
      </c>
      <c r="AY169" s="1297">
        <f t="shared" si="642"/>
        <v>0</v>
      </c>
      <c r="AZ169" s="1297">
        <f t="shared" si="643"/>
        <v>0</v>
      </c>
      <c r="BA169" s="1297">
        <f t="shared" si="644"/>
        <v>0</v>
      </c>
      <c r="BB169" s="1297">
        <f t="shared" si="645"/>
        <v>0</v>
      </c>
      <c r="BC169" s="1297">
        <f t="shared" si="646"/>
        <v>0</v>
      </c>
      <c r="BD169" s="1297">
        <f t="shared" si="647"/>
        <v>0</v>
      </c>
      <c r="BE169" s="1297">
        <f t="shared" si="648"/>
        <v>0</v>
      </c>
      <c r="BF169" s="1297">
        <f t="shared" si="649"/>
        <v>0</v>
      </c>
      <c r="BG169" s="1297">
        <f t="shared" si="650"/>
        <v>0</v>
      </c>
      <c r="BH169" s="1297">
        <f t="shared" si="651"/>
        <v>0</v>
      </c>
      <c r="BI169" s="1297">
        <f t="shared" si="652"/>
        <v>0</v>
      </c>
      <c r="BJ169" s="1297">
        <f t="shared" si="653"/>
        <v>0</v>
      </c>
      <c r="BK169" s="1297">
        <f t="shared" si="654"/>
        <v>0</v>
      </c>
      <c r="BL169" s="1297">
        <f t="shared" si="655"/>
        <v>0</v>
      </c>
      <c r="BM169" s="1297">
        <f t="shared" si="656"/>
        <v>0</v>
      </c>
      <c r="BN169" s="1297">
        <f t="shared" si="657"/>
        <v>0</v>
      </c>
      <c r="BO169" s="1297">
        <f t="shared" si="658"/>
        <v>0</v>
      </c>
      <c r="BP169" s="1297">
        <f t="shared" si="659"/>
        <v>0</v>
      </c>
      <c r="BQ169" s="1297">
        <f t="shared" si="660"/>
        <v>0</v>
      </c>
      <c r="BR169" s="1297">
        <f t="shared" si="661"/>
        <v>0</v>
      </c>
      <c r="BS169" s="1297">
        <f t="shared" si="662"/>
        <v>0</v>
      </c>
      <c r="BT169" s="1297">
        <f t="shared" si="663"/>
        <v>0</v>
      </c>
      <c r="BU169" s="1297">
        <f t="shared" si="664"/>
        <v>0</v>
      </c>
      <c r="BV169" s="1488"/>
    </row>
    <row r="170" spans="1:74" x14ac:dyDescent="0.2">
      <c r="A170" s="927" t="str">
        <f t="shared" si="665"/>
        <v>Accelerated.Straight-Line</v>
      </c>
      <c r="B170" s="1076"/>
      <c r="C170" s="1076" t="str">
        <f t="shared" ref="C170:C181" si="744">C156</f>
        <v>Accelerated</v>
      </c>
      <c r="D170" s="1076" t="str">
        <f>Assumptions!$AH$81</f>
        <v>Straight-Line</v>
      </c>
      <c r="E170" s="1076" t="str">
        <f t="shared" ref="E170:F178" si="745">E156</f>
        <v>Stockpile</v>
      </c>
      <c r="F170" s="1467">
        <f t="shared" si="745"/>
        <v>5000000</v>
      </c>
      <c r="G170" s="1467">
        <f t="shared" si="666"/>
        <v>6187500</v>
      </c>
      <c r="H170" s="1467">
        <f t="shared" si="667"/>
        <v>6806250.0000000009</v>
      </c>
      <c r="I170" s="1467">
        <f t="shared" si="668"/>
        <v>6806250.0000000009</v>
      </c>
      <c r="J170" s="1161">
        <f>Assumptions!$N$53</f>
        <v>3.3333333333333333E-2</v>
      </c>
      <c r="K170" s="1107"/>
      <c r="L170" s="1467">
        <f t="shared" si="669"/>
        <v>226875.00000000003</v>
      </c>
      <c r="M170" s="1467">
        <f t="shared" si="669"/>
        <v>226875.00000000003</v>
      </c>
      <c r="N170" s="1467">
        <f t="shared" si="669"/>
        <v>226875.00000000003</v>
      </c>
      <c r="O170" s="1467">
        <f t="shared" si="669"/>
        <v>226875.00000000003</v>
      </c>
      <c r="P170" s="1467">
        <f t="shared" si="669"/>
        <v>226875.00000000003</v>
      </c>
      <c r="Q170" s="1467">
        <f t="shared" si="669"/>
        <v>226875.00000000003</v>
      </c>
      <c r="R170" s="1467">
        <f t="shared" si="669"/>
        <v>226875.00000000003</v>
      </c>
      <c r="S170" s="1467">
        <f t="shared" si="669"/>
        <v>226875.00000000003</v>
      </c>
      <c r="T170" s="1467">
        <f t="shared" si="669"/>
        <v>226875.00000000003</v>
      </c>
      <c r="U170" s="1467">
        <f t="shared" si="669"/>
        <v>226875.00000000003</v>
      </c>
      <c r="V170" s="1467">
        <f t="shared" si="669"/>
        <v>226875.00000000003</v>
      </c>
      <c r="W170" s="1467">
        <f t="shared" si="669"/>
        <v>226875.00000000003</v>
      </c>
      <c r="X170" s="1467">
        <f t="shared" si="669"/>
        <v>226875.00000000003</v>
      </c>
      <c r="Y170" s="1467">
        <f t="shared" si="669"/>
        <v>226875.00000000003</v>
      </c>
      <c r="Z170" s="1467">
        <f t="shared" si="669"/>
        <v>226875.00000000003</v>
      </c>
      <c r="AA170" s="1467">
        <f t="shared" si="669"/>
        <v>226875.00000000003</v>
      </c>
      <c r="AB170" s="1467">
        <f t="shared" ref="AB170:AO182" si="746">$I170*$J170</f>
        <v>226875.00000000003</v>
      </c>
      <c r="AC170" s="1467">
        <f t="shared" si="746"/>
        <v>226875.00000000003</v>
      </c>
      <c r="AD170" s="1467">
        <f t="shared" si="746"/>
        <v>226875.00000000003</v>
      </c>
      <c r="AE170" s="1467">
        <f t="shared" si="746"/>
        <v>226875.00000000003</v>
      </c>
      <c r="AF170" s="1467">
        <f t="shared" si="746"/>
        <v>226875.00000000003</v>
      </c>
      <c r="AG170" s="1467">
        <f t="shared" si="746"/>
        <v>226875.00000000003</v>
      </c>
      <c r="AH170" s="1467">
        <f t="shared" si="746"/>
        <v>226875.00000000003</v>
      </c>
      <c r="AI170" s="1467">
        <f t="shared" si="746"/>
        <v>226875.00000000003</v>
      </c>
      <c r="AJ170" s="1467">
        <f t="shared" si="746"/>
        <v>226875.00000000003</v>
      </c>
      <c r="AK170" s="1467">
        <f t="shared" si="746"/>
        <v>226875.00000000003</v>
      </c>
      <c r="AL170" s="1467">
        <f t="shared" si="746"/>
        <v>226875.00000000003</v>
      </c>
      <c r="AM170" s="1467">
        <f t="shared" si="746"/>
        <v>226875.00000000003</v>
      </c>
      <c r="AN170" s="1467">
        <f t="shared" si="746"/>
        <v>226875.00000000003</v>
      </c>
      <c r="AO170" s="1467">
        <f t="shared" si="746"/>
        <v>226875.00000000003</v>
      </c>
      <c r="AP170" s="1468">
        <f t="shared" si="670"/>
        <v>6806250.0000000009</v>
      </c>
      <c r="AQ170" s="1488"/>
      <c r="AR170" s="1467">
        <f t="shared" si="671"/>
        <v>6579375.0000000009</v>
      </c>
      <c r="AS170" s="1467">
        <f t="shared" si="672"/>
        <v>6352500.0000000009</v>
      </c>
      <c r="AT170" s="1467">
        <f t="shared" si="637"/>
        <v>6125625.0000000009</v>
      </c>
      <c r="AU170" s="1467">
        <f t="shared" si="638"/>
        <v>5898750.0000000009</v>
      </c>
      <c r="AV170" s="1467">
        <f t="shared" si="639"/>
        <v>5671875.0000000009</v>
      </c>
      <c r="AW170" s="1467">
        <f t="shared" si="640"/>
        <v>5445000.0000000009</v>
      </c>
      <c r="AX170" s="1467">
        <f t="shared" si="641"/>
        <v>5218125.0000000009</v>
      </c>
      <c r="AY170" s="1467">
        <f t="shared" si="642"/>
        <v>4991250.0000000009</v>
      </c>
      <c r="AZ170" s="1467">
        <f t="shared" si="643"/>
        <v>4764375.0000000009</v>
      </c>
      <c r="BA170" s="1467">
        <f t="shared" si="644"/>
        <v>4537500.0000000009</v>
      </c>
      <c r="BB170" s="1467">
        <f t="shared" si="645"/>
        <v>4310625.0000000009</v>
      </c>
      <c r="BC170" s="1467">
        <f t="shared" si="646"/>
        <v>4083750.0000000009</v>
      </c>
      <c r="BD170" s="1467">
        <f t="shared" si="647"/>
        <v>3856875.0000000009</v>
      </c>
      <c r="BE170" s="1467">
        <f t="shared" si="648"/>
        <v>3630000.0000000009</v>
      </c>
      <c r="BF170" s="1467">
        <f t="shared" si="649"/>
        <v>3403125.0000000009</v>
      </c>
      <c r="BG170" s="1467">
        <f t="shared" si="650"/>
        <v>3176250.0000000009</v>
      </c>
      <c r="BH170" s="1467">
        <f t="shared" si="651"/>
        <v>2949375.0000000009</v>
      </c>
      <c r="BI170" s="1467">
        <f t="shared" si="652"/>
        <v>2722500.0000000009</v>
      </c>
      <c r="BJ170" s="1467">
        <f t="shared" si="653"/>
        <v>2495625.0000000009</v>
      </c>
      <c r="BK170" s="1467">
        <f t="shared" si="654"/>
        <v>2268750.0000000009</v>
      </c>
      <c r="BL170" s="1467">
        <f t="shared" si="655"/>
        <v>2041875.0000000009</v>
      </c>
      <c r="BM170" s="1467">
        <f t="shared" si="656"/>
        <v>1815000.0000000009</v>
      </c>
      <c r="BN170" s="1467">
        <f t="shared" si="657"/>
        <v>1588125.0000000009</v>
      </c>
      <c r="BO170" s="1467">
        <f t="shared" si="658"/>
        <v>1361250.0000000009</v>
      </c>
      <c r="BP170" s="1467">
        <f t="shared" si="659"/>
        <v>1134375.0000000009</v>
      </c>
      <c r="BQ170" s="1467">
        <f t="shared" si="660"/>
        <v>907500.00000000093</v>
      </c>
      <c r="BR170" s="1467">
        <f t="shared" si="661"/>
        <v>680625.00000000093</v>
      </c>
      <c r="BS170" s="1467">
        <f t="shared" si="662"/>
        <v>453750.00000000093</v>
      </c>
      <c r="BT170" s="1467">
        <f t="shared" si="663"/>
        <v>226875.0000000009</v>
      </c>
      <c r="BU170" s="1467">
        <f t="shared" si="664"/>
        <v>8.7311491370201111E-10</v>
      </c>
      <c r="BV170" s="1488"/>
    </row>
    <row r="171" spans="1:74" x14ac:dyDescent="0.2">
      <c r="A171" s="927" t="str">
        <f t="shared" si="665"/>
        <v>Accelerated.Straight-Line</v>
      </c>
      <c r="B171" s="1076"/>
      <c r="C171" s="1076" t="str">
        <f t="shared" si="744"/>
        <v>Accelerated</v>
      </c>
      <c r="D171" s="1076" t="str">
        <f>Assumptions!$AH$81</f>
        <v>Straight-Line</v>
      </c>
      <c r="E171" s="1076" t="str">
        <f t="shared" si="745"/>
        <v>Dry Mill</v>
      </c>
      <c r="F171" s="1467">
        <f t="shared" si="745"/>
        <v>0</v>
      </c>
      <c r="G171" s="1467">
        <f t="shared" si="666"/>
        <v>0</v>
      </c>
      <c r="H171" s="1467">
        <f t="shared" si="667"/>
        <v>0</v>
      </c>
      <c r="I171" s="1467">
        <f t="shared" si="668"/>
        <v>0</v>
      </c>
      <c r="J171" s="1161">
        <f>J170</f>
        <v>3.3333333333333333E-2</v>
      </c>
      <c r="K171" s="1107"/>
      <c r="L171" s="1467">
        <f t="shared" si="669"/>
        <v>0</v>
      </c>
      <c r="M171" s="1467">
        <f t="shared" si="669"/>
        <v>0</v>
      </c>
      <c r="N171" s="1467">
        <f t="shared" si="669"/>
        <v>0</v>
      </c>
      <c r="O171" s="1467">
        <f t="shared" si="669"/>
        <v>0</v>
      </c>
      <c r="P171" s="1467">
        <f t="shared" si="669"/>
        <v>0</v>
      </c>
      <c r="Q171" s="1467">
        <f t="shared" si="669"/>
        <v>0</v>
      </c>
      <c r="R171" s="1467">
        <f t="shared" si="669"/>
        <v>0</v>
      </c>
      <c r="S171" s="1467">
        <f t="shared" si="669"/>
        <v>0</v>
      </c>
      <c r="T171" s="1467">
        <f t="shared" si="669"/>
        <v>0</v>
      </c>
      <c r="U171" s="1467">
        <f t="shared" si="669"/>
        <v>0</v>
      </c>
      <c r="V171" s="1467">
        <f t="shared" si="669"/>
        <v>0</v>
      </c>
      <c r="W171" s="1467">
        <f t="shared" si="669"/>
        <v>0</v>
      </c>
      <c r="X171" s="1467">
        <f t="shared" si="669"/>
        <v>0</v>
      </c>
      <c r="Y171" s="1467">
        <f t="shared" si="669"/>
        <v>0</v>
      </c>
      <c r="Z171" s="1467">
        <f t="shared" si="669"/>
        <v>0</v>
      </c>
      <c r="AA171" s="1467">
        <f t="shared" si="669"/>
        <v>0</v>
      </c>
      <c r="AB171" s="1467">
        <f t="shared" si="746"/>
        <v>0</v>
      </c>
      <c r="AC171" s="1467">
        <f t="shared" si="746"/>
        <v>0</v>
      </c>
      <c r="AD171" s="1467">
        <f t="shared" si="746"/>
        <v>0</v>
      </c>
      <c r="AE171" s="1467">
        <f t="shared" si="746"/>
        <v>0</v>
      </c>
      <c r="AF171" s="1467">
        <f t="shared" si="746"/>
        <v>0</v>
      </c>
      <c r="AG171" s="1467">
        <f t="shared" si="746"/>
        <v>0</v>
      </c>
      <c r="AH171" s="1467">
        <f t="shared" si="746"/>
        <v>0</v>
      </c>
      <c r="AI171" s="1467">
        <f t="shared" si="746"/>
        <v>0</v>
      </c>
      <c r="AJ171" s="1467">
        <f t="shared" si="746"/>
        <v>0</v>
      </c>
      <c r="AK171" s="1467">
        <f t="shared" si="746"/>
        <v>0</v>
      </c>
      <c r="AL171" s="1467">
        <f t="shared" si="746"/>
        <v>0</v>
      </c>
      <c r="AM171" s="1467">
        <f t="shared" si="746"/>
        <v>0</v>
      </c>
      <c r="AN171" s="1467">
        <f t="shared" si="746"/>
        <v>0</v>
      </c>
      <c r="AO171" s="1467">
        <f t="shared" si="746"/>
        <v>0</v>
      </c>
      <c r="AP171" s="1468">
        <f t="shared" si="670"/>
        <v>0</v>
      </c>
      <c r="AQ171" s="1488"/>
      <c r="AR171" s="1467">
        <f t="shared" si="671"/>
        <v>0</v>
      </c>
      <c r="AS171" s="1467">
        <f t="shared" si="672"/>
        <v>0</v>
      </c>
      <c r="AT171" s="1467">
        <f t="shared" si="637"/>
        <v>0</v>
      </c>
      <c r="AU171" s="1467">
        <f t="shared" si="638"/>
        <v>0</v>
      </c>
      <c r="AV171" s="1467">
        <f t="shared" si="639"/>
        <v>0</v>
      </c>
      <c r="AW171" s="1467">
        <f t="shared" si="640"/>
        <v>0</v>
      </c>
      <c r="AX171" s="1467">
        <f t="shared" si="641"/>
        <v>0</v>
      </c>
      <c r="AY171" s="1467">
        <f t="shared" si="642"/>
        <v>0</v>
      </c>
      <c r="AZ171" s="1467">
        <f t="shared" si="643"/>
        <v>0</v>
      </c>
      <c r="BA171" s="1467">
        <f t="shared" si="644"/>
        <v>0</v>
      </c>
      <c r="BB171" s="1467">
        <f t="shared" si="645"/>
        <v>0</v>
      </c>
      <c r="BC171" s="1467">
        <f t="shared" si="646"/>
        <v>0</v>
      </c>
      <c r="BD171" s="1467">
        <f t="shared" si="647"/>
        <v>0</v>
      </c>
      <c r="BE171" s="1467">
        <f t="shared" si="648"/>
        <v>0</v>
      </c>
      <c r="BF171" s="1467">
        <f t="shared" si="649"/>
        <v>0</v>
      </c>
      <c r="BG171" s="1467">
        <f t="shared" si="650"/>
        <v>0</v>
      </c>
      <c r="BH171" s="1467">
        <f t="shared" si="651"/>
        <v>0</v>
      </c>
      <c r="BI171" s="1467">
        <f t="shared" si="652"/>
        <v>0</v>
      </c>
      <c r="BJ171" s="1467">
        <f t="shared" si="653"/>
        <v>0</v>
      </c>
      <c r="BK171" s="1467">
        <f t="shared" si="654"/>
        <v>0</v>
      </c>
      <c r="BL171" s="1467">
        <f t="shared" si="655"/>
        <v>0</v>
      </c>
      <c r="BM171" s="1467">
        <f t="shared" si="656"/>
        <v>0</v>
      </c>
      <c r="BN171" s="1467">
        <f t="shared" si="657"/>
        <v>0</v>
      </c>
      <c r="BO171" s="1467">
        <f t="shared" si="658"/>
        <v>0</v>
      </c>
      <c r="BP171" s="1467">
        <f t="shared" si="659"/>
        <v>0</v>
      </c>
      <c r="BQ171" s="1467">
        <f t="shared" si="660"/>
        <v>0</v>
      </c>
      <c r="BR171" s="1467">
        <f t="shared" si="661"/>
        <v>0</v>
      </c>
      <c r="BS171" s="1467">
        <f t="shared" si="662"/>
        <v>0</v>
      </c>
      <c r="BT171" s="1467">
        <f t="shared" si="663"/>
        <v>0</v>
      </c>
      <c r="BU171" s="1467">
        <f t="shared" si="664"/>
        <v>0</v>
      </c>
      <c r="BV171" s="1488"/>
    </row>
    <row r="172" spans="1:74" x14ac:dyDescent="0.2">
      <c r="A172" s="927" t="str">
        <f t="shared" si="665"/>
        <v>Accelerated.Straight-Line</v>
      </c>
      <c r="B172" s="1076"/>
      <c r="C172" s="1076" t="str">
        <f t="shared" si="744"/>
        <v>Accelerated</v>
      </c>
      <c r="D172" s="1076" t="str">
        <f>Assumptions!$AH$81</f>
        <v>Straight-Line</v>
      </c>
      <c r="E172" s="1076" t="str">
        <f t="shared" si="745"/>
        <v>Wet Mill and gluten handling</v>
      </c>
      <c r="F172" s="1467">
        <f t="shared" si="745"/>
        <v>0</v>
      </c>
      <c r="G172" s="1467">
        <f t="shared" si="666"/>
        <v>0</v>
      </c>
      <c r="H172" s="1467">
        <f t="shared" si="667"/>
        <v>0</v>
      </c>
      <c r="I172" s="1467">
        <f t="shared" si="668"/>
        <v>0</v>
      </c>
      <c r="J172" s="1161">
        <f t="shared" ref="J172:J182" si="747">J171</f>
        <v>3.3333333333333333E-2</v>
      </c>
      <c r="K172" s="1107"/>
      <c r="L172" s="1467">
        <f t="shared" si="669"/>
        <v>0</v>
      </c>
      <c r="M172" s="1467">
        <f t="shared" si="669"/>
        <v>0</v>
      </c>
      <c r="N172" s="1467">
        <f t="shared" si="669"/>
        <v>0</v>
      </c>
      <c r="O172" s="1467">
        <f t="shared" si="669"/>
        <v>0</v>
      </c>
      <c r="P172" s="1467">
        <f t="shared" si="669"/>
        <v>0</v>
      </c>
      <c r="Q172" s="1467">
        <f t="shared" si="669"/>
        <v>0</v>
      </c>
      <c r="R172" s="1467">
        <f t="shared" si="669"/>
        <v>0</v>
      </c>
      <c r="S172" s="1467">
        <f t="shared" si="669"/>
        <v>0</v>
      </c>
      <c r="T172" s="1467">
        <f t="shared" si="669"/>
        <v>0</v>
      </c>
      <c r="U172" s="1467">
        <f t="shared" si="669"/>
        <v>0</v>
      </c>
      <c r="V172" s="1467">
        <f t="shared" si="669"/>
        <v>0</v>
      </c>
      <c r="W172" s="1467">
        <f t="shared" si="669"/>
        <v>0</v>
      </c>
      <c r="X172" s="1467">
        <f t="shared" si="669"/>
        <v>0</v>
      </c>
      <c r="Y172" s="1467">
        <f t="shared" si="669"/>
        <v>0</v>
      </c>
      <c r="Z172" s="1467">
        <f t="shared" si="669"/>
        <v>0</v>
      </c>
      <c r="AA172" s="1467">
        <f t="shared" si="669"/>
        <v>0</v>
      </c>
      <c r="AB172" s="1467">
        <f t="shared" si="746"/>
        <v>0</v>
      </c>
      <c r="AC172" s="1467">
        <f t="shared" si="746"/>
        <v>0</v>
      </c>
      <c r="AD172" s="1467">
        <f t="shared" si="746"/>
        <v>0</v>
      </c>
      <c r="AE172" s="1467">
        <f t="shared" si="746"/>
        <v>0</v>
      </c>
      <c r="AF172" s="1467">
        <f t="shared" si="746"/>
        <v>0</v>
      </c>
      <c r="AG172" s="1467">
        <f t="shared" si="746"/>
        <v>0</v>
      </c>
      <c r="AH172" s="1467">
        <f t="shared" si="746"/>
        <v>0</v>
      </c>
      <c r="AI172" s="1467">
        <f t="shared" si="746"/>
        <v>0</v>
      </c>
      <c r="AJ172" s="1467">
        <f t="shared" si="746"/>
        <v>0</v>
      </c>
      <c r="AK172" s="1467">
        <f t="shared" si="746"/>
        <v>0</v>
      </c>
      <c r="AL172" s="1467">
        <f t="shared" si="746"/>
        <v>0</v>
      </c>
      <c r="AM172" s="1467">
        <f t="shared" si="746"/>
        <v>0</v>
      </c>
      <c r="AN172" s="1467">
        <f t="shared" si="746"/>
        <v>0</v>
      </c>
      <c r="AO172" s="1467">
        <f t="shared" si="746"/>
        <v>0</v>
      </c>
      <c r="AP172" s="1468">
        <f t="shared" si="670"/>
        <v>0</v>
      </c>
      <c r="AQ172" s="1488"/>
      <c r="AR172" s="1467">
        <f t="shared" si="671"/>
        <v>0</v>
      </c>
      <c r="AS172" s="1467">
        <f t="shared" si="672"/>
        <v>0</v>
      </c>
      <c r="AT172" s="1467">
        <f t="shared" si="637"/>
        <v>0</v>
      </c>
      <c r="AU172" s="1467">
        <f t="shared" si="638"/>
        <v>0</v>
      </c>
      <c r="AV172" s="1467">
        <f t="shared" si="639"/>
        <v>0</v>
      </c>
      <c r="AW172" s="1467">
        <f t="shared" si="640"/>
        <v>0</v>
      </c>
      <c r="AX172" s="1467">
        <f t="shared" si="641"/>
        <v>0</v>
      </c>
      <c r="AY172" s="1467">
        <f t="shared" si="642"/>
        <v>0</v>
      </c>
      <c r="AZ172" s="1467">
        <f t="shared" si="643"/>
        <v>0</v>
      </c>
      <c r="BA172" s="1467">
        <f t="shared" si="644"/>
        <v>0</v>
      </c>
      <c r="BB172" s="1467">
        <f t="shared" si="645"/>
        <v>0</v>
      </c>
      <c r="BC172" s="1467">
        <f t="shared" si="646"/>
        <v>0</v>
      </c>
      <c r="BD172" s="1467">
        <f t="shared" si="647"/>
        <v>0</v>
      </c>
      <c r="BE172" s="1467">
        <f t="shared" si="648"/>
        <v>0</v>
      </c>
      <c r="BF172" s="1467">
        <f t="shared" si="649"/>
        <v>0</v>
      </c>
      <c r="BG172" s="1467">
        <f t="shared" si="650"/>
        <v>0</v>
      </c>
      <c r="BH172" s="1467">
        <f t="shared" si="651"/>
        <v>0</v>
      </c>
      <c r="BI172" s="1467">
        <f t="shared" si="652"/>
        <v>0</v>
      </c>
      <c r="BJ172" s="1467">
        <f t="shared" si="653"/>
        <v>0</v>
      </c>
      <c r="BK172" s="1467">
        <f t="shared" si="654"/>
        <v>0</v>
      </c>
      <c r="BL172" s="1467">
        <f t="shared" si="655"/>
        <v>0</v>
      </c>
      <c r="BM172" s="1467">
        <f t="shared" si="656"/>
        <v>0</v>
      </c>
      <c r="BN172" s="1467">
        <f t="shared" si="657"/>
        <v>0</v>
      </c>
      <c r="BO172" s="1467">
        <f t="shared" si="658"/>
        <v>0</v>
      </c>
      <c r="BP172" s="1467">
        <f t="shared" si="659"/>
        <v>0</v>
      </c>
      <c r="BQ172" s="1467">
        <f t="shared" si="660"/>
        <v>0</v>
      </c>
      <c r="BR172" s="1467">
        <f t="shared" si="661"/>
        <v>0</v>
      </c>
      <c r="BS172" s="1467">
        <f t="shared" si="662"/>
        <v>0</v>
      </c>
      <c r="BT172" s="1467">
        <f t="shared" si="663"/>
        <v>0</v>
      </c>
      <c r="BU172" s="1467">
        <f t="shared" si="664"/>
        <v>0</v>
      </c>
      <c r="BV172" s="1488"/>
    </row>
    <row r="173" spans="1:74" x14ac:dyDescent="0.2">
      <c r="A173" s="927" t="str">
        <f t="shared" si="665"/>
        <v>Accelerated.Straight-Line</v>
      </c>
      <c r="B173" s="1076"/>
      <c r="C173" s="1076" t="str">
        <f t="shared" si="744"/>
        <v>Accelerated</v>
      </c>
      <c r="D173" s="1076" t="str">
        <f>Assumptions!$AH$81</f>
        <v>Straight-Line</v>
      </c>
      <c r="E173" s="1076" t="str">
        <f t="shared" si="745"/>
        <v>Liquefaction and saccharification</v>
      </c>
      <c r="F173" s="1467">
        <f t="shared" si="745"/>
        <v>8000000</v>
      </c>
      <c r="G173" s="1467">
        <f t="shared" si="666"/>
        <v>9900000</v>
      </c>
      <c r="H173" s="1467">
        <f t="shared" si="667"/>
        <v>10890000</v>
      </c>
      <c r="I173" s="1467">
        <f t="shared" si="668"/>
        <v>10890000</v>
      </c>
      <c r="J173" s="1161">
        <f t="shared" si="747"/>
        <v>3.3333333333333333E-2</v>
      </c>
      <c r="K173" s="1107"/>
      <c r="L173" s="1467">
        <f t="shared" si="669"/>
        <v>363000</v>
      </c>
      <c r="M173" s="1467">
        <f t="shared" si="669"/>
        <v>363000</v>
      </c>
      <c r="N173" s="1467">
        <f t="shared" si="669"/>
        <v>363000</v>
      </c>
      <c r="O173" s="1467">
        <f t="shared" si="669"/>
        <v>363000</v>
      </c>
      <c r="P173" s="1467">
        <f t="shared" si="669"/>
        <v>363000</v>
      </c>
      <c r="Q173" s="1467">
        <f t="shared" si="669"/>
        <v>363000</v>
      </c>
      <c r="R173" s="1467">
        <f t="shared" si="669"/>
        <v>363000</v>
      </c>
      <c r="S173" s="1467">
        <f t="shared" si="669"/>
        <v>363000</v>
      </c>
      <c r="T173" s="1467">
        <f t="shared" si="669"/>
        <v>363000</v>
      </c>
      <c r="U173" s="1467">
        <f t="shared" si="669"/>
        <v>363000</v>
      </c>
      <c r="V173" s="1467">
        <f t="shared" si="669"/>
        <v>363000</v>
      </c>
      <c r="W173" s="1467">
        <f t="shared" si="669"/>
        <v>363000</v>
      </c>
      <c r="X173" s="1467">
        <f t="shared" si="669"/>
        <v>363000</v>
      </c>
      <c r="Y173" s="1467">
        <f t="shared" si="669"/>
        <v>363000</v>
      </c>
      <c r="Z173" s="1467">
        <f t="shared" si="669"/>
        <v>363000</v>
      </c>
      <c r="AA173" s="1467">
        <f t="shared" si="669"/>
        <v>363000</v>
      </c>
      <c r="AB173" s="1467">
        <f t="shared" si="746"/>
        <v>363000</v>
      </c>
      <c r="AC173" s="1467">
        <f t="shared" si="746"/>
        <v>363000</v>
      </c>
      <c r="AD173" s="1467">
        <f t="shared" si="746"/>
        <v>363000</v>
      </c>
      <c r="AE173" s="1467">
        <f t="shared" si="746"/>
        <v>363000</v>
      </c>
      <c r="AF173" s="1467">
        <f t="shared" si="746"/>
        <v>363000</v>
      </c>
      <c r="AG173" s="1467">
        <f t="shared" si="746"/>
        <v>363000</v>
      </c>
      <c r="AH173" s="1467">
        <f t="shared" si="746"/>
        <v>363000</v>
      </c>
      <c r="AI173" s="1467">
        <f t="shared" si="746"/>
        <v>363000</v>
      </c>
      <c r="AJ173" s="1467">
        <f t="shared" si="746"/>
        <v>363000</v>
      </c>
      <c r="AK173" s="1467">
        <f t="shared" si="746"/>
        <v>363000</v>
      </c>
      <c r="AL173" s="1467">
        <f t="shared" si="746"/>
        <v>363000</v>
      </c>
      <c r="AM173" s="1467">
        <f t="shared" si="746"/>
        <v>363000</v>
      </c>
      <c r="AN173" s="1467">
        <f t="shared" si="746"/>
        <v>363000</v>
      </c>
      <c r="AO173" s="1467">
        <f t="shared" si="746"/>
        <v>363000</v>
      </c>
      <c r="AP173" s="1468">
        <f t="shared" si="670"/>
        <v>10890000</v>
      </c>
      <c r="AQ173" s="1488"/>
      <c r="AR173" s="1467">
        <f t="shared" si="671"/>
        <v>10527000</v>
      </c>
      <c r="AS173" s="1467">
        <f t="shared" si="672"/>
        <v>10164000</v>
      </c>
      <c r="AT173" s="1467">
        <f t="shared" si="637"/>
        <v>9801000</v>
      </c>
      <c r="AU173" s="1467">
        <f t="shared" si="638"/>
        <v>9438000</v>
      </c>
      <c r="AV173" s="1467">
        <f t="shared" si="639"/>
        <v>9075000</v>
      </c>
      <c r="AW173" s="1467">
        <f t="shared" si="640"/>
        <v>8712000</v>
      </c>
      <c r="AX173" s="1467">
        <f t="shared" si="641"/>
        <v>8349000</v>
      </c>
      <c r="AY173" s="1467">
        <f t="shared" si="642"/>
        <v>7986000</v>
      </c>
      <c r="AZ173" s="1467">
        <f t="shared" si="643"/>
        <v>7623000</v>
      </c>
      <c r="BA173" s="1467">
        <f t="shared" si="644"/>
        <v>7260000</v>
      </c>
      <c r="BB173" s="1467">
        <f t="shared" si="645"/>
        <v>6897000</v>
      </c>
      <c r="BC173" s="1467">
        <f t="shared" si="646"/>
        <v>6534000</v>
      </c>
      <c r="BD173" s="1467">
        <f t="shared" si="647"/>
        <v>6171000</v>
      </c>
      <c r="BE173" s="1467">
        <f t="shared" si="648"/>
        <v>5808000</v>
      </c>
      <c r="BF173" s="1467">
        <f t="shared" si="649"/>
        <v>5445000</v>
      </c>
      <c r="BG173" s="1467">
        <f t="shared" si="650"/>
        <v>5082000</v>
      </c>
      <c r="BH173" s="1467">
        <f t="shared" si="651"/>
        <v>4719000</v>
      </c>
      <c r="BI173" s="1467">
        <f t="shared" si="652"/>
        <v>4356000</v>
      </c>
      <c r="BJ173" s="1467">
        <f t="shared" si="653"/>
        <v>3993000</v>
      </c>
      <c r="BK173" s="1467">
        <f t="shared" si="654"/>
        <v>3630000</v>
      </c>
      <c r="BL173" s="1467">
        <f t="shared" si="655"/>
        <v>3267000</v>
      </c>
      <c r="BM173" s="1467">
        <f t="shared" si="656"/>
        <v>2904000</v>
      </c>
      <c r="BN173" s="1467">
        <f t="shared" si="657"/>
        <v>2541000</v>
      </c>
      <c r="BO173" s="1467">
        <f t="shared" si="658"/>
        <v>2178000</v>
      </c>
      <c r="BP173" s="1467">
        <f t="shared" si="659"/>
        <v>1815000</v>
      </c>
      <c r="BQ173" s="1467">
        <f t="shared" si="660"/>
        <v>1452000</v>
      </c>
      <c r="BR173" s="1467">
        <f t="shared" si="661"/>
        <v>1089000</v>
      </c>
      <c r="BS173" s="1467">
        <f t="shared" si="662"/>
        <v>726000</v>
      </c>
      <c r="BT173" s="1467">
        <f t="shared" si="663"/>
        <v>363000</v>
      </c>
      <c r="BU173" s="1467">
        <f t="shared" si="664"/>
        <v>0</v>
      </c>
      <c r="BV173" s="1488"/>
    </row>
    <row r="174" spans="1:74" x14ac:dyDescent="0.2">
      <c r="A174" s="927" t="str">
        <f t="shared" si="665"/>
        <v>Accelerated.Straight-Line</v>
      </c>
      <c r="B174" s="1076"/>
      <c r="C174" s="1076" t="str">
        <f t="shared" si="744"/>
        <v>Accelerated</v>
      </c>
      <c r="D174" s="1076" t="str">
        <f>Assumptions!$AH$81</f>
        <v>Straight-Line</v>
      </c>
      <c r="E174" s="1076" t="str">
        <f t="shared" si="745"/>
        <v>Fermentation Plant</v>
      </c>
      <c r="F174" s="1467">
        <f t="shared" si="745"/>
        <v>18000000</v>
      </c>
      <c r="G174" s="1467">
        <f t="shared" si="666"/>
        <v>22275000</v>
      </c>
      <c r="H174" s="1467">
        <f t="shared" si="667"/>
        <v>24502500.000000004</v>
      </c>
      <c r="I174" s="1467">
        <f t="shared" si="668"/>
        <v>24502500.000000004</v>
      </c>
      <c r="J174" s="1161">
        <f t="shared" si="747"/>
        <v>3.3333333333333333E-2</v>
      </c>
      <c r="K174" s="1107"/>
      <c r="L174" s="1467">
        <f t="shared" si="669"/>
        <v>816750.00000000012</v>
      </c>
      <c r="M174" s="1467">
        <f t="shared" si="669"/>
        <v>816750.00000000012</v>
      </c>
      <c r="N174" s="1467">
        <f t="shared" si="669"/>
        <v>816750.00000000012</v>
      </c>
      <c r="O174" s="1467">
        <f t="shared" si="669"/>
        <v>816750.00000000012</v>
      </c>
      <c r="P174" s="1467">
        <f t="shared" si="669"/>
        <v>816750.00000000012</v>
      </c>
      <c r="Q174" s="1467">
        <f t="shared" si="669"/>
        <v>816750.00000000012</v>
      </c>
      <c r="R174" s="1467">
        <f t="shared" si="669"/>
        <v>816750.00000000012</v>
      </c>
      <c r="S174" s="1467">
        <f t="shared" si="669"/>
        <v>816750.00000000012</v>
      </c>
      <c r="T174" s="1467">
        <f t="shared" si="669"/>
        <v>816750.00000000012</v>
      </c>
      <c r="U174" s="1467">
        <f t="shared" si="669"/>
        <v>816750.00000000012</v>
      </c>
      <c r="V174" s="1467">
        <f t="shared" si="669"/>
        <v>816750.00000000012</v>
      </c>
      <c r="W174" s="1467">
        <f t="shared" si="669"/>
        <v>816750.00000000012</v>
      </c>
      <c r="X174" s="1467">
        <f t="shared" si="669"/>
        <v>816750.00000000012</v>
      </c>
      <c r="Y174" s="1467">
        <f t="shared" si="669"/>
        <v>816750.00000000012</v>
      </c>
      <c r="Z174" s="1467">
        <f t="shared" si="669"/>
        <v>816750.00000000012</v>
      </c>
      <c r="AA174" s="1467">
        <f t="shared" si="669"/>
        <v>816750.00000000012</v>
      </c>
      <c r="AB174" s="1467">
        <f t="shared" si="746"/>
        <v>816750.00000000012</v>
      </c>
      <c r="AC174" s="1467">
        <f t="shared" si="746"/>
        <v>816750.00000000012</v>
      </c>
      <c r="AD174" s="1467">
        <f t="shared" si="746"/>
        <v>816750.00000000012</v>
      </c>
      <c r="AE174" s="1467">
        <f t="shared" si="746"/>
        <v>816750.00000000012</v>
      </c>
      <c r="AF174" s="1467">
        <f t="shared" si="746"/>
        <v>816750.00000000012</v>
      </c>
      <c r="AG174" s="1467">
        <f t="shared" si="746"/>
        <v>816750.00000000012</v>
      </c>
      <c r="AH174" s="1467">
        <f t="shared" si="746"/>
        <v>816750.00000000012</v>
      </c>
      <c r="AI174" s="1467">
        <f t="shared" si="746"/>
        <v>816750.00000000012</v>
      </c>
      <c r="AJ174" s="1467">
        <f t="shared" si="746"/>
        <v>816750.00000000012</v>
      </c>
      <c r="AK174" s="1467">
        <f t="shared" si="746"/>
        <v>816750.00000000012</v>
      </c>
      <c r="AL174" s="1467">
        <f t="shared" si="746"/>
        <v>816750.00000000012</v>
      </c>
      <c r="AM174" s="1467">
        <f t="shared" si="746"/>
        <v>816750.00000000012</v>
      </c>
      <c r="AN174" s="1467">
        <f t="shared" si="746"/>
        <v>816750.00000000012</v>
      </c>
      <c r="AO174" s="1467">
        <f t="shared" si="746"/>
        <v>816750.00000000012</v>
      </c>
      <c r="AP174" s="1468">
        <f t="shared" si="670"/>
        <v>24502500.000000004</v>
      </c>
      <c r="AQ174" s="1488"/>
      <c r="AR174" s="1467">
        <f t="shared" si="671"/>
        <v>23685750.000000004</v>
      </c>
      <c r="AS174" s="1467">
        <f t="shared" si="672"/>
        <v>22869000.000000004</v>
      </c>
      <c r="AT174" s="1467">
        <f t="shared" si="637"/>
        <v>22052250.000000004</v>
      </c>
      <c r="AU174" s="1467">
        <f t="shared" si="638"/>
        <v>21235500.000000004</v>
      </c>
      <c r="AV174" s="1467">
        <f t="shared" si="639"/>
        <v>20418750.000000004</v>
      </c>
      <c r="AW174" s="1467">
        <f t="shared" si="640"/>
        <v>19602000.000000004</v>
      </c>
      <c r="AX174" s="1467">
        <f t="shared" si="641"/>
        <v>18785250.000000004</v>
      </c>
      <c r="AY174" s="1467">
        <f t="shared" si="642"/>
        <v>17968500.000000004</v>
      </c>
      <c r="AZ174" s="1467">
        <f t="shared" si="643"/>
        <v>17151750.000000004</v>
      </c>
      <c r="BA174" s="1467">
        <f t="shared" si="644"/>
        <v>16335000.000000004</v>
      </c>
      <c r="BB174" s="1467">
        <f t="shared" si="645"/>
        <v>15518250.000000004</v>
      </c>
      <c r="BC174" s="1467">
        <f t="shared" si="646"/>
        <v>14701500.000000004</v>
      </c>
      <c r="BD174" s="1467">
        <f t="shared" si="647"/>
        <v>13884750.000000004</v>
      </c>
      <c r="BE174" s="1467">
        <f t="shared" si="648"/>
        <v>13068000.000000004</v>
      </c>
      <c r="BF174" s="1467">
        <f t="shared" si="649"/>
        <v>12251250.000000004</v>
      </c>
      <c r="BG174" s="1467">
        <f t="shared" si="650"/>
        <v>11434500.000000004</v>
      </c>
      <c r="BH174" s="1467">
        <f t="shared" si="651"/>
        <v>10617750.000000004</v>
      </c>
      <c r="BI174" s="1467">
        <f t="shared" si="652"/>
        <v>9801000.0000000037</v>
      </c>
      <c r="BJ174" s="1467">
        <f t="shared" si="653"/>
        <v>8984250.0000000037</v>
      </c>
      <c r="BK174" s="1467">
        <f t="shared" si="654"/>
        <v>8167500.0000000037</v>
      </c>
      <c r="BL174" s="1467">
        <f t="shared" si="655"/>
        <v>7350750.0000000037</v>
      </c>
      <c r="BM174" s="1467">
        <f t="shared" si="656"/>
        <v>6534000.0000000037</v>
      </c>
      <c r="BN174" s="1467">
        <f t="shared" si="657"/>
        <v>5717250.0000000037</v>
      </c>
      <c r="BO174" s="1467">
        <f t="shared" si="658"/>
        <v>4900500.0000000037</v>
      </c>
      <c r="BP174" s="1467">
        <f t="shared" si="659"/>
        <v>4083750.0000000037</v>
      </c>
      <c r="BQ174" s="1467">
        <f t="shared" si="660"/>
        <v>3267000.0000000037</v>
      </c>
      <c r="BR174" s="1467">
        <f t="shared" si="661"/>
        <v>2450250.0000000037</v>
      </c>
      <c r="BS174" s="1467">
        <f t="shared" si="662"/>
        <v>1633500.0000000037</v>
      </c>
      <c r="BT174" s="1467">
        <f t="shared" si="663"/>
        <v>816750.00000000361</v>
      </c>
      <c r="BU174" s="1467">
        <f t="shared" si="664"/>
        <v>3.4924596548080444E-9</v>
      </c>
      <c r="BV174" s="1488"/>
    </row>
    <row r="175" spans="1:74" x14ac:dyDescent="0.2">
      <c r="A175" s="927" t="str">
        <f t="shared" si="665"/>
        <v>Accelerated.Straight-Line</v>
      </c>
      <c r="B175" s="1076"/>
      <c r="C175" s="1076" t="str">
        <f t="shared" si="744"/>
        <v>Accelerated</v>
      </c>
      <c r="D175" s="1076" t="str">
        <f>Assumptions!$AH$81</f>
        <v>Straight-Line</v>
      </c>
      <c r="E175" s="1076" t="str">
        <f t="shared" si="745"/>
        <v>Distillation, Rectification and Dehydration</v>
      </c>
      <c r="F175" s="1467">
        <f t="shared" si="745"/>
        <v>23000000</v>
      </c>
      <c r="G175" s="1467">
        <f t="shared" si="666"/>
        <v>28462500</v>
      </c>
      <c r="H175" s="1467">
        <f t="shared" si="667"/>
        <v>31308750.000000004</v>
      </c>
      <c r="I175" s="1467">
        <f t="shared" si="668"/>
        <v>31308750.000000004</v>
      </c>
      <c r="J175" s="1161">
        <f t="shared" si="747"/>
        <v>3.3333333333333333E-2</v>
      </c>
      <c r="K175" s="1107"/>
      <c r="L175" s="1467">
        <f t="shared" si="669"/>
        <v>1043625.0000000001</v>
      </c>
      <c r="M175" s="1467">
        <f t="shared" si="669"/>
        <v>1043625.0000000001</v>
      </c>
      <c r="N175" s="1467">
        <f t="shared" si="669"/>
        <v>1043625.0000000001</v>
      </c>
      <c r="O175" s="1467">
        <f t="shared" si="669"/>
        <v>1043625.0000000001</v>
      </c>
      <c r="P175" s="1467">
        <f t="shared" si="669"/>
        <v>1043625.0000000001</v>
      </c>
      <c r="Q175" s="1467">
        <f t="shared" si="669"/>
        <v>1043625.0000000001</v>
      </c>
      <c r="R175" s="1467">
        <f t="shared" si="669"/>
        <v>1043625.0000000001</v>
      </c>
      <c r="S175" s="1467">
        <f t="shared" si="669"/>
        <v>1043625.0000000001</v>
      </c>
      <c r="T175" s="1467">
        <f t="shared" si="669"/>
        <v>1043625.0000000001</v>
      </c>
      <c r="U175" s="1467">
        <f t="shared" si="669"/>
        <v>1043625.0000000001</v>
      </c>
      <c r="V175" s="1467">
        <f t="shared" si="669"/>
        <v>1043625.0000000001</v>
      </c>
      <c r="W175" s="1467">
        <f t="shared" si="669"/>
        <v>1043625.0000000001</v>
      </c>
      <c r="X175" s="1467">
        <f t="shared" si="669"/>
        <v>1043625.0000000001</v>
      </c>
      <c r="Y175" s="1467">
        <f t="shared" si="669"/>
        <v>1043625.0000000001</v>
      </c>
      <c r="Z175" s="1467">
        <f t="shared" si="669"/>
        <v>1043625.0000000001</v>
      </c>
      <c r="AA175" s="1467">
        <f t="shared" si="669"/>
        <v>1043625.0000000001</v>
      </c>
      <c r="AB175" s="1467">
        <f t="shared" si="746"/>
        <v>1043625.0000000001</v>
      </c>
      <c r="AC175" s="1467">
        <f t="shared" si="746"/>
        <v>1043625.0000000001</v>
      </c>
      <c r="AD175" s="1467">
        <f t="shared" si="746"/>
        <v>1043625.0000000001</v>
      </c>
      <c r="AE175" s="1467">
        <f t="shared" si="746"/>
        <v>1043625.0000000001</v>
      </c>
      <c r="AF175" s="1467">
        <f t="shared" si="746"/>
        <v>1043625.0000000001</v>
      </c>
      <c r="AG175" s="1467">
        <f t="shared" si="746"/>
        <v>1043625.0000000001</v>
      </c>
      <c r="AH175" s="1467">
        <f t="shared" si="746"/>
        <v>1043625.0000000001</v>
      </c>
      <c r="AI175" s="1467">
        <f t="shared" si="746"/>
        <v>1043625.0000000001</v>
      </c>
      <c r="AJ175" s="1467">
        <f t="shared" si="746"/>
        <v>1043625.0000000001</v>
      </c>
      <c r="AK175" s="1467">
        <f t="shared" si="746"/>
        <v>1043625.0000000001</v>
      </c>
      <c r="AL175" s="1467">
        <f t="shared" si="746"/>
        <v>1043625.0000000001</v>
      </c>
      <c r="AM175" s="1467">
        <f t="shared" si="746"/>
        <v>1043625.0000000001</v>
      </c>
      <c r="AN175" s="1467">
        <f t="shared" si="746"/>
        <v>1043625.0000000001</v>
      </c>
      <c r="AO175" s="1467">
        <f t="shared" si="746"/>
        <v>1043625.0000000001</v>
      </c>
      <c r="AP175" s="1468">
        <f t="shared" si="670"/>
        <v>31308750.000000004</v>
      </c>
      <c r="AQ175" s="1488"/>
      <c r="AR175" s="1467">
        <f t="shared" si="671"/>
        <v>30265125.000000004</v>
      </c>
      <c r="AS175" s="1467">
        <f t="shared" si="672"/>
        <v>29221500.000000004</v>
      </c>
      <c r="AT175" s="1467">
        <f t="shared" si="637"/>
        <v>28177875.000000004</v>
      </c>
      <c r="AU175" s="1467">
        <f t="shared" si="638"/>
        <v>27134250.000000004</v>
      </c>
      <c r="AV175" s="1467">
        <f t="shared" si="639"/>
        <v>26090625.000000004</v>
      </c>
      <c r="AW175" s="1467">
        <f t="shared" si="640"/>
        <v>25047000.000000004</v>
      </c>
      <c r="AX175" s="1467">
        <f t="shared" si="641"/>
        <v>24003375.000000004</v>
      </c>
      <c r="AY175" s="1467">
        <f t="shared" si="642"/>
        <v>22959750.000000004</v>
      </c>
      <c r="AZ175" s="1467">
        <f t="shared" si="643"/>
        <v>21916125.000000004</v>
      </c>
      <c r="BA175" s="1467">
        <f t="shared" si="644"/>
        <v>20872500.000000004</v>
      </c>
      <c r="BB175" s="1467">
        <f t="shared" si="645"/>
        <v>19828875.000000004</v>
      </c>
      <c r="BC175" s="1467">
        <f t="shared" si="646"/>
        <v>18785250.000000004</v>
      </c>
      <c r="BD175" s="1467">
        <f t="shared" si="647"/>
        <v>17741625.000000004</v>
      </c>
      <c r="BE175" s="1467">
        <f t="shared" si="648"/>
        <v>16698000.000000004</v>
      </c>
      <c r="BF175" s="1467">
        <f t="shared" si="649"/>
        <v>15654375.000000004</v>
      </c>
      <c r="BG175" s="1467">
        <f t="shared" si="650"/>
        <v>14610750.000000004</v>
      </c>
      <c r="BH175" s="1467">
        <f t="shared" si="651"/>
        <v>13567125.000000004</v>
      </c>
      <c r="BI175" s="1467">
        <f t="shared" si="652"/>
        <v>12523500.000000004</v>
      </c>
      <c r="BJ175" s="1467">
        <f t="shared" si="653"/>
        <v>11479875.000000004</v>
      </c>
      <c r="BK175" s="1467">
        <f t="shared" si="654"/>
        <v>10436250.000000004</v>
      </c>
      <c r="BL175" s="1467">
        <f t="shared" si="655"/>
        <v>9392625.0000000037</v>
      </c>
      <c r="BM175" s="1467">
        <f t="shared" si="656"/>
        <v>8349000.0000000037</v>
      </c>
      <c r="BN175" s="1467">
        <f t="shared" si="657"/>
        <v>7305375.0000000037</v>
      </c>
      <c r="BO175" s="1467">
        <f t="shared" si="658"/>
        <v>6261750.0000000037</v>
      </c>
      <c r="BP175" s="1467">
        <f t="shared" si="659"/>
        <v>5218125.0000000037</v>
      </c>
      <c r="BQ175" s="1467">
        <f t="shared" si="660"/>
        <v>4174500.0000000037</v>
      </c>
      <c r="BR175" s="1467">
        <f t="shared" si="661"/>
        <v>3130875.0000000037</v>
      </c>
      <c r="BS175" s="1467">
        <f t="shared" si="662"/>
        <v>2087250.0000000037</v>
      </c>
      <c r="BT175" s="1467">
        <f t="shared" si="663"/>
        <v>1043625.0000000036</v>
      </c>
      <c r="BU175" s="1467">
        <f t="shared" si="664"/>
        <v>3.4924596548080444E-9</v>
      </c>
      <c r="BV175" s="1488"/>
    </row>
    <row r="176" spans="1:74" x14ac:dyDescent="0.2">
      <c r="A176" s="927" t="str">
        <f t="shared" si="665"/>
        <v>Accelerated.Straight-Line</v>
      </c>
      <c r="B176" s="1076"/>
      <c r="C176" s="1076" t="str">
        <f t="shared" si="744"/>
        <v>Accelerated</v>
      </c>
      <c r="D176" s="1076" t="str">
        <f>Assumptions!$AH$81</f>
        <v>Straight-Line</v>
      </c>
      <c r="E176" s="1076" t="str">
        <f t="shared" si="745"/>
        <v>Alcohol Storage</v>
      </c>
      <c r="F176" s="1467">
        <f t="shared" si="745"/>
        <v>1000000</v>
      </c>
      <c r="G176" s="1467">
        <f t="shared" si="666"/>
        <v>1237500</v>
      </c>
      <c r="H176" s="1467">
        <f t="shared" si="667"/>
        <v>1361250</v>
      </c>
      <c r="I176" s="1467">
        <f t="shared" si="668"/>
        <v>1361250</v>
      </c>
      <c r="J176" s="1161">
        <f t="shared" si="747"/>
        <v>3.3333333333333333E-2</v>
      </c>
      <c r="K176" s="1107"/>
      <c r="L176" s="1467">
        <f t="shared" si="669"/>
        <v>45375</v>
      </c>
      <c r="M176" s="1467">
        <f t="shared" si="669"/>
        <v>45375</v>
      </c>
      <c r="N176" s="1467">
        <f t="shared" si="669"/>
        <v>45375</v>
      </c>
      <c r="O176" s="1467">
        <f t="shared" si="669"/>
        <v>45375</v>
      </c>
      <c r="P176" s="1467">
        <f t="shared" si="669"/>
        <v>45375</v>
      </c>
      <c r="Q176" s="1467">
        <f t="shared" si="669"/>
        <v>45375</v>
      </c>
      <c r="R176" s="1467">
        <f t="shared" si="669"/>
        <v>45375</v>
      </c>
      <c r="S176" s="1467">
        <f t="shared" si="669"/>
        <v>45375</v>
      </c>
      <c r="T176" s="1467">
        <f t="shared" si="669"/>
        <v>45375</v>
      </c>
      <c r="U176" s="1467">
        <f t="shared" si="669"/>
        <v>45375</v>
      </c>
      <c r="V176" s="1467">
        <f t="shared" si="669"/>
        <v>45375</v>
      </c>
      <c r="W176" s="1467">
        <f t="shared" si="669"/>
        <v>45375</v>
      </c>
      <c r="X176" s="1467">
        <f t="shared" si="669"/>
        <v>45375</v>
      </c>
      <c r="Y176" s="1467">
        <f t="shared" si="669"/>
        <v>45375</v>
      </c>
      <c r="Z176" s="1467">
        <f t="shared" si="669"/>
        <v>45375</v>
      </c>
      <c r="AA176" s="1467">
        <f t="shared" si="669"/>
        <v>45375</v>
      </c>
      <c r="AB176" s="1467">
        <f t="shared" si="746"/>
        <v>45375</v>
      </c>
      <c r="AC176" s="1467">
        <f t="shared" si="746"/>
        <v>45375</v>
      </c>
      <c r="AD176" s="1467">
        <f t="shared" si="746"/>
        <v>45375</v>
      </c>
      <c r="AE176" s="1467">
        <f t="shared" si="746"/>
        <v>45375</v>
      </c>
      <c r="AF176" s="1467">
        <f t="shared" si="746"/>
        <v>45375</v>
      </c>
      <c r="AG176" s="1467">
        <f t="shared" si="746"/>
        <v>45375</v>
      </c>
      <c r="AH176" s="1467">
        <f t="shared" si="746"/>
        <v>45375</v>
      </c>
      <c r="AI176" s="1467">
        <f t="shared" si="746"/>
        <v>45375</v>
      </c>
      <c r="AJ176" s="1467">
        <f t="shared" si="746"/>
        <v>45375</v>
      </c>
      <c r="AK176" s="1467">
        <f t="shared" si="746"/>
        <v>45375</v>
      </c>
      <c r="AL176" s="1467">
        <f t="shared" si="746"/>
        <v>45375</v>
      </c>
      <c r="AM176" s="1467">
        <f t="shared" si="746"/>
        <v>45375</v>
      </c>
      <c r="AN176" s="1467">
        <f t="shared" si="746"/>
        <v>45375</v>
      </c>
      <c r="AO176" s="1467">
        <f t="shared" si="746"/>
        <v>45375</v>
      </c>
      <c r="AP176" s="1468">
        <f t="shared" ref="AP176:AP178" si="748">SUM(L176:AO176)</f>
        <v>1361250</v>
      </c>
      <c r="AQ176" s="1488"/>
      <c r="AR176" s="1467">
        <f t="shared" si="671"/>
        <v>1315875</v>
      </c>
      <c r="AS176" s="1467">
        <f t="shared" si="672"/>
        <v>1270500</v>
      </c>
      <c r="AT176" s="1467">
        <f t="shared" si="637"/>
        <v>1225125</v>
      </c>
      <c r="AU176" s="1467">
        <f t="shared" si="638"/>
        <v>1179750</v>
      </c>
      <c r="AV176" s="1467">
        <f t="shared" si="639"/>
        <v>1134375</v>
      </c>
      <c r="AW176" s="1467">
        <f t="shared" si="640"/>
        <v>1089000</v>
      </c>
      <c r="AX176" s="1467">
        <f t="shared" si="641"/>
        <v>1043625</v>
      </c>
      <c r="AY176" s="1467">
        <f t="shared" si="642"/>
        <v>998250</v>
      </c>
      <c r="AZ176" s="1467">
        <f t="shared" si="643"/>
        <v>952875</v>
      </c>
      <c r="BA176" s="1467">
        <f t="shared" si="644"/>
        <v>907500</v>
      </c>
      <c r="BB176" s="1467">
        <f t="shared" si="645"/>
        <v>862125</v>
      </c>
      <c r="BC176" s="1467">
        <f t="shared" si="646"/>
        <v>816750</v>
      </c>
      <c r="BD176" s="1467">
        <f t="shared" si="647"/>
        <v>771375</v>
      </c>
      <c r="BE176" s="1467">
        <f t="shared" si="648"/>
        <v>726000</v>
      </c>
      <c r="BF176" s="1467">
        <f t="shared" si="649"/>
        <v>680625</v>
      </c>
      <c r="BG176" s="1467">
        <f t="shared" si="650"/>
        <v>635250</v>
      </c>
      <c r="BH176" s="1467">
        <f t="shared" si="651"/>
        <v>589875</v>
      </c>
      <c r="BI176" s="1467">
        <f t="shared" si="652"/>
        <v>544500</v>
      </c>
      <c r="BJ176" s="1467">
        <f t="shared" si="653"/>
        <v>499125</v>
      </c>
      <c r="BK176" s="1467">
        <f t="shared" si="654"/>
        <v>453750</v>
      </c>
      <c r="BL176" s="1467">
        <f t="shared" si="655"/>
        <v>408375</v>
      </c>
      <c r="BM176" s="1467">
        <f t="shared" si="656"/>
        <v>363000</v>
      </c>
      <c r="BN176" s="1467">
        <f t="shared" si="657"/>
        <v>317625</v>
      </c>
      <c r="BO176" s="1467">
        <f t="shared" si="658"/>
        <v>272250</v>
      </c>
      <c r="BP176" s="1467">
        <f t="shared" si="659"/>
        <v>226875</v>
      </c>
      <c r="BQ176" s="1467">
        <f t="shared" si="660"/>
        <v>181500</v>
      </c>
      <c r="BR176" s="1467">
        <f t="shared" si="661"/>
        <v>136125</v>
      </c>
      <c r="BS176" s="1467">
        <f t="shared" si="662"/>
        <v>90750</v>
      </c>
      <c r="BT176" s="1467">
        <f t="shared" si="663"/>
        <v>45375</v>
      </c>
      <c r="BU176" s="1467">
        <f t="shared" si="664"/>
        <v>0</v>
      </c>
      <c r="BV176" s="1488"/>
    </row>
    <row r="177" spans="1:74" x14ac:dyDescent="0.2">
      <c r="A177" s="927" t="str">
        <f t="shared" si="665"/>
        <v>Accelerated.Straight-Line</v>
      </c>
      <c r="B177" s="1076"/>
      <c r="C177" s="1076" t="str">
        <f t="shared" si="744"/>
        <v>Accelerated</v>
      </c>
      <c r="D177" s="1076" t="str">
        <f>Assumptions!$AH$81</f>
        <v>Straight-Line</v>
      </c>
      <c r="E177" s="1076" t="str">
        <f t="shared" si="745"/>
        <v>WDGS drying plant</v>
      </c>
      <c r="F177" s="1467">
        <f t="shared" si="745"/>
        <v>10000000</v>
      </c>
      <c r="G177" s="1467">
        <f t="shared" si="666"/>
        <v>12375000</v>
      </c>
      <c r="H177" s="1467">
        <f t="shared" si="667"/>
        <v>13612500.000000002</v>
      </c>
      <c r="I177" s="1467">
        <f t="shared" si="668"/>
        <v>13612500.000000002</v>
      </c>
      <c r="J177" s="1161">
        <f t="shared" si="747"/>
        <v>3.3333333333333333E-2</v>
      </c>
      <c r="K177" s="1107"/>
      <c r="L177" s="1467">
        <f t="shared" ref="L177:AA182" si="749">$I177*$J177</f>
        <v>453750.00000000006</v>
      </c>
      <c r="M177" s="1467">
        <f t="shared" si="749"/>
        <v>453750.00000000006</v>
      </c>
      <c r="N177" s="1467">
        <f t="shared" si="749"/>
        <v>453750.00000000006</v>
      </c>
      <c r="O177" s="1467">
        <f t="shared" si="749"/>
        <v>453750.00000000006</v>
      </c>
      <c r="P177" s="1467">
        <f t="shared" si="749"/>
        <v>453750.00000000006</v>
      </c>
      <c r="Q177" s="1467">
        <f t="shared" si="749"/>
        <v>453750.00000000006</v>
      </c>
      <c r="R177" s="1467">
        <f t="shared" si="749"/>
        <v>453750.00000000006</v>
      </c>
      <c r="S177" s="1467">
        <f t="shared" si="749"/>
        <v>453750.00000000006</v>
      </c>
      <c r="T177" s="1467">
        <f t="shared" si="749"/>
        <v>453750.00000000006</v>
      </c>
      <c r="U177" s="1467">
        <f t="shared" si="749"/>
        <v>453750.00000000006</v>
      </c>
      <c r="V177" s="1467">
        <f t="shared" si="749"/>
        <v>453750.00000000006</v>
      </c>
      <c r="W177" s="1467">
        <f t="shared" si="749"/>
        <v>453750.00000000006</v>
      </c>
      <c r="X177" s="1467">
        <f t="shared" si="749"/>
        <v>453750.00000000006</v>
      </c>
      <c r="Y177" s="1467">
        <f t="shared" si="749"/>
        <v>453750.00000000006</v>
      </c>
      <c r="Z177" s="1467">
        <f t="shared" si="749"/>
        <v>453750.00000000006</v>
      </c>
      <c r="AA177" s="1467">
        <f t="shared" si="749"/>
        <v>453750.00000000006</v>
      </c>
      <c r="AB177" s="1467">
        <f t="shared" si="746"/>
        <v>453750.00000000006</v>
      </c>
      <c r="AC177" s="1467">
        <f t="shared" si="746"/>
        <v>453750.00000000006</v>
      </c>
      <c r="AD177" s="1467">
        <f t="shared" si="746"/>
        <v>453750.00000000006</v>
      </c>
      <c r="AE177" s="1467">
        <f t="shared" si="746"/>
        <v>453750.00000000006</v>
      </c>
      <c r="AF177" s="1467">
        <f t="shared" si="746"/>
        <v>453750.00000000006</v>
      </c>
      <c r="AG177" s="1467">
        <f t="shared" si="746"/>
        <v>453750.00000000006</v>
      </c>
      <c r="AH177" s="1467">
        <f t="shared" si="746"/>
        <v>453750.00000000006</v>
      </c>
      <c r="AI177" s="1467">
        <f t="shared" si="746"/>
        <v>453750.00000000006</v>
      </c>
      <c r="AJ177" s="1467">
        <f t="shared" si="746"/>
        <v>453750.00000000006</v>
      </c>
      <c r="AK177" s="1467">
        <f t="shared" si="746"/>
        <v>453750.00000000006</v>
      </c>
      <c r="AL177" s="1467">
        <f t="shared" si="746"/>
        <v>453750.00000000006</v>
      </c>
      <c r="AM177" s="1467">
        <f t="shared" si="746"/>
        <v>453750.00000000006</v>
      </c>
      <c r="AN177" s="1467">
        <f t="shared" si="746"/>
        <v>453750.00000000006</v>
      </c>
      <c r="AO177" s="1467">
        <f t="shared" si="746"/>
        <v>453750.00000000006</v>
      </c>
      <c r="AP177" s="1468">
        <f t="shared" si="748"/>
        <v>13612500.000000002</v>
      </c>
      <c r="AQ177" s="1488"/>
      <c r="AR177" s="1467">
        <f t="shared" si="671"/>
        <v>13158750.000000002</v>
      </c>
      <c r="AS177" s="1467">
        <f t="shared" si="672"/>
        <v>12705000.000000002</v>
      </c>
      <c r="AT177" s="1467">
        <f t="shared" si="637"/>
        <v>12251250.000000002</v>
      </c>
      <c r="AU177" s="1467">
        <f t="shared" si="638"/>
        <v>11797500.000000002</v>
      </c>
      <c r="AV177" s="1467">
        <f t="shared" si="639"/>
        <v>11343750.000000002</v>
      </c>
      <c r="AW177" s="1467">
        <f t="shared" si="640"/>
        <v>10890000.000000002</v>
      </c>
      <c r="AX177" s="1467">
        <f t="shared" si="641"/>
        <v>10436250.000000002</v>
      </c>
      <c r="AY177" s="1467">
        <f t="shared" si="642"/>
        <v>9982500.0000000019</v>
      </c>
      <c r="AZ177" s="1467">
        <f t="shared" si="643"/>
        <v>9528750.0000000019</v>
      </c>
      <c r="BA177" s="1467">
        <f t="shared" si="644"/>
        <v>9075000.0000000019</v>
      </c>
      <c r="BB177" s="1467">
        <f t="shared" si="645"/>
        <v>8621250.0000000019</v>
      </c>
      <c r="BC177" s="1467">
        <f t="shared" si="646"/>
        <v>8167500.0000000019</v>
      </c>
      <c r="BD177" s="1467">
        <f t="shared" si="647"/>
        <v>7713750.0000000019</v>
      </c>
      <c r="BE177" s="1467">
        <f t="shared" si="648"/>
        <v>7260000.0000000019</v>
      </c>
      <c r="BF177" s="1467">
        <f t="shared" si="649"/>
        <v>6806250.0000000019</v>
      </c>
      <c r="BG177" s="1467">
        <f t="shared" si="650"/>
        <v>6352500.0000000019</v>
      </c>
      <c r="BH177" s="1467">
        <f t="shared" si="651"/>
        <v>5898750.0000000019</v>
      </c>
      <c r="BI177" s="1467">
        <f t="shared" si="652"/>
        <v>5445000.0000000019</v>
      </c>
      <c r="BJ177" s="1467">
        <f t="shared" si="653"/>
        <v>4991250.0000000019</v>
      </c>
      <c r="BK177" s="1467">
        <f t="shared" si="654"/>
        <v>4537500.0000000019</v>
      </c>
      <c r="BL177" s="1467">
        <f t="shared" si="655"/>
        <v>4083750.0000000019</v>
      </c>
      <c r="BM177" s="1467">
        <f t="shared" si="656"/>
        <v>3630000.0000000019</v>
      </c>
      <c r="BN177" s="1467">
        <f t="shared" si="657"/>
        <v>3176250.0000000019</v>
      </c>
      <c r="BO177" s="1467">
        <f t="shared" si="658"/>
        <v>2722500.0000000019</v>
      </c>
      <c r="BP177" s="1467">
        <f t="shared" si="659"/>
        <v>2268750.0000000019</v>
      </c>
      <c r="BQ177" s="1467">
        <f t="shared" si="660"/>
        <v>1815000.0000000019</v>
      </c>
      <c r="BR177" s="1467">
        <f t="shared" si="661"/>
        <v>1361250.0000000019</v>
      </c>
      <c r="BS177" s="1467">
        <f t="shared" si="662"/>
        <v>907500.00000000186</v>
      </c>
      <c r="BT177" s="1467">
        <f t="shared" si="663"/>
        <v>453750.0000000018</v>
      </c>
      <c r="BU177" s="1467">
        <f t="shared" si="664"/>
        <v>1.7462298274040222E-9</v>
      </c>
      <c r="BV177" s="1488"/>
    </row>
    <row r="178" spans="1:74" x14ac:dyDescent="0.2">
      <c r="A178" s="927" t="str">
        <f t="shared" si="665"/>
        <v>Accelerated.Straight-Line</v>
      </c>
      <c r="B178" s="1076"/>
      <c r="C178" s="1076" t="str">
        <f t="shared" si="744"/>
        <v>Accelerated</v>
      </c>
      <c r="D178" s="1076" t="str">
        <f>Assumptions!$AH$81</f>
        <v>Straight-Line</v>
      </c>
      <c r="E178" s="1076" t="str">
        <f t="shared" si="745"/>
        <v>Stockfeed plant</v>
      </c>
      <c r="F178" s="1467">
        <f t="shared" si="745"/>
        <v>1000000</v>
      </c>
      <c r="G178" s="1467">
        <f t="shared" si="666"/>
        <v>1237500</v>
      </c>
      <c r="H178" s="1467">
        <f t="shared" si="667"/>
        <v>1361250</v>
      </c>
      <c r="I178" s="1467">
        <f t="shared" si="668"/>
        <v>1361250</v>
      </c>
      <c r="J178" s="1161">
        <f t="shared" si="747"/>
        <v>3.3333333333333333E-2</v>
      </c>
      <c r="K178" s="1107"/>
      <c r="L178" s="1467">
        <f t="shared" si="749"/>
        <v>45375</v>
      </c>
      <c r="M178" s="1467">
        <f t="shared" si="749"/>
        <v>45375</v>
      </c>
      <c r="N178" s="1467">
        <f t="shared" si="749"/>
        <v>45375</v>
      </c>
      <c r="O178" s="1467">
        <f t="shared" si="749"/>
        <v>45375</v>
      </c>
      <c r="P178" s="1467">
        <f t="shared" si="749"/>
        <v>45375</v>
      </c>
      <c r="Q178" s="1467">
        <f t="shared" si="749"/>
        <v>45375</v>
      </c>
      <c r="R178" s="1467">
        <f t="shared" si="749"/>
        <v>45375</v>
      </c>
      <c r="S178" s="1467">
        <f t="shared" si="749"/>
        <v>45375</v>
      </c>
      <c r="T178" s="1467">
        <f t="shared" si="749"/>
        <v>45375</v>
      </c>
      <c r="U178" s="1467">
        <f t="shared" si="749"/>
        <v>45375</v>
      </c>
      <c r="V178" s="1467">
        <f t="shared" si="749"/>
        <v>45375</v>
      </c>
      <c r="W178" s="1467">
        <f t="shared" si="749"/>
        <v>45375</v>
      </c>
      <c r="X178" s="1467">
        <f t="shared" si="749"/>
        <v>45375</v>
      </c>
      <c r="Y178" s="1467">
        <f t="shared" si="749"/>
        <v>45375</v>
      </c>
      <c r="Z178" s="1467">
        <f t="shared" si="749"/>
        <v>45375</v>
      </c>
      <c r="AA178" s="1467">
        <f t="shared" si="749"/>
        <v>45375</v>
      </c>
      <c r="AB178" s="1467">
        <f t="shared" si="746"/>
        <v>45375</v>
      </c>
      <c r="AC178" s="1467">
        <f t="shared" si="746"/>
        <v>45375</v>
      </c>
      <c r="AD178" s="1467">
        <f t="shared" si="746"/>
        <v>45375</v>
      </c>
      <c r="AE178" s="1467">
        <f t="shared" si="746"/>
        <v>45375</v>
      </c>
      <c r="AF178" s="1467">
        <f t="shared" si="746"/>
        <v>45375</v>
      </c>
      <c r="AG178" s="1467">
        <f t="shared" si="746"/>
        <v>45375</v>
      </c>
      <c r="AH178" s="1467">
        <f t="shared" si="746"/>
        <v>45375</v>
      </c>
      <c r="AI178" s="1467">
        <f t="shared" si="746"/>
        <v>45375</v>
      </c>
      <c r="AJ178" s="1467">
        <f t="shared" si="746"/>
        <v>45375</v>
      </c>
      <c r="AK178" s="1467">
        <f t="shared" si="746"/>
        <v>45375</v>
      </c>
      <c r="AL178" s="1467">
        <f t="shared" si="746"/>
        <v>45375</v>
      </c>
      <c r="AM178" s="1467">
        <f t="shared" si="746"/>
        <v>45375</v>
      </c>
      <c r="AN178" s="1467">
        <f t="shared" si="746"/>
        <v>45375</v>
      </c>
      <c r="AO178" s="1467">
        <f t="shared" si="746"/>
        <v>45375</v>
      </c>
      <c r="AP178" s="1468">
        <f t="shared" si="748"/>
        <v>1361250</v>
      </c>
      <c r="AQ178" s="1488"/>
      <c r="AR178" s="1467">
        <f t="shared" si="671"/>
        <v>1315875</v>
      </c>
      <c r="AS178" s="1467">
        <f t="shared" si="672"/>
        <v>1270500</v>
      </c>
      <c r="AT178" s="1467">
        <f t="shared" si="637"/>
        <v>1225125</v>
      </c>
      <c r="AU178" s="1467">
        <f t="shared" si="638"/>
        <v>1179750</v>
      </c>
      <c r="AV178" s="1467">
        <f t="shared" si="639"/>
        <v>1134375</v>
      </c>
      <c r="AW178" s="1467">
        <f t="shared" si="640"/>
        <v>1089000</v>
      </c>
      <c r="AX178" s="1467">
        <f t="shared" si="641"/>
        <v>1043625</v>
      </c>
      <c r="AY178" s="1467">
        <f t="shared" si="642"/>
        <v>998250</v>
      </c>
      <c r="AZ178" s="1467">
        <f t="shared" si="643"/>
        <v>952875</v>
      </c>
      <c r="BA178" s="1467">
        <f t="shared" si="644"/>
        <v>907500</v>
      </c>
      <c r="BB178" s="1467">
        <f t="shared" si="645"/>
        <v>862125</v>
      </c>
      <c r="BC178" s="1467">
        <f t="shared" si="646"/>
        <v>816750</v>
      </c>
      <c r="BD178" s="1467">
        <f t="shared" si="647"/>
        <v>771375</v>
      </c>
      <c r="BE178" s="1467">
        <f t="shared" si="648"/>
        <v>726000</v>
      </c>
      <c r="BF178" s="1467">
        <f t="shared" si="649"/>
        <v>680625</v>
      </c>
      <c r="BG178" s="1467">
        <f t="shared" si="650"/>
        <v>635250</v>
      </c>
      <c r="BH178" s="1467">
        <f t="shared" si="651"/>
        <v>589875</v>
      </c>
      <c r="BI178" s="1467">
        <f t="shared" si="652"/>
        <v>544500</v>
      </c>
      <c r="BJ178" s="1467">
        <f t="shared" si="653"/>
        <v>499125</v>
      </c>
      <c r="BK178" s="1467">
        <f t="shared" si="654"/>
        <v>453750</v>
      </c>
      <c r="BL178" s="1467">
        <f t="shared" si="655"/>
        <v>408375</v>
      </c>
      <c r="BM178" s="1467">
        <f t="shared" si="656"/>
        <v>363000</v>
      </c>
      <c r="BN178" s="1467">
        <f t="shared" si="657"/>
        <v>317625</v>
      </c>
      <c r="BO178" s="1467">
        <f t="shared" si="658"/>
        <v>272250</v>
      </c>
      <c r="BP178" s="1467">
        <f t="shared" si="659"/>
        <v>226875</v>
      </c>
      <c r="BQ178" s="1467">
        <f t="shared" si="660"/>
        <v>181500</v>
      </c>
      <c r="BR178" s="1467">
        <f t="shared" si="661"/>
        <v>136125</v>
      </c>
      <c r="BS178" s="1467">
        <f t="shared" si="662"/>
        <v>90750</v>
      </c>
      <c r="BT178" s="1467">
        <f t="shared" si="663"/>
        <v>45375</v>
      </c>
      <c r="BU178" s="1467">
        <f t="shared" si="664"/>
        <v>0</v>
      </c>
      <c r="BV178" s="1488"/>
    </row>
    <row r="179" spans="1:74" x14ac:dyDescent="0.2">
      <c r="A179" s="927" t="str">
        <f t="shared" si="665"/>
        <v>Accelerated.Straight-Line</v>
      </c>
      <c r="B179" s="1010"/>
      <c r="C179" s="1076" t="str">
        <f t="shared" si="744"/>
        <v>Accelerated</v>
      </c>
      <c r="D179" s="1076" t="str">
        <f>Assumptions!$AH$81</f>
        <v>Straight-Line</v>
      </c>
      <c r="E179" s="1076" t="str">
        <f t="shared" ref="E179:F179" si="750">E165</f>
        <v>Biogas Plant</v>
      </c>
      <c r="F179" s="1467">
        <f t="shared" si="750"/>
        <v>13000000</v>
      </c>
      <c r="G179" s="1467">
        <f t="shared" ref="G179:G180" si="751">F179*(1+$F$4)</f>
        <v>16087500</v>
      </c>
      <c r="H179" s="1467">
        <f t="shared" ref="H179:H180" si="752">G179*(1+$F$5)</f>
        <v>17696250</v>
      </c>
      <c r="I179" s="1467">
        <f t="shared" ref="I179:I180" si="753">H179*(1+$F$6)</f>
        <v>17696250</v>
      </c>
      <c r="J179" s="1161">
        <f t="shared" si="747"/>
        <v>3.3333333333333333E-2</v>
      </c>
      <c r="K179" s="1107"/>
      <c r="L179" s="1467">
        <f t="shared" si="749"/>
        <v>589875</v>
      </c>
      <c r="M179" s="1467">
        <f t="shared" si="749"/>
        <v>589875</v>
      </c>
      <c r="N179" s="1467">
        <f t="shared" si="749"/>
        <v>589875</v>
      </c>
      <c r="O179" s="1467">
        <f t="shared" si="749"/>
        <v>589875</v>
      </c>
      <c r="P179" s="1467">
        <f t="shared" si="749"/>
        <v>589875</v>
      </c>
      <c r="Q179" s="1467">
        <f t="shared" si="749"/>
        <v>589875</v>
      </c>
      <c r="R179" s="1467">
        <f t="shared" si="749"/>
        <v>589875</v>
      </c>
      <c r="S179" s="1467">
        <f t="shared" si="749"/>
        <v>589875</v>
      </c>
      <c r="T179" s="1467">
        <f t="shared" si="749"/>
        <v>589875</v>
      </c>
      <c r="U179" s="1467">
        <f t="shared" si="749"/>
        <v>589875</v>
      </c>
      <c r="V179" s="1467">
        <f t="shared" si="749"/>
        <v>589875</v>
      </c>
      <c r="W179" s="1467">
        <f t="shared" si="749"/>
        <v>589875</v>
      </c>
      <c r="X179" s="1467">
        <f t="shared" si="749"/>
        <v>589875</v>
      </c>
      <c r="Y179" s="1467">
        <f t="shared" si="749"/>
        <v>589875</v>
      </c>
      <c r="Z179" s="1467">
        <f t="shared" si="749"/>
        <v>589875</v>
      </c>
      <c r="AA179" s="1467">
        <f t="shared" si="749"/>
        <v>589875</v>
      </c>
      <c r="AB179" s="1467">
        <f t="shared" si="746"/>
        <v>589875</v>
      </c>
      <c r="AC179" s="1467">
        <f t="shared" si="746"/>
        <v>589875</v>
      </c>
      <c r="AD179" s="1467">
        <f t="shared" si="746"/>
        <v>589875</v>
      </c>
      <c r="AE179" s="1467">
        <f t="shared" si="746"/>
        <v>589875</v>
      </c>
      <c r="AF179" s="1467">
        <f t="shared" si="746"/>
        <v>589875</v>
      </c>
      <c r="AG179" s="1467">
        <f t="shared" si="746"/>
        <v>589875</v>
      </c>
      <c r="AH179" s="1467">
        <f t="shared" si="746"/>
        <v>589875</v>
      </c>
      <c r="AI179" s="1467">
        <f t="shared" si="746"/>
        <v>589875</v>
      </c>
      <c r="AJ179" s="1467">
        <f t="shared" si="746"/>
        <v>589875</v>
      </c>
      <c r="AK179" s="1467">
        <f t="shared" si="746"/>
        <v>589875</v>
      </c>
      <c r="AL179" s="1467">
        <f t="shared" si="746"/>
        <v>589875</v>
      </c>
      <c r="AM179" s="1467">
        <f t="shared" si="746"/>
        <v>589875</v>
      </c>
      <c r="AN179" s="1467">
        <f t="shared" si="746"/>
        <v>589875</v>
      </c>
      <c r="AO179" s="1467">
        <f t="shared" si="746"/>
        <v>589875</v>
      </c>
      <c r="AP179" s="1468">
        <f t="shared" ref="AP179:AP181" si="754">SUM(L179:AO179)</f>
        <v>17696250</v>
      </c>
      <c r="AQ179" s="1488"/>
      <c r="AR179" s="1467">
        <f t="shared" ref="AR179:AR181" si="755">I179-L179</f>
        <v>17106375</v>
      </c>
      <c r="AS179" s="1467">
        <f t="shared" ref="AS179:AS181" si="756">AR179-M179</f>
        <v>16516500</v>
      </c>
      <c r="AT179" s="1467">
        <f t="shared" ref="AT179:AT181" si="757">AS179-N179</f>
        <v>15926625</v>
      </c>
      <c r="AU179" s="1467">
        <f t="shared" ref="AU179:AU181" si="758">AT179-O179</f>
        <v>15336750</v>
      </c>
      <c r="AV179" s="1467">
        <f t="shared" ref="AV179:AV181" si="759">AU179-P179</f>
        <v>14746875</v>
      </c>
      <c r="AW179" s="1467">
        <f t="shared" ref="AW179:AW181" si="760">AV179-Q179</f>
        <v>14157000</v>
      </c>
      <c r="AX179" s="1467">
        <f t="shared" ref="AX179:AX181" si="761">AW179-R179</f>
        <v>13567125</v>
      </c>
      <c r="AY179" s="1467">
        <f t="shared" ref="AY179:AY181" si="762">AX179-S179</f>
        <v>12977250</v>
      </c>
      <c r="AZ179" s="1467">
        <f t="shared" ref="AZ179:AZ181" si="763">AY179-T179</f>
        <v>12387375</v>
      </c>
      <c r="BA179" s="1467">
        <f t="shared" ref="BA179:BA181" si="764">AZ179-U179</f>
        <v>11797500</v>
      </c>
      <c r="BB179" s="1467">
        <f t="shared" ref="BB179:BB181" si="765">BA179-V179</f>
        <v>11207625</v>
      </c>
      <c r="BC179" s="1467">
        <f t="shared" ref="BC179:BC181" si="766">BB179-W179</f>
        <v>10617750</v>
      </c>
      <c r="BD179" s="1467">
        <f t="shared" ref="BD179:BD181" si="767">BC179-X179</f>
        <v>10027875</v>
      </c>
      <c r="BE179" s="1467">
        <f t="shared" ref="BE179:BE181" si="768">BD179-Y179</f>
        <v>9438000</v>
      </c>
      <c r="BF179" s="1467">
        <f t="shared" ref="BF179:BF181" si="769">BE179-Z179</f>
        <v>8848125</v>
      </c>
      <c r="BG179" s="1467">
        <f t="shared" ref="BG179:BG181" si="770">BF179-AA179</f>
        <v>8258250</v>
      </c>
      <c r="BH179" s="1467">
        <f t="shared" ref="BH179:BH181" si="771">BG179-AB179</f>
        <v>7668375</v>
      </c>
      <c r="BI179" s="1467">
        <f t="shared" ref="BI179:BI181" si="772">BH179-AC179</f>
        <v>7078500</v>
      </c>
      <c r="BJ179" s="1467">
        <f t="shared" ref="BJ179:BJ181" si="773">BI179-AD179</f>
        <v>6488625</v>
      </c>
      <c r="BK179" s="1467">
        <f t="shared" ref="BK179:BK181" si="774">BJ179-AE179</f>
        <v>5898750</v>
      </c>
      <c r="BL179" s="1467">
        <f t="shared" ref="BL179:BL181" si="775">BK179-AF179</f>
        <v>5308875</v>
      </c>
      <c r="BM179" s="1467">
        <f t="shared" ref="BM179:BM181" si="776">BL179-AG179</f>
        <v>4719000</v>
      </c>
      <c r="BN179" s="1467">
        <f t="shared" ref="BN179:BN181" si="777">BM179-AH179</f>
        <v>4129125</v>
      </c>
      <c r="BO179" s="1467">
        <f t="shared" ref="BO179:BO181" si="778">BN179-AI179</f>
        <v>3539250</v>
      </c>
      <c r="BP179" s="1467">
        <f t="shared" ref="BP179:BP181" si="779">BO179-AJ179</f>
        <v>2949375</v>
      </c>
      <c r="BQ179" s="1467">
        <f t="shared" ref="BQ179:BQ181" si="780">BP179-AK179</f>
        <v>2359500</v>
      </c>
      <c r="BR179" s="1467">
        <f t="shared" ref="BR179:BR181" si="781">BQ179-AL179</f>
        <v>1769625</v>
      </c>
      <c r="BS179" s="1467">
        <f t="shared" ref="BS179:BS181" si="782">BR179-AM179</f>
        <v>1179750</v>
      </c>
      <c r="BT179" s="1467">
        <f t="shared" ref="BT179:BT181" si="783">BS179-AN179</f>
        <v>589875</v>
      </c>
      <c r="BU179" s="1467">
        <f t="shared" ref="BU179:BU181" si="784">BT179-AO179</f>
        <v>0</v>
      </c>
      <c r="BV179" s="1488"/>
    </row>
    <row r="180" spans="1:74" x14ac:dyDescent="0.2">
      <c r="A180" s="927" t="str">
        <f t="shared" si="665"/>
        <v>Accelerated.Straight-Line</v>
      </c>
      <c r="B180" s="1010"/>
      <c r="C180" s="1076" t="str">
        <f t="shared" si="744"/>
        <v>Accelerated</v>
      </c>
      <c r="D180" s="1076" t="str">
        <f>Assumptions!$AH$81</f>
        <v>Straight-Line</v>
      </c>
      <c r="E180" s="1076" t="str">
        <f>E166</f>
        <v>Cogeneration Plant</v>
      </c>
      <c r="F180" s="1467">
        <f>F166</f>
        <v>10000000</v>
      </c>
      <c r="G180" s="1467">
        <f t="shared" si="751"/>
        <v>12375000</v>
      </c>
      <c r="H180" s="1467">
        <f t="shared" si="752"/>
        <v>13612500.000000002</v>
      </c>
      <c r="I180" s="1467">
        <f t="shared" si="753"/>
        <v>13612500.000000002</v>
      </c>
      <c r="J180" s="1161">
        <f t="shared" si="747"/>
        <v>3.3333333333333333E-2</v>
      </c>
      <c r="K180" s="1107"/>
      <c r="L180" s="1467">
        <f t="shared" si="749"/>
        <v>453750.00000000006</v>
      </c>
      <c r="M180" s="1467">
        <f t="shared" si="749"/>
        <v>453750.00000000006</v>
      </c>
      <c r="N180" s="1467">
        <f t="shared" si="749"/>
        <v>453750.00000000006</v>
      </c>
      <c r="O180" s="1467">
        <f t="shared" si="749"/>
        <v>453750.00000000006</v>
      </c>
      <c r="P180" s="1467">
        <f t="shared" si="749"/>
        <v>453750.00000000006</v>
      </c>
      <c r="Q180" s="1467">
        <f t="shared" si="749"/>
        <v>453750.00000000006</v>
      </c>
      <c r="R180" s="1467">
        <f t="shared" si="749"/>
        <v>453750.00000000006</v>
      </c>
      <c r="S180" s="1467">
        <f t="shared" si="749"/>
        <v>453750.00000000006</v>
      </c>
      <c r="T180" s="1467">
        <f t="shared" si="749"/>
        <v>453750.00000000006</v>
      </c>
      <c r="U180" s="1467">
        <f t="shared" si="749"/>
        <v>453750.00000000006</v>
      </c>
      <c r="V180" s="1467">
        <f t="shared" si="749"/>
        <v>453750.00000000006</v>
      </c>
      <c r="W180" s="1467">
        <f t="shared" si="749"/>
        <v>453750.00000000006</v>
      </c>
      <c r="X180" s="1467">
        <f t="shared" si="749"/>
        <v>453750.00000000006</v>
      </c>
      <c r="Y180" s="1467">
        <f t="shared" si="749"/>
        <v>453750.00000000006</v>
      </c>
      <c r="Z180" s="1467">
        <f t="shared" si="749"/>
        <v>453750.00000000006</v>
      </c>
      <c r="AA180" s="1467">
        <f t="shared" si="749"/>
        <v>453750.00000000006</v>
      </c>
      <c r="AB180" s="1467">
        <f t="shared" si="746"/>
        <v>453750.00000000006</v>
      </c>
      <c r="AC180" s="1467">
        <f t="shared" si="746"/>
        <v>453750.00000000006</v>
      </c>
      <c r="AD180" s="1467">
        <f t="shared" si="746"/>
        <v>453750.00000000006</v>
      </c>
      <c r="AE180" s="1467">
        <f t="shared" si="746"/>
        <v>453750.00000000006</v>
      </c>
      <c r="AF180" s="1467">
        <f t="shared" si="746"/>
        <v>453750.00000000006</v>
      </c>
      <c r="AG180" s="1467">
        <f t="shared" si="746"/>
        <v>453750.00000000006</v>
      </c>
      <c r="AH180" s="1467">
        <f t="shared" si="746"/>
        <v>453750.00000000006</v>
      </c>
      <c r="AI180" s="1467">
        <f t="shared" si="746"/>
        <v>453750.00000000006</v>
      </c>
      <c r="AJ180" s="1467">
        <f t="shared" si="746"/>
        <v>453750.00000000006</v>
      </c>
      <c r="AK180" s="1467">
        <f t="shared" si="746"/>
        <v>453750.00000000006</v>
      </c>
      <c r="AL180" s="1467">
        <f t="shared" si="746"/>
        <v>453750.00000000006</v>
      </c>
      <c r="AM180" s="1467">
        <f t="shared" si="746"/>
        <v>453750.00000000006</v>
      </c>
      <c r="AN180" s="1467">
        <f t="shared" si="746"/>
        <v>453750.00000000006</v>
      </c>
      <c r="AO180" s="1467">
        <f t="shared" si="746"/>
        <v>453750.00000000006</v>
      </c>
      <c r="AP180" s="1468">
        <f t="shared" si="754"/>
        <v>13612500.000000002</v>
      </c>
      <c r="AQ180" s="1488"/>
      <c r="AR180" s="1467">
        <f t="shared" si="755"/>
        <v>13158750.000000002</v>
      </c>
      <c r="AS180" s="1467">
        <f t="shared" si="756"/>
        <v>12705000.000000002</v>
      </c>
      <c r="AT180" s="1467">
        <f t="shared" si="757"/>
        <v>12251250.000000002</v>
      </c>
      <c r="AU180" s="1467">
        <f t="shared" si="758"/>
        <v>11797500.000000002</v>
      </c>
      <c r="AV180" s="1467">
        <f t="shared" si="759"/>
        <v>11343750.000000002</v>
      </c>
      <c r="AW180" s="1467">
        <f t="shared" si="760"/>
        <v>10890000.000000002</v>
      </c>
      <c r="AX180" s="1467">
        <f t="shared" si="761"/>
        <v>10436250.000000002</v>
      </c>
      <c r="AY180" s="1467">
        <f t="shared" si="762"/>
        <v>9982500.0000000019</v>
      </c>
      <c r="AZ180" s="1467">
        <f t="shared" si="763"/>
        <v>9528750.0000000019</v>
      </c>
      <c r="BA180" s="1467">
        <f t="shared" si="764"/>
        <v>9075000.0000000019</v>
      </c>
      <c r="BB180" s="1467">
        <f t="shared" si="765"/>
        <v>8621250.0000000019</v>
      </c>
      <c r="BC180" s="1467">
        <f t="shared" si="766"/>
        <v>8167500.0000000019</v>
      </c>
      <c r="BD180" s="1467">
        <f t="shared" si="767"/>
        <v>7713750.0000000019</v>
      </c>
      <c r="BE180" s="1467">
        <f t="shared" si="768"/>
        <v>7260000.0000000019</v>
      </c>
      <c r="BF180" s="1467">
        <f t="shared" si="769"/>
        <v>6806250.0000000019</v>
      </c>
      <c r="BG180" s="1467">
        <f t="shared" si="770"/>
        <v>6352500.0000000019</v>
      </c>
      <c r="BH180" s="1467">
        <f t="shared" si="771"/>
        <v>5898750.0000000019</v>
      </c>
      <c r="BI180" s="1467">
        <f t="shared" si="772"/>
        <v>5445000.0000000019</v>
      </c>
      <c r="BJ180" s="1467">
        <f t="shared" si="773"/>
        <v>4991250.0000000019</v>
      </c>
      <c r="BK180" s="1467">
        <f t="shared" si="774"/>
        <v>4537500.0000000019</v>
      </c>
      <c r="BL180" s="1467">
        <f t="shared" si="775"/>
        <v>4083750.0000000019</v>
      </c>
      <c r="BM180" s="1467">
        <f t="shared" si="776"/>
        <v>3630000.0000000019</v>
      </c>
      <c r="BN180" s="1467">
        <f t="shared" si="777"/>
        <v>3176250.0000000019</v>
      </c>
      <c r="BO180" s="1467">
        <f t="shared" si="778"/>
        <v>2722500.0000000019</v>
      </c>
      <c r="BP180" s="1467">
        <f t="shared" si="779"/>
        <v>2268750.0000000019</v>
      </c>
      <c r="BQ180" s="1467">
        <f t="shared" si="780"/>
        <v>1815000.0000000019</v>
      </c>
      <c r="BR180" s="1467">
        <f t="shared" si="781"/>
        <v>1361250.0000000019</v>
      </c>
      <c r="BS180" s="1467">
        <f t="shared" si="782"/>
        <v>907500.00000000186</v>
      </c>
      <c r="BT180" s="1467">
        <f t="shared" si="783"/>
        <v>453750.0000000018</v>
      </c>
      <c r="BU180" s="1467">
        <f t="shared" si="784"/>
        <v>1.7462298274040222E-9</v>
      </c>
      <c r="BV180" s="1488"/>
    </row>
    <row r="181" spans="1:74" x14ac:dyDescent="0.2">
      <c r="A181" s="927" t="str">
        <f t="shared" si="665"/>
        <v>Accelerated.Straight-Line</v>
      </c>
      <c r="B181" s="1010"/>
      <c r="C181" s="1168" t="str">
        <f t="shared" si="744"/>
        <v>Accelerated</v>
      </c>
      <c r="D181" s="1168" t="str">
        <f>Assumptions!$AH$81</f>
        <v>Straight-Line</v>
      </c>
      <c r="E181" s="1168" t="str">
        <f>E167</f>
        <v>Non-process buildings</v>
      </c>
      <c r="F181" s="1469">
        <f>F167</f>
        <v>5000000</v>
      </c>
      <c r="G181" s="1469">
        <f t="shared" ref="G181" si="785">F181*(1+$F$4)</f>
        <v>6187500</v>
      </c>
      <c r="H181" s="1469">
        <f t="shared" ref="H181" si="786">G181*(1+$F$5)</f>
        <v>6806250.0000000009</v>
      </c>
      <c r="I181" s="1469">
        <f t="shared" ref="I181" si="787">H181*(1+$F$6)</f>
        <v>6806250.0000000009</v>
      </c>
      <c r="J181" s="1473">
        <f t="shared" si="747"/>
        <v>3.3333333333333333E-2</v>
      </c>
      <c r="K181" s="1107"/>
      <c r="L181" s="1467">
        <f t="shared" si="749"/>
        <v>226875.00000000003</v>
      </c>
      <c r="M181" s="1467">
        <f t="shared" si="749"/>
        <v>226875.00000000003</v>
      </c>
      <c r="N181" s="1467">
        <f t="shared" si="749"/>
        <v>226875.00000000003</v>
      </c>
      <c r="O181" s="1467">
        <f t="shared" si="749"/>
        <v>226875.00000000003</v>
      </c>
      <c r="P181" s="1467">
        <f t="shared" si="749"/>
        <v>226875.00000000003</v>
      </c>
      <c r="Q181" s="1467">
        <f t="shared" si="749"/>
        <v>226875.00000000003</v>
      </c>
      <c r="R181" s="1467">
        <f t="shared" si="749"/>
        <v>226875.00000000003</v>
      </c>
      <c r="S181" s="1467">
        <f t="shared" si="749"/>
        <v>226875.00000000003</v>
      </c>
      <c r="T181" s="1467">
        <f t="shared" si="749"/>
        <v>226875.00000000003</v>
      </c>
      <c r="U181" s="1467">
        <f t="shared" si="749"/>
        <v>226875.00000000003</v>
      </c>
      <c r="V181" s="1467">
        <f t="shared" si="749"/>
        <v>226875.00000000003</v>
      </c>
      <c r="W181" s="1467">
        <f t="shared" si="749"/>
        <v>226875.00000000003</v>
      </c>
      <c r="X181" s="1467">
        <f t="shared" si="749"/>
        <v>226875.00000000003</v>
      </c>
      <c r="Y181" s="1467">
        <f t="shared" si="749"/>
        <v>226875.00000000003</v>
      </c>
      <c r="Z181" s="1467">
        <f t="shared" si="749"/>
        <v>226875.00000000003</v>
      </c>
      <c r="AA181" s="1467">
        <f t="shared" si="749"/>
        <v>226875.00000000003</v>
      </c>
      <c r="AB181" s="1467">
        <f t="shared" si="746"/>
        <v>226875.00000000003</v>
      </c>
      <c r="AC181" s="1467">
        <f t="shared" si="746"/>
        <v>226875.00000000003</v>
      </c>
      <c r="AD181" s="1467">
        <f t="shared" si="746"/>
        <v>226875.00000000003</v>
      </c>
      <c r="AE181" s="1467">
        <f t="shared" si="746"/>
        <v>226875.00000000003</v>
      </c>
      <c r="AF181" s="1467">
        <f t="shared" si="746"/>
        <v>226875.00000000003</v>
      </c>
      <c r="AG181" s="1467">
        <f t="shared" si="746"/>
        <v>226875.00000000003</v>
      </c>
      <c r="AH181" s="1467">
        <f t="shared" si="746"/>
        <v>226875.00000000003</v>
      </c>
      <c r="AI181" s="1467">
        <f t="shared" si="746"/>
        <v>226875.00000000003</v>
      </c>
      <c r="AJ181" s="1467">
        <f t="shared" si="746"/>
        <v>226875.00000000003</v>
      </c>
      <c r="AK181" s="1467">
        <f t="shared" si="746"/>
        <v>226875.00000000003</v>
      </c>
      <c r="AL181" s="1467">
        <f t="shared" si="746"/>
        <v>226875.00000000003</v>
      </c>
      <c r="AM181" s="1467">
        <f t="shared" si="746"/>
        <v>226875.00000000003</v>
      </c>
      <c r="AN181" s="1467">
        <f t="shared" si="746"/>
        <v>226875.00000000003</v>
      </c>
      <c r="AO181" s="1467">
        <f t="shared" si="746"/>
        <v>226875.00000000003</v>
      </c>
      <c r="AP181" s="1468">
        <f t="shared" si="754"/>
        <v>6806250.0000000009</v>
      </c>
      <c r="AQ181" s="1488"/>
      <c r="AR181" s="1467">
        <f t="shared" si="755"/>
        <v>6579375.0000000009</v>
      </c>
      <c r="AS181" s="1467">
        <f t="shared" si="756"/>
        <v>6352500.0000000009</v>
      </c>
      <c r="AT181" s="1467">
        <f t="shared" si="757"/>
        <v>6125625.0000000009</v>
      </c>
      <c r="AU181" s="1467">
        <f t="shared" si="758"/>
        <v>5898750.0000000009</v>
      </c>
      <c r="AV181" s="1467">
        <f t="shared" si="759"/>
        <v>5671875.0000000009</v>
      </c>
      <c r="AW181" s="1467">
        <f t="shared" si="760"/>
        <v>5445000.0000000009</v>
      </c>
      <c r="AX181" s="1467">
        <f t="shared" si="761"/>
        <v>5218125.0000000009</v>
      </c>
      <c r="AY181" s="1467">
        <f t="shared" si="762"/>
        <v>4991250.0000000009</v>
      </c>
      <c r="AZ181" s="1467">
        <f t="shared" si="763"/>
        <v>4764375.0000000009</v>
      </c>
      <c r="BA181" s="1467">
        <f t="shared" si="764"/>
        <v>4537500.0000000009</v>
      </c>
      <c r="BB181" s="1467">
        <f t="shared" si="765"/>
        <v>4310625.0000000009</v>
      </c>
      <c r="BC181" s="1467">
        <f t="shared" si="766"/>
        <v>4083750.0000000009</v>
      </c>
      <c r="BD181" s="1467">
        <f t="shared" si="767"/>
        <v>3856875.0000000009</v>
      </c>
      <c r="BE181" s="1467">
        <f t="shared" si="768"/>
        <v>3630000.0000000009</v>
      </c>
      <c r="BF181" s="1467">
        <f t="shared" si="769"/>
        <v>3403125.0000000009</v>
      </c>
      <c r="BG181" s="1467">
        <f t="shared" si="770"/>
        <v>3176250.0000000009</v>
      </c>
      <c r="BH181" s="1467">
        <f t="shared" si="771"/>
        <v>2949375.0000000009</v>
      </c>
      <c r="BI181" s="1467">
        <f t="shared" si="772"/>
        <v>2722500.0000000009</v>
      </c>
      <c r="BJ181" s="1467">
        <f t="shared" si="773"/>
        <v>2495625.0000000009</v>
      </c>
      <c r="BK181" s="1467">
        <f t="shared" si="774"/>
        <v>2268750.0000000009</v>
      </c>
      <c r="BL181" s="1467">
        <f t="shared" si="775"/>
        <v>2041875.0000000009</v>
      </c>
      <c r="BM181" s="1467">
        <f t="shared" si="776"/>
        <v>1815000.0000000009</v>
      </c>
      <c r="BN181" s="1467">
        <f t="shared" si="777"/>
        <v>1588125.0000000009</v>
      </c>
      <c r="BO181" s="1467">
        <f t="shared" si="778"/>
        <v>1361250.0000000009</v>
      </c>
      <c r="BP181" s="1467">
        <f t="shared" si="779"/>
        <v>1134375.0000000009</v>
      </c>
      <c r="BQ181" s="1467">
        <f t="shared" si="780"/>
        <v>907500.00000000093</v>
      </c>
      <c r="BR181" s="1467">
        <f t="shared" si="781"/>
        <v>680625.00000000093</v>
      </c>
      <c r="BS181" s="1467">
        <f t="shared" si="782"/>
        <v>453750.00000000093</v>
      </c>
      <c r="BT181" s="1467">
        <f t="shared" si="783"/>
        <v>226875.0000000009</v>
      </c>
      <c r="BU181" s="1467">
        <f t="shared" si="784"/>
        <v>8.7311491370201111E-10</v>
      </c>
      <c r="BV181" s="1488"/>
    </row>
    <row r="182" spans="1:74" x14ac:dyDescent="0.2">
      <c r="B182" s="1470"/>
      <c r="C182" s="1470" t="str">
        <f t="shared" ref="C182" si="788">C181</f>
        <v>Accelerated</v>
      </c>
      <c r="D182" s="1470" t="str">
        <f>Assumptions!$AH$81</f>
        <v>Straight-Line</v>
      </c>
      <c r="E182" s="1470" t="s">
        <v>995</v>
      </c>
      <c r="F182" s="1470"/>
      <c r="G182" s="1471">
        <f>G168</f>
        <v>15000000</v>
      </c>
      <c r="H182" s="1471">
        <f t="shared" ref="H182" si="789">G182*(1+$F$5)</f>
        <v>16500000.000000002</v>
      </c>
      <c r="I182" s="1471">
        <f t="shared" ref="I182" si="790">H182*(1+$F$6)</f>
        <v>16500000.000000002</v>
      </c>
      <c r="J182" s="1475">
        <f t="shared" si="747"/>
        <v>3.3333333333333333E-2</v>
      </c>
      <c r="K182" s="1107"/>
      <c r="L182" s="1467">
        <f t="shared" si="749"/>
        <v>550000</v>
      </c>
      <c r="M182" s="1467">
        <f t="shared" si="749"/>
        <v>550000</v>
      </c>
      <c r="N182" s="1467">
        <f t="shared" si="749"/>
        <v>550000</v>
      </c>
      <c r="O182" s="1467">
        <f t="shared" si="749"/>
        <v>550000</v>
      </c>
      <c r="P182" s="1467">
        <f t="shared" si="749"/>
        <v>550000</v>
      </c>
      <c r="Q182" s="1467">
        <f t="shared" si="749"/>
        <v>550000</v>
      </c>
      <c r="R182" s="1467">
        <f t="shared" si="749"/>
        <v>550000</v>
      </c>
      <c r="S182" s="1467">
        <f t="shared" si="749"/>
        <v>550000</v>
      </c>
      <c r="T182" s="1467">
        <f t="shared" si="749"/>
        <v>550000</v>
      </c>
      <c r="U182" s="1467">
        <f t="shared" si="749"/>
        <v>550000</v>
      </c>
      <c r="V182" s="1467">
        <f t="shared" si="749"/>
        <v>550000</v>
      </c>
      <c r="W182" s="1467">
        <f t="shared" si="749"/>
        <v>550000</v>
      </c>
      <c r="X182" s="1467">
        <f t="shared" si="749"/>
        <v>550000</v>
      </c>
      <c r="Y182" s="1467">
        <f t="shared" si="749"/>
        <v>550000</v>
      </c>
      <c r="Z182" s="1467">
        <f t="shared" si="749"/>
        <v>550000</v>
      </c>
      <c r="AA182" s="1467">
        <f t="shared" si="749"/>
        <v>550000</v>
      </c>
      <c r="AB182" s="1467">
        <f t="shared" si="746"/>
        <v>550000</v>
      </c>
      <c r="AC182" s="1467">
        <f t="shared" si="746"/>
        <v>550000</v>
      </c>
      <c r="AD182" s="1467">
        <f t="shared" si="746"/>
        <v>550000</v>
      </c>
      <c r="AE182" s="1467">
        <f t="shared" si="746"/>
        <v>550000</v>
      </c>
      <c r="AF182" s="1467">
        <f t="shared" si="746"/>
        <v>550000</v>
      </c>
      <c r="AG182" s="1467">
        <f t="shared" si="746"/>
        <v>550000</v>
      </c>
      <c r="AH182" s="1467">
        <f t="shared" si="746"/>
        <v>550000</v>
      </c>
      <c r="AI182" s="1467">
        <f t="shared" si="746"/>
        <v>550000</v>
      </c>
      <c r="AJ182" s="1467">
        <f t="shared" si="746"/>
        <v>550000</v>
      </c>
      <c r="AK182" s="1467">
        <f t="shared" si="746"/>
        <v>550000</v>
      </c>
      <c r="AL182" s="1467">
        <f t="shared" si="746"/>
        <v>550000</v>
      </c>
      <c r="AM182" s="1467">
        <f t="shared" si="746"/>
        <v>550000</v>
      </c>
      <c r="AN182" s="1467">
        <f t="shared" si="746"/>
        <v>550000</v>
      </c>
      <c r="AO182" s="1467">
        <f t="shared" si="746"/>
        <v>550000</v>
      </c>
      <c r="AP182" s="1468">
        <f t="shared" ref="AP182" si="791">SUM(L182:AO182)</f>
        <v>16500000</v>
      </c>
      <c r="AQ182" s="1488"/>
      <c r="AR182" s="1467">
        <f t="shared" ref="AR182" si="792">I182-L182</f>
        <v>15950000.000000002</v>
      </c>
      <c r="AS182" s="1467">
        <f t="shared" ref="AS182" si="793">AR182-M182</f>
        <v>15400000.000000002</v>
      </c>
      <c r="AT182" s="1467">
        <f t="shared" ref="AT182" si="794">AS182-N182</f>
        <v>14850000.000000002</v>
      </c>
      <c r="AU182" s="1467">
        <f t="shared" ref="AU182" si="795">AT182-O182</f>
        <v>14300000.000000002</v>
      </c>
      <c r="AV182" s="1467">
        <f t="shared" ref="AV182" si="796">AU182-P182</f>
        <v>13750000.000000002</v>
      </c>
      <c r="AW182" s="1467">
        <f t="shared" ref="AW182" si="797">AV182-Q182</f>
        <v>13200000.000000002</v>
      </c>
      <c r="AX182" s="1467">
        <f t="shared" ref="AX182" si="798">AW182-R182</f>
        <v>12650000.000000002</v>
      </c>
      <c r="AY182" s="1467">
        <f t="shared" ref="AY182" si="799">AX182-S182</f>
        <v>12100000.000000002</v>
      </c>
      <c r="AZ182" s="1467">
        <f t="shared" ref="AZ182" si="800">AY182-T182</f>
        <v>11550000.000000002</v>
      </c>
      <c r="BA182" s="1467">
        <f t="shared" ref="BA182" si="801">AZ182-U182</f>
        <v>11000000.000000002</v>
      </c>
      <c r="BB182" s="1467">
        <f t="shared" ref="BB182" si="802">BA182-V182</f>
        <v>10450000.000000002</v>
      </c>
      <c r="BC182" s="1467">
        <f t="shared" ref="BC182" si="803">BB182-W182</f>
        <v>9900000.0000000019</v>
      </c>
      <c r="BD182" s="1467">
        <f t="shared" ref="BD182" si="804">BC182-X182</f>
        <v>9350000.0000000019</v>
      </c>
      <c r="BE182" s="1467">
        <f t="shared" ref="BE182" si="805">BD182-Y182</f>
        <v>8800000.0000000019</v>
      </c>
      <c r="BF182" s="1467">
        <f t="shared" ref="BF182" si="806">BE182-Z182</f>
        <v>8250000.0000000019</v>
      </c>
      <c r="BG182" s="1467">
        <f t="shared" ref="BG182" si="807">BF182-AA182</f>
        <v>7700000.0000000019</v>
      </c>
      <c r="BH182" s="1467">
        <f t="shared" ref="BH182" si="808">BG182-AB182</f>
        <v>7150000.0000000019</v>
      </c>
      <c r="BI182" s="1467">
        <f t="shared" ref="BI182" si="809">BH182-AC182</f>
        <v>6600000.0000000019</v>
      </c>
      <c r="BJ182" s="1467">
        <f t="shared" ref="BJ182" si="810">BI182-AD182</f>
        <v>6050000.0000000019</v>
      </c>
      <c r="BK182" s="1467">
        <f t="shared" ref="BK182" si="811">BJ182-AE182</f>
        <v>5500000.0000000019</v>
      </c>
      <c r="BL182" s="1467">
        <f t="shared" ref="BL182" si="812">BK182-AF182</f>
        <v>4950000.0000000019</v>
      </c>
      <c r="BM182" s="1467">
        <f t="shared" ref="BM182" si="813">BL182-AG182</f>
        <v>4400000.0000000019</v>
      </c>
      <c r="BN182" s="1467">
        <f t="shared" ref="BN182" si="814">BM182-AH182</f>
        <v>3850000.0000000019</v>
      </c>
      <c r="BO182" s="1467">
        <f t="shared" ref="BO182" si="815">BN182-AI182</f>
        <v>3300000.0000000019</v>
      </c>
      <c r="BP182" s="1467">
        <f t="shared" ref="BP182" si="816">BO182-AJ182</f>
        <v>2750000.0000000019</v>
      </c>
      <c r="BQ182" s="1467">
        <f t="shared" ref="BQ182" si="817">BP182-AK182</f>
        <v>2200000.0000000019</v>
      </c>
      <c r="BR182" s="1467">
        <f t="shared" ref="BR182" si="818">BQ182-AL182</f>
        <v>1650000.0000000019</v>
      </c>
      <c r="BS182" s="1467">
        <f t="shared" ref="BS182" si="819">BR182-AM182</f>
        <v>1100000.0000000019</v>
      </c>
      <c r="BT182" s="1467">
        <f t="shared" ref="BT182" si="820">BS182-AN182</f>
        <v>550000.00000000186</v>
      </c>
      <c r="BU182" s="1467">
        <f t="shared" ref="BU182" si="821">BT182-AO182</f>
        <v>1.862645149230957E-9</v>
      </c>
      <c r="BV182" s="1488"/>
    </row>
    <row r="183" spans="1:74" x14ac:dyDescent="0.2">
      <c r="B183" s="1297" t="str">
        <f>"Total Depreciation "&amp;C156&amp;" ("&amp;B155&amp;") over 30 years"</f>
        <v>Total Depreciation Accelerated (Accelerated) over 30 years</v>
      </c>
      <c r="C183" s="1107"/>
      <c r="D183" s="1107"/>
      <c r="E183" s="1107"/>
      <c r="F183" s="1107"/>
      <c r="G183" s="1107">
        <f t="shared" ref="G183:G184" si="822">F183*(1+$F$4)</f>
        <v>0</v>
      </c>
      <c r="H183" s="1107">
        <f t="shared" ref="H183:H184" si="823">G183*(1+$F$5)</f>
        <v>0</v>
      </c>
      <c r="I183" s="1107">
        <f t="shared" ref="I183" si="824">H183*(1+$F$6)</f>
        <v>0</v>
      </c>
      <c r="J183" s="1472">
        <f>IFERROR(INDEX(Assumptions!$AI$82:$AI$164,MATCH(Depreciation!$D183,Assumptions!$AH$81:$AH$163,0)),0)</f>
        <v>0</v>
      </c>
      <c r="K183" s="1107"/>
      <c r="L183" s="1468">
        <f>SUM(L156:L167)</f>
        <v>25591500</v>
      </c>
      <c r="M183" s="1468">
        <f t="shared" ref="M183:AO183" si="825">SUM(M156:M167)</f>
        <v>20473200</v>
      </c>
      <c r="N183" s="1468">
        <f t="shared" si="825"/>
        <v>16378560</v>
      </c>
      <c r="O183" s="1468">
        <f t="shared" si="825"/>
        <v>13102848</v>
      </c>
      <c r="P183" s="1468">
        <f t="shared" si="825"/>
        <v>10482278.4</v>
      </c>
      <c r="Q183" s="1468">
        <f t="shared" si="825"/>
        <v>8385822.7199999997</v>
      </c>
      <c r="R183" s="1468">
        <f t="shared" si="825"/>
        <v>6708658.175999999</v>
      </c>
      <c r="S183" s="1468">
        <f t="shared" si="825"/>
        <v>5366926.5408000005</v>
      </c>
      <c r="T183" s="1468">
        <f t="shared" si="825"/>
        <v>4293541.232640001</v>
      </c>
      <c r="U183" s="1468">
        <f t="shared" si="825"/>
        <v>3434832.986112</v>
      </c>
      <c r="V183" s="1468">
        <f t="shared" si="825"/>
        <v>2747866.3888896001</v>
      </c>
      <c r="W183" s="1468">
        <f t="shared" si="825"/>
        <v>2198293.11111168</v>
      </c>
      <c r="X183" s="1468">
        <f t="shared" si="825"/>
        <v>1758634.4888893445</v>
      </c>
      <c r="Y183" s="1468">
        <f t="shared" si="825"/>
        <v>1406907.5911114754</v>
      </c>
      <c r="Z183" s="1468">
        <f t="shared" si="825"/>
        <v>1125526.0728891799</v>
      </c>
      <c r="AA183" s="1468">
        <f t="shared" si="825"/>
        <v>900420.85831134429</v>
      </c>
      <c r="AB183" s="1468">
        <f t="shared" si="825"/>
        <v>720336.68664907606</v>
      </c>
      <c r="AC183" s="1468">
        <f t="shared" si="825"/>
        <v>576269.3493192622</v>
      </c>
      <c r="AD183" s="1468">
        <f t="shared" si="825"/>
        <v>461015.47945540998</v>
      </c>
      <c r="AE183" s="1468">
        <f t="shared" si="825"/>
        <v>368812.38356432784</v>
      </c>
      <c r="AF183" s="1468">
        <f t="shared" si="825"/>
        <v>295049.90685146244</v>
      </c>
      <c r="AG183" s="1468">
        <f t="shared" si="825"/>
        <v>236039.92548117042</v>
      </c>
      <c r="AH183" s="1468">
        <f t="shared" si="825"/>
        <v>188831.94038493655</v>
      </c>
      <c r="AI183" s="1468">
        <f t="shared" si="825"/>
        <v>151065.55230794978</v>
      </c>
      <c r="AJ183" s="1468">
        <f t="shared" si="825"/>
        <v>120852.44184635942</v>
      </c>
      <c r="AK183" s="1468">
        <f t="shared" si="825"/>
        <v>96681.953477087707</v>
      </c>
      <c r="AL183" s="1468">
        <f t="shared" si="825"/>
        <v>77345.562781670887</v>
      </c>
      <c r="AM183" s="1468">
        <f t="shared" si="825"/>
        <v>61876.450225337037</v>
      </c>
      <c r="AN183" s="1468">
        <f t="shared" si="825"/>
        <v>49501.160180270854</v>
      </c>
      <c r="AO183" s="1468">
        <f t="shared" si="825"/>
        <v>39600.928144217287</v>
      </c>
      <c r="AP183" s="1468">
        <f>SUM(AP156:AP167)</f>
        <v>127799096.28742315</v>
      </c>
      <c r="AQ183" s="1488"/>
      <c r="AR183" s="1297"/>
      <c r="AS183" s="1297"/>
      <c r="AT183" s="1297"/>
      <c r="AU183" s="1297"/>
      <c r="AV183" s="1297"/>
      <c r="AW183" s="1297"/>
      <c r="AX183" s="1297"/>
      <c r="AY183" s="1297"/>
      <c r="AZ183" s="1297"/>
      <c r="BA183" s="1297"/>
      <c r="BB183" s="1297"/>
      <c r="BC183" s="1297"/>
      <c r="BD183" s="1297"/>
      <c r="BE183" s="1297"/>
      <c r="BF183" s="1297"/>
      <c r="BG183" s="1297"/>
      <c r="BH183" s="1297"/>
      <c r="BI183" s="1297"/>
      <c r="BJ183" s="1297"/>
      <c r="BK183" s="1297"/>
      <c r="BL183" s="1297"/>
      <c r="BM183" s="1297"/>
      <c r="BN183" s="1297"/>
      <c r="BO183" s="1297"/>
      <c r="BP183" s="1297"/>
      <c r="BQ183" s="1297"/>
      <c r="BR183" s="1297"/>
      <c r="BS183" s="1297"/>
      <c r="BT183" s="1297"/>
      <c r="BU183" s="1297"/>
      <c r="BV183" s="1488"/>
    </row>
    <row r="184" spans="1:74" x14ac:dyDescent="0.2">
      <c r="B184" s="1297" t="str">
        <f>"Total Depreciation "&amp;B154&amp;" ("&amp;B169&amp;") over 30 years"</f>
        <v>Total Depreciation Imported Starch (Straight-Line) over 30 years</v>
      </c>
      <c r="C184" s="1107"/>
      <c r="D184" s="1107"/>
      <c r="E184" s="1107"/>
      <c r="F184" s="1107"/>
      <c r="G184" s="1107">
        <f t="shared" si="822"/>
        <v>0</v>
      </c>
      <c r="H184" s="1107">
        <f t="shared" si="823"/>
        <v>0</v>
      </c>
      <c r="I184" s="1468">
        <f>SUM(I170:I182)</f>
        <v>144457500</v>
      </c>
      <c r="J184" s="1472">
        <f>IFERROR(INDEX(Assumptions!$AI$82:$AI$164,MATCH(Depreciation!$D184,Assumptions!$AH$81:$AH$163,0)),0)</f>
        <v>0</v>
      </c>
      <c r="K184" s="1107"/>
      <c r="L184" s="1468">
        <f>SUM(L170:L182)</f>
        <v>4815250</v>
      </c>
      <c r="M184" s="1468">
        <f t="shared" ref="M184:AO184" si="826">SUM(M170:M182)</f>
        <v>4815250</v>
      </c>
      <c r="N184" s="1468">
        <f t="shared" si="826"/>
        <v>4815250</v>
      </c>
      <c r="O184" s="1468">
        <f t="shared" si="826"/>
        <v>4815250</v>
      </c>
      <c r="P184" s="1468">
        <f t="shared" si="826"/>
        <v>4815250</v>
      </c>
      <c r="Q184" s="1468">
        <f t="shared" si="826"/>
        <v>4815250</v>
      </c>
      <c r="R184" s="1468">
        <f t="shared" si="826"/>
        <v>4815250</v>
      </c>
      <c r="S184" s="1468">
        <f t="shared" si="826"/>
        <v>4815250</v>
      </c>
      <c r="T184" s="1468">
        <f t="shared" si="826"/>
        <v>4815250</v>
      </c>
      <c r="U184" s="1468">
        <f t="shared" si="826"/>
        <v>4815250</v>
      </c>
      <c r="V184" s="1468">
        <f t="shared" si="826"/>
        <v>4815250</v>
      </c>
      <c r="W184" s="1468">
        <f t="shared" si="826"/>
        <v>4815250</v>
      </c>
      <c r="X184" s="1468">
        <f t="shared" si="826"/>
        <v>4815250</v>
      </c>
      <c r="Y184" s="1468">
        <f t="shared" si="826"/>
        <v>4815250</v>
      </c>
      <c r="Z184" s="1468">
        <f t="shared" si="826"/>
        <v>4815250</v>
      </c>
      <c r="AA184" s="1468">
        <f t="shared" si="826"/>
        <v>4815250</v>
      </c>
      <c r="AB184" s="1468">
        <f t="shared" si="826"/>
        <v>4815250</v>
      </c>
      <c r="AC184" s="1468">
        <f t="shared" si="826"/>
        <v>4815250</v>
      </c>
      <c r="AD184" s="1468">
        <f t="shared" si="826"/>
        <v>4815250</v>
      </c>
      <c r="AE184" s="1468">
        <f t="shared" si="826"/>
        <v>4815250</v>
      </c>
      <c r="AF184" s="1468">
        <f t="shared" si="826"/>
        <v>4815250</v>
      </c>
      <c r="AG184" s="1468">
        <f t="shared" si="826"/>
        <v>4815250</v>
      </c>
      <c r="AH184" s="1468">
        <f t="shared" si="826"/>
        <v>4815250</v>
      </c>
      <c r="AI184" s="1468">
        <f t="shared" si="826"/>
        <v>4815250</v>
      </c>
      <c r="AJ184" s="1468">
        <f t="shared" si="826"/>
        <v>4815250</v>
      </c>
      <c r="AK184" s="1468">
        <f t="shared" si="826"/>
        <v>4815250</v>
      </c>
      <c r="AL184" s="1468">
        <f t="shared" si="826"/>
        <v>4815250</v>
      </c>
      <c r="AM184" s="1468">
        <f t="shared" si="826"/>
        <v>4815250</v>
      </c>
      <c r="AN184" s="1468">
        <f t="shared" si="826"/>
        <v>4815250</v>
      </c>
      <c r="AO184" s="1468">
        <f t="shared" si="826"/>
        <v>4815250</v>
      </c>
      <c r="AP184" s="1468">
        <f>SUM(AP170:AP183)</f>
        <v>272256596.28742313</v>
      </c>
      <c r="AQ184" s="1488"/>
      <c r="AR184" s="1297"/>
      <c r="AS184" s="1297"/>
      <c r="AT184" s="1297"/>
      <c r="AU184" s="1297"/>
      <c r="AV184" s="1297"/>
      <c r="AW184" s="1297"/>
      <c r="AX184" s="1297"/>
      <c r="AY184" s="1297"/>
      <c r="AZ184" s="1297"/>
      <c r="BA184" s="1297"/>
      <c r="BB184" s="1297"/>
      <c r="BC184" s="1297"/>
      <c r="BD184" s="1297"/>
      <c r="BE184" s="1297"/>
      <c r="BF184" s="1297"/>
      <c r="BG184" s="1297"/>
      <c r="BH184" s="1297"/>
      <c r="BI184" s="1297"/>
      <c r="BJ184" s="1297"/>
      <c r="BK184" s="1297"/>
      <c r="BL184" s="1297"/>
      <c r="BM184" s="1297"/>
      <c r="BN184" s="1297"/>
      <c r="BO184" s="1297"/>
      <c r="BP184" s="1297"/>
      <c r="BQ184" s="1297"/>
      <c r="BR184" s="1297"/>
      <c r="BS184" s="1297"/>
      <c r="BT184" s="1297"/>
      <c r="BU184" s="1297"/>
      <c r="BV184" s="1488"/>
    </row>
    <row r="185" spans="1:74" x14ac:dyDescent="0.2">
      <c r="L185" s="1476"/>
    </row>
    <row r="187" spans="1:74" ht="15" x14ac:dyDescent="0.25">
      <c r="B187" s="1489" t="str">
        <f>'Summary Tables'!E5</f>
        <v>Wheat Standalone (Starch)</v>
      </c>
      <c r="C187" s="1490"/>
      <c r="D187" s="1490"/>
      <c r="E187" s="1490"/>
      <c r="F187" s="1490"/>
      <c r="G187" s="1490"/>
      <c r="H187" s="1490"/>
      <c r="I187" s="1490"/>
      <c r="J187" s="1490"/>
      <c r="K187" s="1490"/>
      <c r="L187" s="1490"/>
      <c r="M187" s="1490"/>
      <c r="N187" s="1490"/>
      <c r="O187" s="1490"/>
      <c r="P187" s="1490"/>
      <c r="Q187" s="1490"/>
      <c r="R187" s="1490"/>
      <c r="S187" s="1490"/>
      <c r="T187" s="1490"/>
      <c r="U187" s="1490"/>
      <c r="V187" s="1490"/>
      <c r="W187" s="1490"/>
      <c r="X187" s="1490"/>
      <c r="Y187" s="1490"/>
      <c r="Z187" s="1490"/>
      <c r="AA187" s="1490"/>
      <c r="AB187" s="1490"/>
      <c r="AC187" s="1490"/>
      <c r="AD187" s="1490"/>
      <c r="AE187" s="1490"/>
      <c r="AF187" s="1490"/>
      <c r="AG187" s="1490"/>
      <c r="AH187" s="1490"/>
      <c r="AI187" s="1490"/>
      <c r="AJ187" s="1490"/>
      <c r="AK187" s="1490"/>
      <c r="AL187" s="1490"/>
      <c r="AM187" s="1490"/>
      <c r="AN187" s="1490"/>
      <c r="AO187" s="1490"/>
      <c r="AP187" s="1490"/>
      <c r="AQ187" s="1490"/>
      <c r="AR187" s="1490"/>
      <c r="AS187" s="1490"/>
      <c r="AT187" s="1490"/>
      <c r="AU187" s="1490"/>
      <c r="AV187" s="1490"/>
      <c r="AW187" s="1490"/>
      <c r="AX187" s="1490"/>
      <c r="AY187" s="1490"/>
      <c r="AZ187" s="1490"/>
      <c r="BA187" s="1490"/>
      <c r="BB187" s="1490"/>
      <c r="BC187" s="1490"/>
      <c r="BD187" s="1490"/>
      <c r="BE187" s="1490"/>
      <c r="BF187" s="1490"/>
      <c r="BG187" s="1490"/>
      <c r="BH187" s="1490"/>
      <c r="BI187" s="1490"/>
      <c r="BJ187" s="1490"/>
      <c r="BK187" s="1490"/>
      <c r="BL187" s="1490"/>
      <c r="BM187" s="1490"/>
      <c r="BN187" s="1490"/>
      <c r="BO187" s="1490"/>
      <c r="BP187" s="1490"/>
      <c r="BQ187" s="1490"/>
      <c r="BR187" s="1490"/>
      <c r="BS187" s="1490"/>
      <c r="BT187" s="1490"/>
      <c r="BU187" s="1490"/>
      <c r="BV187" s="1490"/>
    </row>
    <row r="188" spans="1:74" x14ac:dyDescent="0.2">
      <c r="B188" s="1297" t="str">
        <f>Assumptions!$AH$82</f>
        <v>Accelerated</v>
      </c>
      <c r="C188" s="1297"/>
      <c r="D188" s="1297"/>
      <c r="E188" s="1297"/>
      <c r="F188" s="1297"/>
      <c r="G188" s="1297"/>
      <c r="H188" s="1297"/>
      <c r="I188" s="1297"/>
      <c r="J188" s="1297"/>
      <c r="K188" s="1107"/>
      <c r="L188" s="1107"/>
      <c r="M188" s="1107"/>
      <c r="N188" s="1107"/>
      <c r="O188" s="1107"/>
      <c r="P188" s="1107"/>
      <c r="Q188" s="1107"/>
      <c r="R188" s="1107"/>
      <c r="S188" s="1107"/>
      <c r="T188" s="1107"/>
      <c r="U188" s="1107"/>
      <c r="V188" s="1107"/>
      <c r="W188" s="1107"/>
      <c r="X188" s="1107"/>
      <c r="Y188" s="1107"/>
      <c r="Z188" s="1107"/>
      <c r="AA188" s="1107"/>
      <c r="AB188" s="1107"/>
      <c r="AC188" s="1107"/>
      <c r="AD188" s="1107"/>
      <c r="AE188" s="1107"/>
      <c r="AF188" s="1107"/>
      <c r="AG188" s="1107"/>
      <c r="AH188" s="1107"/>
      <c r="AI188" s="1107"/>
      <c r="AJ188" s="1107"/>
      <c r="AK188" s="1107"/>
      <c r="AL188" s="1107"/>
      <c r="AM188" s="1107"/>
      <c r="AN188" s="1107"/>
      <c r="AO188" s="1107"/>
      <c r="AP188" s="1297"/>
      <c r="AQ188" s="1478"/>
      <c r="AR188" s="1297"/>
      <c r="AS188" s="1297"/>
      <c r="AT188" s="1297"/>
      <c r="AU188" s="1297"/>
      <c r="AV188" s="1297"/>
      <c r="AW188" s="1297"/>
      <c r="AX188" s="1297"/>
      <c r="AY188" s="1297"/>
      <c r="AZ188" s="1297"/>
      <c r="BA188" s="1297"/>
      <c r="BB188" s="1297"/>
      <c r="BC188" s="1297"/>
      <c r="BD188" s="1297"/>
      <c r="BE188" s="1297"/>
      <c r="BF188" s="1297"/>
      <c r="BG188" s="1297"/>
      <c r="BH188" s="1297"/>
      <c r="BI188" s="1297"/>
      <c r="BJ188" s="1297"/>
      <c r="BK188" s="1297"/>
      <c r="BL188" s="1297"/>
      <c r="BM188" s="1297"/>
      <c r="BN188" s="1297"/>
      <c r="BO188" s="1297"/>
      <c r="BP188" s="1297"/>
      <c r="BQ188" s="1297"/>
      <c r="BR188" s="1297"/>
      <c r="BS188" s="1297"/>
      <c r="BT188" s="1297"/>
      <c r="BU188" s="1297"/>
      <c r="BV188" s="1490"/>
    </row>
    <row r="189" spans="1:74" x14ac:dyDescent="0.2">
      <c r="A189" s="927" t="str">
        <f>C189&amp;"."&amp;D189</f>
        <v>Accelerated.Accelerated</v>
      </c>
      <c r="B189" s="1076"/>
      <c r="C189" s="1076" t="str">
        <f>B188</f>
        <v>Accelerated</v>
      </c>
      <c r="D189" s="1076" t="str">
        <f>Assumptions!$AH$82</f>
        <v>Accelerated</v>
      </c>
      <c r="E189" s="1076" t="str">
        <f>'Wheat Standalone (Starch)'!H250</f>
        <v>Stockpile</v>
      </c>
      <c r="F189" s="1467">
        <f>SUM('Wheat Standalone (Starch)'!J250:K250)*1000000</f>
        <v>0</v>
      </c>
      <c r="G189" s="1467">
        <f>F189*(1+$F$4)</f>
        <v>0</v>
      </c>
      <c r="H189" s="1467">
        <f>G189*(1+$F$5)</f>
        <v>0</v>
      </c>
      <c r="I189" s="1467">
        <f>H189*(1+$F$6)</f>
        <v>0</v>
      </c>
      <c r="J189" s="1076">
        <f>Assumptions!$N$55</f>
        <v>0.2</v>
      </c>
      <c r="K189" s="1107"/>
      <c r="L189" s="1467">
        <f>$I189*$J189</f>
        <v>0</v>
      </c>
      <c r="M189" s="1467">
        <f>($I189-SUM($L189:L189))*$J189</f>
        <v>0</v>
      </c>
      <c r="N189" s="1467">
        <f>($I189-SUM($L189:M189))*$J189</f>
        <v>0</v>
      </c>
      <c r="O189" s="1467">
        <f>($I189-SUM($L189:N189))*$J189</f>
        <v>0</v>
      </c>
      <c r="P189" s="1467">
        <f>($I189-SUM($L189:O189))*$J189</f>
        <v>0</v>
      </c>
      <c r="Q189" s="1467">
        <f>($I189-SUM($L189:P189))*$J189</f>
        <v>0</v>
      </c>
      <c r="R189" s="1467">
        <f>($I189-SUM($L189:Q189))*$J189</f>
        <v>0</v>
      </c>
      <c r="S189" s="1467">
        <f>($I189-SUM($L189:R189))*$J189</f>
        <v>0</v>
      </c>
      <c r="T189" s="1467">
        <f>($I189-SUM($L189:S189))*$J189</f>
        <v>0</v>
      </c>
      <c r="U189" s="1467">
        <f>($I189-SUM($L189:T189))*$J189</f>
        <v>0</v>
      </c>
      <c r="V189" s="1467">
        <f>($I189-SUM($L189:U189))*$J189</f>
        <v>0</v>
      </c>
      <c r="W189" s="1467">
        <f>($I189-SUM($L189:V189))*$J189</f>
        <v>0</v>
      </c>
      <c r="X189" s="1467">
        <f>($I189-SUM($L189:W189))*$J189</f>
        <v>0</v>
      </c>
      <c r="Y189" s="1467">
        <f>($I189-SUM($L189:X189))*$J189</f>
        <v>0</v>
      </c>
      <c r="Z189" s="1467">
        <f>($I189-SUM($L189:Y189))*$J189</f>
        <v>0</v>
      </c>
      <c r="AA189" s="1467">
        <f>($I189-SUM($L189:Z189))*$J189</f>
        <v>0</v>
      </c>
      <c r="AB189" s="1467">
        <f>($I189-SUM($L189:AA189))*$J189</f>
        <v>0</v>
      </c>
      <c r="AC189" s="1467">
        <f>($I189-SUM($L189:AB189))*$J189</f>
        <v>0</v>
      </c>
      <c r="AD189" s="1467">
        <f>($I189-SUM($L189:AC189))*$J189</f>
        <v>0</v>
      </c>
      <c r="AE189" s="1467">
        <f>($I189-SUM($L189:AD189))*$J189</f>
        <v>0</v>
      </c>
      <c r="AF189" s="1467">
        <f>($I189-SUM($L189:AE189))*$J189</f>
        <v>0</v>
      </c>
      <c r="AG189" s="1467">
        <f>($I189-SUM($L189:AF189))*$J189</f>
        <v>0</v>
      </c>
      <c r="AH189" s="1467">
        <f>($I189-SUM($L189:AG189))*$J189</f>
        <v>0</v>
      </c>
      <c r="AI189" s="1467">
        <f>($I189-SUM($L189:AH189))*$J189</f>
        <v>0</v>
      </c>
      <c r="AJ189" s="1467">
        <f>($I189-SUM($L189:AI189))*$J189</f>
        <v>0</v>
      </c>
      <c r="AK189" s="1467">
        <f>($I189-SUM($L189:AJ189))*$J189</f>
        <v>0</v>
      </c>
      <c r="AL189" s="1467">
        <f>($I189-SUM($L189:AK189))*$J189</f>
        <v>0</v>
      </c>
      <c r="AM189" s="1467">
        <f>($I189-SUM($L189:AL189))*$J189</f>
        <v>0</v>
      </c>
      <c r="AN189" s="1467">
        <f>($I189-SUM($L189:AM189))*$J189</f>
        <v>0</v>
      </c>
      <c r="AO189" s="1467">
        <f>($I189-SUM($L189:AN189))*$J189</f>
        <v>0</v>
      </c>
      <c r="AP189" s="1468">
        <f>SUM(L189:AO189)</f>
        <v>0</v>
      </c>
      <c r="AQ189" s="1478"/>
      <c r="AR189" s="1467">
        <f>I189-L189</f>
        <v>0</v>
      </c>
      <c r="AS189" s="1467">
        <f>AR189-M189</f>
        <v>0</v>
      </c>
      <c r="AT189" s="1467">
        <f t="shared" ref="AT189:AT214" si="827">AS189-N189</f>
        <v>0</v>
      </c>
      <c r="AU189" s="1467">
        <f t="shared" ref="AU189:AU214" si="828">AT189-O189</f>
        <v>0</v>
      </c>
      <c r="AV189" s="1467">
        <f t="shared" ref="AV189:AV214" si="829">AU189-P189</f>
        <v>0</v>
      </c>
      <c r="AW189" s="1467">
        <f t="shared" ref="AW189:AW214" si="830">AV189-Q189</f>
        <v>0</v>
      </c>
      <c r="AX189" s="1467">
        <f t="shared" ref="AX189:AX214" si="831">AW189-R189</f>
        <v>0</v>
      </c>
      <c r="AY189" s="1467">
        <f t="shared" ref="AY189:AY214" si="832">AX189-S189</f>
        <v>0</v>
      </c>
      <c r="AZ189" s="1467">
        <f t="shared" ref="AZ189:AZ214" si="833">AY189-T189</f>
        <v>0</v>
      </c>
      <c r="BA189" s="1467">
        <f t="shared" ref="BA189:BA214" si="834">AZ189-U189</f>
        <v>0</v>
      </c>
      <c r="BB189" s="1467">
        <f t="shared" ref="BB189:BB214" si="835">BA189-V189</f>
        <v>0</v>
      </c>
      <c r="BC189" s="1467">
        <f t="shared" ref="BC189:BC214" si="836">BB189-W189</f>
        <v>0</v>
      </c>
      <c r="BD189" s="1467">
        <f t="shared" ref="BD189:BD214" si="837">BC189-X189</f>
        <v>0</v>
      </c>
      <c r="BE189" s="1467">
        <f t="shared" ref="BE189:BE214" si="838">BD189-Y189</f>
        <v>0</v>
      </c>
      <c r="BF189" s="1467">
        <f t="shared" ref="BF189:BF214" si="839">BE189-Z189</f>
        <v>0</v>
      </c>
      <c r="BG189" s="1467">
        <f t="shared" ref="BG189:BG214" si="840">BF189-AA189</f>
        <v>0</v>
      </c>
      <c r="BH189" s="1467">
        <f t="shared" ref="BH189:BH214" si="841">BG189-AB189</f>
        <v>0</v>
      </c>
      <c r="BI189" s="1467">
        <f t="shared" ref="BI189:BI214" si="842">BH189-AC189</f>
        <v>0</v>
      </c>
      <c r="BJ189" s="1467">
        <f t="shared" ref="BJ189:BJ214" si="843">BI189-AD189</f>
        <v>0</v>
      </c>
      <c r="BK189" s="1467">
        <f t="shared" ref="BK189:BK214" si="844">BJ189-AE189</f>
        <v>0</v>
      </c>
      <c r="BL189" s="1467">
        <f t="shared" ref="BL189:BL214" si="845">BK189-AF189</f>
        <v>0</v>
      </c>
      <c r="BM189" s="1467">
        <f t="shared" ref="BM189:BM214" si="846">BL189-AG189</f>
        <v>0</v>
      </c>
      <c r="BN189" s="1467">
        <f t="shared" ref="BN189:BN214" si="847">BM189-AH189</f>
        <v>0</v>
      </c>
      <c r="BO189" s="1467">
        <f t="shared" ref="BO189:BO214" si="848">BN189-AI189</f>
        <v>0</v>
      </c>
      <c r="BP189" s="1467">
        <f t="shared" ref="BP189:BP214" si="849">BO189-AJ189</f>
        <v>0</v>
      </c>
      <c r="BQ189" s="1467">
        <f t="shared" ref="BQ189:BQ214" si="850">BP189-AK189</f>
        <v>0</v>
      </c>
      <c r="BR189" s="1467">
        <f t="shared" ref="BR189:BR214" si="851">BQ189-AL189</f>
        <v>0</v>
      </c>
      <c r="BS189" s="1467">
        <f t="shared" ref="BS189:BS214" si="852">BR189-AM189</f>
        <v>0</v>
      </c>
      <c r="BT189" s="1467">
        <f t="shared" ref="BT189:BT214" si="853">BS189-AN189</f>
        <v>0</v>
      </c>
      <c r="BU189" s="1467">
        <f t="shared" ref="BU189:BU214" si="854">BT189-AO189</f>
        <v>0</v>
      </c>
      <c r="BV189" s="1490"/>
    </row>
    <row r="190" spans="1:74" x14ac:dyDescent="0.2">
      <c r="A190" s="927" t="str">
        <f t="shared" ref="A190:A214" si="855">C190&amp;"."&amp;D190</f>
        <v>Accelerated.Accelerated</v>
      </c>
      <c r="B190" s="1076"/>
      <c r="C190" s="1076" t="str">
        <f>C189</f>
        <v>Accelerated</v>
      </c>
      <c r="D190" s="1076" t="str">
        <f>Assumptions!$AH$82</f>
        <v>Accelerated</v>
      </c>
      <c r="E190" s="1076" t="str">
        <f>'Wheat Standalone (Starch)'!H251</f>
        <v>Dry Mill</v>
      </c>
      <c r="F190" s="1467">
        <f>SUM('Wheat Standalone (Starch)'!J251:K251)*1000000</f>
        <v>0</v>
      </c>
      <c r="G190" s="1467">
        <f t="shared" ref="G190:G214" si="856">F190*(1+$F$4)</f>
        <v>0</v>
      </c>
      <c r="H190" s="1467">
        <f t="shared" ref="H190:H214" si="857">G190*(1+$F$5)</f>
        <v>0</v>
      </c>
      <c r="I190" s="1467">
        <f t="shared" ref="I190:I214" si="858">H190*(1+$F$6)</f>
        <v>0</v>
      </c>
      <c r="J190" s="1076">
        <f>J189</f>
        <v>0.2</v>
      </c>
      <c r="K190" s="1107"/>
      <c r="L190" s="1467">
        <f t="shared" ref="L190:AA209" si="859">$I190*$J190</f>
        <v>0</v>
      </c>
      <c r="M190" s="1467">
        <f>($I190-SUM($L190:L190))*$J190</f>
        <v>0</v>
      </c>
      <c r="N190" s="1467">
        <f>($I190-SUM($L190:M190))*$J190</f>
        <v>0</v>
      </c>
      <c r="O190" s="1467">
        <f>($I190-SUM($L190:N190))*$J190</f>
        <v>0</v>
      </c>
      <c r="P190" s="1467">
        <f>($I190-SUM($L190:O190))*$J190</f>
        <v>0</v>
      </c>
      <c r="Q190" s="1467">
        <f>($I190-SUM($L190:P190))*$J190</f>
        <v>0</v>
      </c>
      <c r="R190" s="1467">
        <f>($I190-SUM($L190:Q190))*$J190</f>
        <v>0</v>
      </c>
      <c r="S190" s="1467">
        <f>($I190-SUM($L190:R190))*$J190</f>
        <v>0</v>
      </c>
      <c r="T190" s="1467">
        <f>($I190-SUM($L190:S190))*$J190</f>
        <v>0</v>
      </c>
      <c r="U190" s="1467">
        <f>($I190-SUM($L190:T190))*$J190</f>
        <v>0</v>
      </c>
      <c r="V190" s="1467">
        <f>($I190-SUM($L190:U190))*$J190</f>
        <v>0</v>
      </c>
      <c r="W190" s="1467">
        <f>($I190-SUM($L190:V190))*$J190</f>
        <v>0</v>
      </c>
      <c r="X190" s="1467">
        <f>($I190-SUM($L190:W190))*$J190</f>
        <v>0</v>
      </c>
      <c r="Y190" s="1467">
        <f>($I190-SUM($L190:X190))*$J190</f>
        <v>0</v>
      </c>
      <c r="Z190" s="1467">
        <f>($I190-SUM($L190:Y190))*$J190</f>
        <v>0</v>
      </c>
      <c r="AA190" s="1467">
        <f>($I190-SUM($L190:Z190))*$J190</f>
        <v>0</v>
      </c>
      <c r="AB190" s="1467">
        <f>($I190-SUM($L190:AA190))*$J190</f>
        <v>0</v>
      </c>
      <c r="AC190" s="1467">
        <f>($I190-SUM($L190:AB190))*$J190</f>
        <v>0</v>
      </c>
      <c r="AD190" s="1467">
        <f>($I190-SUM($L190:AC190))*$J190</f>
        <v>0</v>
      </c>
      <c r="AE190" s="1467">
        <f>($I190-SUM($L190:AD190))*$J190</f>
        <v>0</v>
      </c>
      <c r="AF190" s="1467">
        <f>($I190-SUM($L190:AE190))*$J190</f>
        <v>0</v>
      </c>
      <c r="AG190" s="1467">
        <f>($I190-SUM($L190:AF190))*$J190</f>
        <v>0</v>
      </c>
      <c r="AH190" s="1467">
        <f>($I190-SUM($L190:AG190))*$J190</f>
        <v>0</v>
      </c>
      <c r="AI190" s="1467">
        <f>($I190-SUM($L190:AH190))*$J190</f>
        <v>0</v>
      </c>
      <c r="AJ190" s="1467">
        <f>($I190-SUM($L190:AI190))*$J190</f>
        <v>0</v>
      </c>
      <c r="AK190" s="1467">
        <f>($I190-SUM($L190:AJ190))*$J190</f>
        <v>0</v>
      </c>
      <c r="AL190" s="1467">
        <f>($I190-SUM($L190:AK190))*$J190</f>
        <v>0</v>
      </c>
      <c r="AM190" s="1467">
        <f>($I190-SUM($L190:AL190))*$J190</f>
        <v>0</v>
      </c>
      <c r="AN190" s="1467">
        <f>($I190-SUM($L190:AM190))*$J190</f>
        <v>0</v>
      </c>
      <c r="AO190" s="1467">
        <f>($I190-SUM($L190:AN190))*$J190</f>
        <v>0</v>
      </c>
      <c r="AP190" s="1468">
        <f t="shared" ref="AP190:AP208" si="860">SUM(L190:AO190)</f>
        <v>0</v>
      </c>
      <c r="AQ190" s="1478"/>
      <c r="AR190" s="1467">
        <f t="shared" ref="AR190:AR214" si="861">I190-L190</f>
        <v>0</v>
      </c>
      <c r="AS190" s="1467">
        <f t="shared" ref="AS190:AS214" si="862">AR190-M190</f>
        <v>0</v>
      </c>
      <c r="AT190" s="1467">
        <f t="shared" si="827"/>
        <v>0</v>
      </c>
      <c r="AU190" s="1467">
        <f t="shared" si="828"/>
        <v>0</v>
      </c>
      <c r="AV190" s="1467">
        <f t="shared" si="829"/>
        <v>0</v>
      </c>
      <c r="AW190" s="1467">
        <f t="shared" si="830"/>
        <v>0</v>
      </c>
      <c r="AX190" s="1467">
        <f t="shared" si="831"/>
        <v>0</v>
      </c>
      <c r="AY190" s="1467">
        <f t="shared" si="832"/>
        <v>0</v>
      </c>
      <c r="AZ190" s="1467">
        <f t="shared" si="833"/>
        <v>0</v>
      </c>
      <c r="BA190" s="1467">
        <f t="shared" si="834"/>
        <v>0</v>
      </c>
      <c r="BB190" s="1467">
        <f t="shared" si="835"/>
        <v>0</v>
      </c>
      <c r="BC190" s="1467">
        <f t="shared" si="836"/>
        <v>0</v>
      </c>
      <c r="BD190" s="1467">
        <f t="shared" si="837"/>
        <v>0</v>
      </c>
      <c r="BE190" s="1467">
        <f t="shared" si="838"/>
        <v>0</v>
      </c>
      <c r="BF190" s="1467">
        <f t="shared" si="839"/>
        <v>0</v>
      </c>
      <c r="BG190" s="1467">
        <f t="shared" si="840"/>
        <v>0</v>
      </c>
      <c r="BH190" s="1467">
        <f t="shared" si="841"/>
        <v>0</v>
      </c>
      <c r="BI190" s="1467">
        <f t="shared" si="842"/>
        <v>0</v>
      </c>
      <c r="BJ190" s="1467">
        <f t="shared" si="843"/>
        <v>0</v>
      </c>
      <c r="BK190" s="1467">
        <f t="shared" si="844"/>
        <v>0</v>
      </c>
      <c r="BL190" s="1467">
        <f t="shared" si="845"/>
        <v>0</v>
      </c>
      <c r="BM190" s="1467">
        <f t="shared" si="846"/>
        <v>0</v>
      </c>
      <c r="BN190" s="1467">
        <f t="shared" si="847"/>
        <v>0</v>
      </c>
      <c r="BO190" s="1467">
        <f t="shared" si="848"/>
        <v>0</v>
      </c>
      <c r="BP190" s="1467">
        <f t="shared" si="849"/>
        <v>0</v>
      </c>
      <c r="BQ190" s="1467">
        <f t="shared" si="850"/>
        <v>0</v>
      </c>
      <c r="BR190" s="1467">
        <f t="shared" si="851"/>
        <v>0</v>
      </c>
      <c r="BS190" s="1467">
        <f t="shared" si="852"/>
        <v>0</v>
      </c>
      <c r="BT190" s="1467">
        <f t="shared" si="853"/>
        <v>0</v>
      </c>
      <c r="BU190" s="1467">
        <f t="shared" si="854"/>
        <v>0</v>
      </c>
      <c r="BV190" s="1490"/>
    </row>
    <row r="191" spans="1:74" x14ac:dyDescent="0.2">
      <c r="A191" s="927" t="str">
        <f t="shared" si="855"/>
        <v>Accelerated.Accelerated</v>
      </c>
      <c r="B191" s="1076"/>
      <c r="C191" s="1076" t="str">
        <f t="shared" ref="C191:C201" si="863">C190</f>
        <v>Accelerated</v>
      </c>
      <c r="D191" s="1076" t="str">
        <f>Assumptions!$AH$82</f>
        <v>Accelerated</v>
      </c>
      <c r="E191" s="1076" t="str">
        <f>'Wheat Standalone (Starch)'!H252</f>
        <v>Wet Mill and gluten handling</v>
      </c>
      <c r="F191" s="1467">
        <f>SUM('Wheat Standalone (Starch)'!J252:K252)*1000000</f>
        <v>0</v>
      </c>
      <c r="G191" s="1467">
        <f t="shared" si="856"/>
        <v>0</v>
      </c>
      <c r="H191" s="1467">
        <f t="shared" si="857"/>
        <v>0</v>
      </c>
      <c r="I191" s="1467">
        <f t="shared" si="858"/>
        <v>0</v>
      </c>
      <c r="J191" s="1076">
        <f t="shared" ref="J191:J201" si="864">J190</f>
        <v>0.2</v>
      </c>
      <c r="K191" s="1107"/>
      <c r="L191" s="1467">
        <f t="shared" si="859"/>
        <v>0</v>
      </c>
      <c r="M191" s="1467">
        <f>($I191-SUM($L191:L191))*$J191</f>
        <v>0</v>
      </c>
      <c r="N191" s="1467">
        <f>($I191-SUM($L191:M191))*$J191</f>
        <v>0</v>
      </c>
      <c r="O191" s="1467">
        <f>($I191-SUM($L191:N191))*$J191</f>
        <v>0</v>
      </c>
      <c r="P191" s="1467">
        <f>($I191-SUM($L191:O191))*$J191</f>
        <v>0</v>
      </c>
      <c r="Q191" s="1467">
        <f>($I191-SUM($L191:P191))*$J191</f>
        <v>0</v>
      </c>
      <c r="R191" s="1467">
        <f>($I191-SUM($L191:Q191))*$J191</f>
        <v>0</v>
      </c>
      <c r="S191" s="1467">
        <f>($I191-SUM($L191:R191))*$J191</f>
        <v>0</v>
      </c>
      <c r="T191" s="1467">
        <f>($I191-SUM($L191:S191))*$J191</f>
        <v>0</v>
      </c>
      <c r="U191" s="1467">
        <f>($I191-SUM($L191:T191))*$J191</f>
        <v>0</v>
      </c>
      <c r="V191" s="1467">
        <f>($I191-SUM($L191:U191))*$J191</f>
        <v>0</v>
      </c>
      <c r="W191" s="1467">
        <f>($I191-SUM($L191:V191))*$J191</f>
        <v>0</v>
      </c>
      <c r="X191" s="1467">
        <f>($I191-SUM($L191:W191))*$J191</f>
        <v>0</v>
      </c>
      <c r="Y191" s="1467">
        <f>($I191-SUM($L191:X191))*$J191</f>
        <v>0</v>
      </c>
      <c r="Z191" s="1467">
        <f>($I191-SUM($L191:Y191))*$J191</f>
        <v>0</v>
      </c>
      <c r="AA191" s="1467">
        <f>($I191-SUM($L191:Z191))*$J191</f>
        <v>0</v>
      </c>
      <c r="AB191" s="1467">
        <f>($I191-SUM($L191:AA191))*$J191</f>
        <v>0</v>
      </c>
      <c r="AC191" s="1467">
        <f>($I191-SUM($L191:AB191))*$J191</f>
        <v>0</v>
      </c>
      <c r="AD191" s="1467">
        <f>($I191-SUM($L191:AC191))*$J191</f>
        <v>0</v>
      </c>
      <c r="AE191" s="1467">
        <f>($I191-SUM($L191:AD191))*$J191</f>
        <v>0</v>
      </c>
      <c r="AF191" s="1467">
        <f>($I191-SUM($L191:AE191))*$J191</f>
        <v>0</v>
      </c>
      <c r="AG191" s="1467">
        <f>($I191-SUM($L191:AF191))*$J191</f>
        <v>0</v>
      </c>
      <c r="AH191" s="1467">
        <f>($I191-SUM($L191:AG191))*$J191</f>
        <v>0</v>
      </c>
      <c r="AI191" s="1467">
        <f>($I191-SUM($L191:AH191))*$J191</f>
        <v>0</v>
      </c>
      <c r="AJ191" s="1467">
        <f>($I191-SUM($L191:AI191))*$J191</f>
        <v>0</v>
      </c>
      <c r="AK191" s="1467">
        <f>($I191-SUM($L191:AJ191))*$J191</f>
        <v>0</v>
      </c>
      <c r="AL191" s="1467">
        <f>($I191-SUM($L191:AK191))*$J191</f>
        <v>0</v>
      </c>
      <c r="AM191" s="1467">
        <f>($I191-SUM($L191:AL191))*$J191</f>
        <v>0</v>
      </c>
      <c r="AN191" s="1467">
        <f>($I191-SUM($L191:AM191))*$J191</f>
        <v>0</v>
      </c>
      <c r="AO191" s="1467">
        <f>($I191-SUM($L191:AN191))*$J191</f>
        <v>0</v>
      </c>
      <c r="AP191" s="1468">
        <f t="shared" si="860"/>
        <v>0</v>
      </c>
      <c r="AQ191" s="1478"/>
      <c r="AR191" s="1467">
        <f t="shared" si="861"/>
        <v>0</v>
      </c>
      <c r="AS191" s="1467">
        <f t="shared" si="862"/>
        <v>0</v>
      </c>
      <c r="AT191" s="1467">
        <f t="shared" si="827"/>
        <v>0</v>
      </c>
      <c r="AU191" s="1467">
        <f t="shared" si="828"/>
        <v>0</v>
      </c>
      <c r="AV191" s="1467">
        <f t="shared" si="829"/>
        <v>0</v>
      </c>
      <c r="AW191" s="1467">
        <f t="shared" si="830"/>
        <v>0</v>
      </c>
      <c r="AX191" s="1467">
        <f t="shared" si="831"/>
        <v>0</v>
      </c>
      <c r="AY191" s="1467">
        <f t="shared" si="832"/>
        <v>0</v>
      </c>
      <c r="AZ191" s="1467">
        <f t="shared" si="833"/>
        <v>0</v>
      </c>
      <c r="BA191" s="1467">
        <f t="shared" si="834"/>
        <v>0</v>
      </c>
      <c r="BB191" s="1467">
        <f t="shared" si="835"/>
        <v>0</v>
      </c>
      <c r="BC191" s="1467">
        <f t="shared" si="836"/>
        <v>0</v>
      </c>
      <c r="BD191" s="1467">
        <f t="shared" si="837"/>
        <v>0</v>
      </c>
      <c r="BE191" s="1467">
        <f t="shared" si="838"/>
        <v>0</v>
      </c>
      <c r="BF191" s="1467">
        <f t="shared" si="839"/>
        <v>0</v>
      </c>
      <c r="BG191" s="1467">
        <f t="shared" si="840"/>
        <v>0</v>
      </c>
      <c r="BH191" s="1467">
        <f t="shared" si="841"/>
        <v>0</v>
      </c>
      <c r="BI191" s="1467">
        <f t="shared" si="842"/>
        <v>0</v>
      </c>
      <c r="BJ191" s="1467">
        <f t="shared" si="843"/>
        <v>0</v>
      </c>
      <c r="BK191" s="1467">
        <f t="shared" si="844"/>
        <v>0</v>
      </c>
      <c r="BL191" s="1467">
        <f t="shared" si="845"/>
        <v>0</v>
      </c>
      <c r="BM191" s="1467">
        <f t="shared" si="846"/>
        <v>0</v>
      </c>
      <c r="BN191" s="1467">
        <f t="shared" si="847"/>
        <v>0</v>
      </c>
      <c r="BO191" s="1467">
        <f t="shared" si="848"/>
        <v>0</v>
      </c>
      <c r="BP191" s="1467">
        <f t="shared" si="849"/>
        <v>0</v>
      </c>
      <c r="BQ191" s="1467">
        <f t="shared" si="850"/>
        <v>0</v>
      </c>
      <c r="BR191" s="1467">
        <f t="shared" si="851"/>
        <v>0</v>
      </c>
      <c r="BS191" s="1467">
        <f t="shared" si="852"/>
        <v>0</v>
      </c>
      <c r="BT191" s="1467">
        <f t="shared" si="853"/>
        <v>0</v>
      </c>
      <c r="BU191" s="1467">
        <f t="shared" si="854"/>
        <v>0</v>
      </c>
      <c r="BV191" s="1490"/>
    </row>
    <row r="192" spans="1:74" x14ac:dyDescent="0.2">
      <c r="A192" s="927" t="str">
        <f t="shared" si="855"/>
        <v>Accelerated.Accelerated</v>
      </c>
      <c r="B192" s="1076"/>
      <c r="C192" s="1076" t="str">
        <f t="shared" si="863"/>
        <v>Accelerated</v>
      </c>
      <c r="D192" s="1076" t="str">
        <f>Assumptions!$AH$82</f>
        <v>Accelerated</v>
      </c>
      <c r="E192" s="1076" t="str">
        <f>'Wheat Standalone (Starch)'!H253</f>
        <v>Liquefaction and saccharification</v>
      </c>
      <c r="F192" s="1467">
        <f>SUM('Wheat Standalone (Starch)'!J253:K253)*1000000</f>
        <v>8000000</v>
      </c>
      <c r="G192" s="1467">
        <f t="shared" si="856"/>
        <v>9900000</v>
      </c>
      <c r="H192" s="1467">
        <f t="shared" si="857"/>
        <v>10890000</v>
      </c>
      <c r="I192" s="1467">
        <f t="shared" si="858"/>
        <v>10890000</v>
      </c>
      <c r="J192" s="1076">
        <f t="shared" si="864"/>
        <v>0.2</v>
      </c>
      <c r="K192" s="1107"/>
      <c r="L192" s="1467">
        <f t="shared" si="859"/>
        <v>2178000</v>
      </c>
      <c r="M192" s="1467">
        <f>($I192-SUM($L192:L192))*$J192</f>
        <v>1742400</v>
      </c>
      <c r="N192" s="1467">
        <f>($I192-SUM($L192:M192))*$J192</f>
        <v>1393920</v>
      </c>
      <c r="O192" s="1467">
        <f>($I192-SUM($L192:N192))*$J192</f>
        <v>1115136</v>
      </c>
      <c r="P192" s="1467">
        <f>($I192-SUM($L192:O192))*$J192</f>
        <v>892108.80000000005</v>
      </c>
      <c r="Q192" s="1467">
        <f>($I192-SUM($L192:P192))*$J192</f>
        <v>713687.04000000004</v>
      </c>
      <c r="R192" s="1467">
        <f>($I192-SUM($L192:Q192))*$J192</f>
        <v>570949.6320000001</v>
      </c>
      <c r="S192" s="1467">
        <f>($I192-SUM($L192:R192))*$J192</f>
        <v>456759.70560000022</v>
      </c>
      <c r="T192" s="1467">
        <f>($I192-SUM($L192:S192))*$J192</f>
        <v>365407.76448000001</v>
      </c>
      <c r="U192" s="1467">
        <f>($I192-SUM($L192:T192))*$J192</f>
        <v>292326.21158399992</v>
      </c>
      <c r="V192" s="1467">
        <f>($I192-SUM($L192:U192))*$J192</f>
        <v>233860.96926719995</v>
      </c>
      <c r="W192" s="1467">
        <f>($I192-SUM($L192:V192))*$J192</f>
        <v>187088.77541375981</v>
      </c>
      <c r="X192" s="1467">
        <f>($I192-SUM($L192:W192))*$J192</f>
        <v>149671.02033100798</v>
      </c>
      <c r="Y192" s="1467">
        <f>($I192-SUM($L192:X192))*$J192</f>
        <v>119736.81626480632</v>
      </c>
      <c r="Z192" s="1467">
        <f>($I192-SUM($L192:Y192))*$J192</f>
        <v>95789.453011845064</v>
      </c>
      <c r="AA192" s="1467">
        <f>($I192-SUM($L192:Z192))*$J192</f>
        <v>76631.562409476188</v>
      </c>
      <c r="AB192" s="1467">
        <f>($I192-SUM($L192:AA192))*$J192</f>
        <v>61305.249927581106</v>
      </c>
      <c r="AC192" s="1467">
        <f>($I192-SUM($L192:AB192))*$J192</f>
        <v>49044.199942065032</v>
      </c>
      <c r="AD192" s="1467">
        <f>($I192-SUM($L192:AC192))*$J192</f>
        <v>39235.359953651954</v>
      </c>
      <c r="AE192" s="1467">
        <f>($I192-SUM($L192:AD192))*$J192</f>
        <v>31388.28796292171</v>
      </c>
      <c r="AF192" s="1467">
        <f>($I192-SUM($L192:AE192))*$J192</f>
        <v>25110.630370337516</v>
      </c>
      <c r="AG192" s="1467">
        <f>($I192-SUM($L192:AF192))*$J192</f>
        <v>20088.504296270014</v>
      </c>
      <c r="AH192" s="1467">
        <f>($I192-SUM($L192:AG192))*$J192</f>
        <v>16070.80343701616</v>
      </c>
      <c r="AI192" s="1467">
        <f>($I192-SUM($L192:AH192))*$J192</f>
        <v>12856.64274961278</v>
      </c>
      <c r="AJ192" s="1467">
        <f>($I192-SUM($L192:AI192))*$J192</f>
        <v>10285.314199690149</v>
      </c>
      <c r="AK192" s="1467">
        <f>($I192-SUM($L192:AJ192))*$J192</f>
        <v>8228.2513597521938</v>
      </c>
      <c r="AL192" s="1467">
        <f>($I192-SUM($L192:AK192))*$J192</f>
        <v>6582.6010878019042</v>
      </c>
      <c r="AM192" s="1467">
        <f>($I192-SUM($L192:AL192))*$J192</f>
        <v>5266.0808702416725</v>
      </c>
      <c r="AN192" s="1467">
        <f>($I192-SUM($L192:AM192))*$J192</f>
        <v>4212.8646961934865</v>
      </c>
      <c r="AO192" s="1467">
        <f>($I192-SUM($L192:AN192))*$J192</f>
        <v>3370.2917569547894</v>
      </c>
      <c r="AP192" s="1468">
        <f t="shared" si="860"/>
        <v>10876518.83297218</v>
      </c>
      <c r="AQ192" s="1478"/>
      <c r="AR192" s="1467">
        <f t="shared" si="861"/>
        <v>8712000</v>
      </c>
      <c r="AS192" s="1467">
        <f t="shared" si="862"/>
        <v>6969600</v>
      </c>
      <c r="AT192" s="1467">
        <f t="shared" si="827"/>
        <v>5575680</v>
      </c>
      <c r="AU192" s="1467">
        <f t="shared" si="828"/>
        <v>4460544</v>
      </c>
      <c r="AV192" s="1467">
        <f t="shared" si="829"/>
        <v>3568435.2000000002</v>
      </c>
      <c r="AW192" s="1467">
        <f t="shared" si="830"/>
        <v>2854748.1600000001</v>
      </c>
      <c r="AX192" s="1467">
        <f t="shared" si="831"/>
        <v>2283798.5279999999</v>
      </c>
      <c r="AY192" s="1467">
        <f t="shared" si="832"/>
        <v>1827038.8223999997</v>
      </c>
      <c r="AZ192" s="1467">
        <f t="shared" si="833"/>
        <v>1461631.0579199996</v>
      </c>
      <c r="BA192" s="1467">
        <f t="shared" si="834"/>
        <v>1169304.8463359997</v>
      </c>
      <c r="BB192" s="1467">
        <f t="shared" si="835"/>
        <v>935443.87706879969</v>
      </c>
      <c r="BC192" s="1467">
        <f t="shared" si="836"/>
        <v>748355.10165503994</v>
      </c>
      <c r="BD192" s="1467">
        <f t="shared" si="837"/>
        <v>598684.08132403193</v>
      </c>
      <c r="BE192" s="1467">
        <f t="shared" si="838"/>
        <v>478947.26505922561</v>
      </c>
      <c r="BF192" s="1467">
        <f t="shared" si="839"/>
        <v>383157.81204738055</v>
      </c>
      <c r="BG192" s="1467">
        <f t="shared" si="840"/>
        <v>306526.24963790434</v>
      </c>
      <c r="BH192" s="1467">
        <f t="shared" si="841"/>
        <v>245220.99971032323</v>
      </c>
      <c r="BI192" s="1467">
        <f t="shared" si="842"/>
        <v>196176.79976825821</v>
      </c>
      <c r="BJ192" s="1467">
        <f t="shared" si="843"/>
        <v>156941.43981460624</v>
      </c>
      <c r="BK192" s="1467">
        <f t="shared" si="844"/>
        <v>125553.15185168454</v>
      </c>
      <c r="BL192" s="1467">
        <f t="shared" si="845"/>
        <v>100442.52148134702</v>
      </c>
      <c r="BM192" s="1467">
        <f t="shared" si="846"/>
        <v>80354.017185077013</v>
      </c>
      <c r="BN192" s="1467">
        <f t="shared" si="847"/>
        <v>64283.213748060851</v>
      </c>
      <c r="BO192" s="1467">
        <f t="shared" si="848"/>
        <v>51426.570998448071</v>
      </c>
      <c r="BP192" s="1467">
        <f t="shared" si="849"/>
        <v>41141.256798757924</v>
      </c>
      <c r="BQ192" s="1467">
        <f t="shared" si="850"/>
        <v>32913.005439005734</v>
      </c>
      <c r="BR192" s="1467">
        <f t="shared" si="851"/>
        <v>26330.40435120383</v>
      </c>
      <c r="BS192" s="1467">
        <f t="shared" si="852"/>
        <v>21064.323480962157</v>
      </c>
      <c r="BT192" s="1467">
        <f t="shared" si="853"/>
        <v>16851.458784768671</v>
      </c>
      <c r="BU192" s="1467">
        <f t="shared" si="854"/>
        <v>13481.167027813881</v>
      </c>
      <c r="BV192" s="1490"/>
    </row>
    <row r="193" spans="1:74" x14ac:dyDescent="0.2">
      <c r="A193" s="927" t="str">
        <f t="shared" si="855"/>
        <v>Accelerated.Accelerated</v>
      </c>
      <c r="B193" s="1076"/>
      <c r="C193" s="1076" t="str">
        <f t="shared" si="863"/>
        <v>Accelerated</v>
      </c>
      <c r="D193" s="1076" t="str">
        <f>Assumptions!$AH$82</f>
        <v>Accelerated</v>
      </c>
      <c r="E193" s="1076" t="str">
        <f>'Wheat Standalone (Starch)'!H254</f>
        <v>Fermentation Plant</v>
      </c>
      <c r="F193" s="1467">
        <f>SUM('Wheat Standalone (Starch)'!J254:K254)*1000000</f>
        <v>18000000</v>
      </c>
      <c r="G193" s="1467">
        <f t="shared" si="856"/>
        <v>22275000</v>
      </c>
      <c r="H193" s="1467">
        <f t="shared" si="857"/>
        <v>24502500.000000004</v>
      </c>
      <c r="I193" s="1467">
        <f t="shared" si="858"/>
        <v>24502500.000000004</v>
      </c>
      <c r="J193" s="1076">
        <f t="shared" si="864"/>
        <v>0.2</v>
      </c>
      <c r="K193" s="1107"/>
      <c r="L193" s="1467">
        <f t="shared" si="859"/>
        <v>4900500.0000000009</v>
      </c>
      <c r="M193" s="1467">
        <f>($I193-SUM($L193:L193))*$J193</f>
        <v>3920400.0000000009</v>
      </c>
      <c r="N193" s="1467">
        <f>($I193-SUM($L193:M193))*$J193</f>
        <v>3136320.0000000005</v>
      </c>
      <c r="O193" s="1467">
        <f>($I193-SUM($L193:N193))*$J193</f>
        <v>2509056.0000000005</v>
      </c>
      <c r="P193" s="1467">
        <f>($I193-SUM($L193:O193))*$J193</f>
        <v>2007244.8000000005</v>
      </c>
      <c r="Q193" s="1467">
        <f>($I193-SUM($L193:P193))*$J193</f>
        <v>1605795.8400000003</v>
      </c>
      <c r="R193" s="1467">
        <f>($I193-SUM($L193:Q193))*$J193</f>
        <v>1284636.672</v>
      </c>
      <c r="S193" s="1467">
        <f>($I193-SUM($L193:R193))*$J193</f>
        <v>1027709.3376000002</v>
      </c>
      <c r="T193" s="1467">
        <f>($I193-SUM($L193:S193))*$J193</f>
        <v>822167.47008000023</v>
      </c>
      <c r="U193" s="1467">
        <f>($I193-SUM($L193:T193))*$J193</f>
        <v>657733.97606400028</v>
      </c>
      <c r="V193" s="1467">
        <f>($I193-SUM($L193:U193))*$J193</f>
        <v>526187.18085120025</v>
      </c>
      <c r="W193" s="1467">
        <f>($I193-SUM($L193:V193))*$J193</f>
        <v>420949.74468096049</v>
      </c>
      <c r="X193" s="1467">
        <f>($I193-SUM($L193:W193))*$J193</f>
        <v>336759.79574476858</v>
      </c>
      <c r="Y193" s="1467">
        <f>($I193-SUM($L193:X193))*$J193</f>
        <v>269407.83659581468</v>
      </c>
      <c r="Z193" s="1467">
        <f>($I193-SUM($L193:Y193))*$J193</f>
        <v>215526.26927665176</v>
      </c>
      <c r="AA193" s="1467">
        <f>($I193-SUM($L193:Z193))*$J193</f>
        <v>172421.01542132127</v>
      </c>
      <c r="AB193" s="1467">
        <f>($I193-SUM($L193:AA193))*$J193</f>
        <v>137936.81233705729</v>
      </c>
      <c r="AC193" s="1467">
        <f>($I193-SUM($L193:AB193))*$J193</f>
        <v>110349.44986964614</v>
      </c>
      <c r="AD193" s="1467">
        <f>($I193-SUM($L193:AC193))*$J193</f>
        <v>88279.559895716608</v>
      </c>
      <c r="AE193" s="1467">
        <f>($I193-SUM($L193:AD193))*$J193</f>
        <v>70623.647916573289</v>
      </c>
      <c r="AF193" s="1467">
        <f>($I193-SUM($L193:AE193))*$J193</f>
        <v>56498.91833325848</v>
      </c>
      <c r="AG193" s="1467">
        <f>($I193-SUM($L193:AF193))*$J193</f>
        <v>45199.134666606784</v>
      </c>
      <c r="AH193" s="1467">
        <f>($I193-SUM($L193:AG193))*$J193</f>
        <v>36159.30773328543</v>
      </c>
      <c r="AI193" s="1467">
        <f>($I193-SUM($L193:AH193))*$J193</f>
        <v>28927.446186628193</v>
      </c>
      <c r="AJ193" s="1467">
        <f>($I193-SUM($L193:AI193))*$J193</f>
        <v>23141.956949302556</v>
      </c>
      <c r="AK193" s="1467">
        <f>($I193-SUM($L193:AJ193))*$J193</f>
        <v>18513.565559442341</v>
      </c>
      <c r="AL193" s="1467">
        <f>($I193-SUM($L193:AK193))*$J193</f>
        <v>14810.852447553725</v>
      </c>
      <c r="AM193" s="1467">
        <f>($I193-SUM($L193:AL193))*$J193</f>
        <v>11848.681958042831</v>
      </c>
      <c r="AN193" s="1467">
        <f>($I193-SUM($L193:AM193))*$J193</f>
        <v>9478.9455664344132</v>
      </c>
      <c r="AO193" s="1467">
        <f>($I193-SUM($L193:AN193))*$J193</f>
        <v>7583.1564531475306</v>
      </c>
      <c r="AP193" s="1468">
        <f t="shared" si="860"/>
        <v>24472167.374187414</v>
      </c>
      <c r="AQ193" s="1478"/>
      <c r="AR193" s="1467">
        <f t="shared" si="861"/>
        <v>19602000.000000004</v>
      </c>
      <c r="AS193" s="1467">
        <f t="shared" si="862"/>
        <v>15681600.000000004</v>
      </c>
      <c r="AT193" s="1467">
        <f t="shared" si="827"/>
        <v>12545280.000000004</v>
      </c>
      <c r="AU193" s="1467">
        <f t="shared" si="828"/>
        <v>10036224.000000004</v>
      </c>
      <c r="AV193" s="1467">
        <f t="shared" si="829"/>
        <v>8028979.200000003</v>
      </c>
      <c r="AW193" s="1467">
        <f t="shared" si="830"/>
        <v>6423183.3600000031</v>
      </c>
      <c r="AX193" s="1467">
        <f t="shared" si="831"/>
        <v>5138546.6880000029</v>
      </c>
      <c r="AY193" s="1467">
        <f t="shared" si="832"/>
        <v>4110837.3504000027</v>
      </c>
      <c r="AZ193" s="1467">
        <f t="shared" si="833"/>
        <v>3288669.8803200023</v>
      </c>
      <c r="BA193" s="1467">
        <f t="shared" si="834"/>
        <v>2630935.904256002</v>
      </c>
      <c r="BB193" s="1467">
        <f t="shared" si="835"/>
        <v>2104748.7234048019</v>
      </c>
      <c r="BC193" s="1467">
        <f t="shared" si="836"/>
        <v>1683798.9787238415</v>
      </c>
      <c r="BD193" s="1467">
        <f t="shared" si="837"/>
        <v>1347039.1829790729</v>
      </c>
      <c r="BE193" s="1467">
        <f t="shared" si="838"/>
        <v>1077631.3463832582</v>
      </c>
      <c r="BF193" s="1467">
        <f t="shared" si="839"/>
        <v>862105.07710660645</v>
      </c>
      <c r="BG193" s="1467">
        <f t="shared" si="840"/>
        <v>689684.06168528518</v>
      </c>
      <c r="BH193" s="1467">
        <f t="shared" si="841"/>
        <v>551747.24934822787</v>
      </c>
      <c r="BI193" s="1467">
        <f t="shared" si="842"/>
        <v>441397.79947858176</v>
      </c>
      <c r="BJ193" s="1467">
        <f t="shared" si="843"/>
        <v>353118.23958286515</v>
      </c>
      <c r="BK193" s="1467">
        <f t="shared" si="844"/>
        <v>282494.59166629188</v>
      </c>
      <c r="BL193" s="1467">
        <f t="shared" si="845"/>
        <v>225995.6733330334</v>
      </c>
      <c r="BM193" s="1467">
        <f t="shared" si="846"/>
        <v>180796.53866642661</v>
      </c>
      <c r="BN193" s="1467">
        <f t="shared" si="847"/>
        <v>144637.2309331412</v>
      </c>
      <c r="BO193" s="1467">
        <f t="shared" si="848"/>
        <v>115709.784746513</v>
      </c>
      <c r="BP193" s="1467">
        <f t="shared" si="849"/>
        <v>92567.827797210455</v>
      </c>
      <c r="BQ193" s="1467">
        <f t="shared" si="850"/>
        <v>74054.262237768111</v>
      </c>
      <c r="BR193" s="1467">
        <f t="shared" si="851"/>
        <v>59243.409790214384</v>
      </c>
      <c r="BS193" s="1467">
        <f t="shared" si="852"/>
        <v>47394.727832171557</v>
      </c>
      <c r="BT193" s="1467">
        <f t="shared" si="853"/>
        <v>37915.782265737143</v>
      </c>
      <c r="BU193" s="1467">
        <f t="shared" si="854"/>
        <v>30332.625812589613</v>
      </c>
      <c r="BV193" s="1490"/>
    </row>
    <row r="194" spans="1:74" x14ac:dyDescent="0.2">
      <c r="A194" s="927" t="str">
        <f t="shared" si="855"/>
        <v>Accelerated.Accelerated</v>
      </c>
      <c r="B194" s="1076"/>
      <c r="C194" s="1076" t="str">
        <f t="shared" si="863"/>
        <v>Accelerated</v>
      </c>
      <c r="D194" s="1076" t="str">
        <f>Assumptions!$AH$82</f>
        <v>Accelerated</v>
      </c>
      <c r="E194" s="1076" t="str">
        <f>'Wheat Standalone (Starch)'!H255</f>
        <v>Distillation, Rectification and Dehydration</v>
      </c>
      <c r="F194" s="1467">
        <f>SUM('Wheat Standalone (Starch)'!J255:K255)*1000000</f>
        <v>23000000</v>
      </c>
      <c r="G194" s="1467">
        <f t="shared" si="856"/>
        <v>28462500</v>
      </c>
      <c r="H194" s="1467">
        <f t="shared" si="857"/>
        <v>31308750.000000004</v>
      </c>
      <c r="I194" s="1467">
        <f t="shared" si="858"/>
        <v>31308750.000000004</v>
      </c>
      <c r="J194" s="1076">
        <f t="shared" si="864"/>
        <v>0.2</v>
      </c>
      <c r="K194" s="1107"/>
      <c r="L194" s="1467">
        <f t="shared" si="859"/>
        <v>6261750.0000000009</v>
      </c>
      <c r="M194" s="1467">
        <f>($I194-SUM($L194:L194))*$J194</f>
        <v>5009400.0000000009</v>
      </c>
      <c r="N194" s="1467">
        <f>($I194-SUM($L194:M194))*$J194</f>
        <v>4007520</v>
      </c>
      <c r="O194" s="1467">
        <f>($I194-SUM($L194:N194))*$J194</f>
        <v>3206016.0000000005</v>
      </c>
      <c r="P194" s="1467">
        <f>($I194-SUM($L194:O194))*$J194</f>
        <v>2564812.8000000003</v>
      </c>
      <c r="Q194" s="1467">
        <f>($I194-SUM($L194:P194))*$J194</f>
        <v>2051850.24</v>
      </c>
      <c r="R194" s="1467">
        <f>($I194-SUM($L194:Q194))*$J194</f>
        <v>1641480.1920000003</v>
      </c>
      <c r="S194" s="1467">
        <f>($I194-SUM($L194:R194))*$J194</f>
        <v>1313184.1535999998</v>
      </c>
      <c r="T194" s="1467">
        <f>($I194-SUM($L194:S194))*$J194</f>
        <v>1050547.3228799999</v>
      </c>
      <c r="U194" s="1467">
        <f>($I194-SUM($L194:T194))*$J194</f>
        <v>840437.85830399999</v>
      </c>
      <c r="V194" s="1467">
        <f>($I194-SUM($L194:U194))*$J194</f>
        <v>672350.28664319962</v>
      </c>
      <c r="W194" s="1467">
        <f>($I194-SUM($L194:V194))*$J194</f>
        <v>537880.22931455972</v>
      </c>
      <c r="X194" s="1467">
        <f>($I194-SUM($L194:W194))*$J194</f>
        <v>430304.1834516481</v>
      </c>
      <c r="Y194" s="1467">
        <f>($I194-SUM($L194:X194))*$J194</f>
        <v>344243.34676131833</v>
      </c>
      <c r="Z194" s="1467">
        <f>($I194-SUM($L194:Y194))*$J194</f>
        <v>275394.67740905436</v>
      </c>
      <c r="AA194" s="1467">
        <f>($I194-SUM($L194:Z194))*$J194</f>
        <v>220315.74192724377</v>
      </c>
      <c r="AB194" s="1467">
        <f>($I194-SUM($L194:AA194))*$J194</f>
        <v>176252.59354179504</v>
      </c>
      <c r="AC194" s="1467">
        <f>($I194-SUM($L194:AB194))*$J194</f>
        <v>141002.07483343632</v>
      </c>
      <c r="AD194" s="1467">
        <f>($I194-SUM($L194:AC194))*$J194</f>
        <v>112801.65986674876</v>
      </c>
      <c r="AE194" s="1467">
        <f>($I194-SUM($L194:AD194))*$J194</f>
        <v>90241.327893398702</v>
      </c>
      <c r="AF194" s="1467">
        <f>($I194-SUM($L194:AE194))*$J194</f>
        <v>72193.062314718962</v>
      </c>
      <c r="AG194" s="1467">
        <f>($I194-SUM($L194:AF194))*$J194</f>
        <v>57754.449851775171</v>
      </c>
      <c r="AH194" s="1467">
        <f>($I194-SUM($L194:AG194))*$J194</f>
        <v>46203.559881420435</v>
      </c>
      <c r="AI194" s="1467">
        <f>($I194-SUM($L194:AH194))*$J194</f>
        <v>36962.847905136645</v>
      </c>
      <c r="AJ194" s="1467">
        <f>($I194-SUM($L194:AI194))*$J194</f>
        <v>29570.278324109317</v>
      </c>
      <c r="AK194" s="1467">
        <f>($I194-SUM($L194:AJ194))*$J194</f>
        <v>23656.222659287603</v>
      </c>
      <c r="AL194" s="1467">
        <f>($I194-SUM($L194:AK194))*$J194</f>
        <v>18924.978127430379</v>
      </c>
      <c r="AM194" s="1467">
        <f>($I194-SUM($L194:AL194))*$J194</f>
        <v>15139.982501944156</v>
      </c>
      <c r="AN194" s="1467">
        <f>($I194-SUM($L194:AM194))*$J194</f>
        <v>12111.986001555622</v>
      </c>
      <c r="AO194" s="1467">
        <f>($I194-SUM($L194:AN194))*$J194</f>
        <v>9689.5888012446467</v>
      </c>
      <c r="AP194" s="1468">
        <f t="shared" si="860"/>
        <v>31269991.644795027</v>
      </c>
      <c r="AQ194" s="1478"/>
      <c r="AR194" s="1467">
        <f t="shared" si="861"/>
        <v>25047000.000000004</v>
      </c>
      <c r="AS194" s="1467">
        <f t="shared" si="862"/>
        <v>20037600.000000004</v>
      </c>
      <c r="AT194" s="1467">
        <f t="shared" si="827"/>
        <v>16030080.000000004</v>
      </c>
      <c r="AU194" s="1467">
        <f t="shared" si="828"/>
        <v>12824064.000000004</v>
      </c>
      <c r="AV194" s="1467">
        <f t="shared" si="829"/>
        <v>10259251.200000003</v>
      </c>
      <c r="AW194" s="1467">
        <f t="shared" si="830"/>
        <v>8207400.9600000028</v>
      </c>
      <c r="AX194" s="1467">
        <f t="shared" si="831"/>
        <v>6565920.768000003</v>
      </c>
      <c r="AY194" s="1467">
        <f t="shared" si="832"/>
        <v>5252736.6144000031</v>
      </c>
      <c r="AZ194" s="1467">
        <f t="shared" si="833"/>
        <v>4202189.2915200032</v>
      </c>
      <c r="BA194" s="1467">
        <f t="shared" si="834"/>
        <v>3361751.4332160032</v>
      </c>
      <c r="BB194" s="1467">
        <f t="shared" si="835"/>
        <v>2689401.1465728036</v>
      </c>
      <c r="BC194" s="1467">
        <f t="shared" si="836"/>
        <v>2151520.917258244</v>
      </c>
      <c r="BD194" s="1467">
        <f t="shared" si="837"/>
        <v>1721216.7338065959</v>
      </c>
      <c r="BE194" s="1467">
        <f t="shared" si="838"/>
        <v>1376973.3870452775</v>
      </c>
      <c r="BF194" s="1467">
        <f t="shared" si="839"/>
        <v>1101578.709636223</v>
      </c>
      <c r="BG194" s="1467">
        <f t="shared" si="840"/>
        <v>881262.96770897927</v>
      </c>
      <c r="BH194" s="1467">
        <f t="shared" si="841"/>
        <v>705010.37416718423</v>
      </c>
      <c r="BI194" s="1467">
        <f t="shared" si="842"/>
        <v>564008.29933374794</v>
      </c>
      <c r="BJ194" s="1467">
        <f t="shared" si="843"/>
        <v>451206.63946699922</v>
      </c>
      <c r="BK194" s="1467">
        <f t="shared" si="844"/>
        <v>360965.31157360051</v>
      </c>
      <c r="BL194" s="1467">
        <f t="shared" si="845"/>
        <v>288772.24925888155</v>
      </c>
      <c r="BM194" s="1467">
        <f t="shared" si="846"/>
        <v>231017.79940710639</v>
      </c>
      <c r="BN194" s="1467">
        <f t="shared" si="847"/>
        <v>184814.23952568596</v>
      </c>
      <c r="BO194" s="1467">
        <f t="shared" si="848"/>
        <v>147851.39162054932</v>
      </c>
      <c r="BP194" s="1467">
        <f t="shared" si="849"/>
        <v>118281.11329644</v>
      </c>
      <c r="BQ194" s="1467">
        <f t="shared" si="850"/>
        <v>94624.890637152392</v>
      </c>
      <c r="BR194" s="1467">
        <f t="shared" si="851"/>
        <v>75699.912509722009</v>
      </c>
      <c r="BS194" s="1467">
        <f t="shared" si="852"/>
        <v>60559.930007777853</v>
      </c>
      <c r="BT194" s="1467">
        <f t="shared" si="853"/>
        <v>48447.944006222227</v>
      </c>
      <c r="BU194" s="1467">
        <f t="shared" si="854"/>
        <v>38758.355204977583</v>
      </c>
      <c r="BV194" s="1490"/>
    </row>
    <row r="195" spans="1:74" x14ac:dyDescent="0.2">
      <c r="A195" s="927" t="str">
        <f t="shared" si="855"/>
        <v>Accelerated.Accelerated</v>
      </c>
      <c r="B195" s="1076"/>
      <c r="C195" s="1076" t="str">
        <f t="shared" si="863"/>
        <v>Accelerated</v>
      </c>
      <c r="D195" s="1076" t="str">
        <f>Assumptions!$AH$82</f>
        <v>Accelerated</v>
      </c>
      <c r="E195" s="1076" t="str">
        <f>'Wheat Standalone (Starch)'!H256</f>
        <v>Alcohol Storage</v>
      </c>
      <c r="F195" s="1467">
        <f>SUM('Wheat Standalone (Starch)'!J256:K256)*1000000</f>
        <v>5000000</v>
      </c>
      <c r="G195" s="1467">
        <f t="shared" si="856"/>
        <v>6187500</v>
      </c>
      <c r="H195" s="1467">
        <f t="shared" si="857"/>
        <v>6806250.0000000009</v>
      </c>
      <c r="I195" s="1467">
        <f t="shared" si="858"/>
        <v>6806250.0000000009</v>
      </c>
      <c r="J195" s="1076">
        <f t="shared" si="864"/>
        <v>0.2</v>
      </c>
      <c r="K195" s="1107"/>
      <c r="L195" s="1467">
        <f t="shared" si="859"/>
        <v>1361250.0000000002</v>
      </c>
      <c r="M195" s="1467">
        <f>($I195-SUM($L195:L195))*$J195</f>
        <v>1089000.0000000002</v>
      </c>
      <c r="N195" s="1467">
        <f>($I195-SUM($L195:M195))*$J195</f>
        <v>871200</v>
      </c>
      <c r="O195" s="1467">
        <f>($I195-SUM($L195:N195))*$J195</f>
        <v>696960.00000000012</v>
      </c>
      <c r="P195" s="1467">
        <f>($I195-SUM($L195:O195))*$J195</f>
        <v>557568.00000000012</v>
      </c>
      <c r="Q195" s="1467">
        <f>($I195-SUM($L195:P195))*$J195</f>
        <v>446054.40000000002</v>
      </c>
      <c r="R195" s="1467">
        <f>($I195-SUM($L195:Q195))*$J195</f>
        <v>356843.51999999996</v>
      </c>
      <c r="S195" s="1467">
        <f>($I195-SUM($L195:R195))*$J195</f>
        <v>285474.81600000005</v>
      </c>
      <c r="T195" s="1467">
        <f>($I195-SUM($L195:S195))*$J195</f>
        <v>228379.85280000011</v>
      </c>
      <c r="U195" s="1467">
        <f>($I195-SUM($L195:T195))*$J195</f>
        <v>182703.88224000001</v>
      </c>
      <c r="V195" s="1467">
        <f>($I195-SUM($L195:U195))*$J195</f>
        <v>146163.10579199996</v>
      </c>
      <c r="W195" s="1467">
        <f>($I195-SUM($L195:V195))*$J195</f>
        <v>116930.48463359998</v>
      </c>
      <c r="X195" s="1467">
        <f>($I195-SUM($L195:W195))*$J195</f>
        <v>93544.387706879905</v>
      </c>
      <c r="Y195" s="1467">
        <f>($I195-SUM($L195:X195))*$J195</f>
        <v>74835.510165503991</v>
      </c>
      <c r="Z195" s="1467">
        <f>($I195-SUM($L195:Y195))*$J195</f>
        <v>59868.408132403158</v>
      </c>
      <c r="AA195" s="1467">
        <f>($I195-SUM($L195:Z195))*$J195</f>
        <v>47894.726505922532</v>
      </c>
      <c r="AB195" s="1467">
        <f>($I195-SUM($L195:AA195))*$J195</f>
        <v>38315.781204738094</v>
      </c>
      <c r="AC195" s="1467">
        <f>($I195-SUM($L195:AB195))*$J195</f>
        <v>30652.624963790553</v>
      </c>
      <c r="AD195" s="1467">
        <f>($I195-SUM($L195:AC195))*$J195</f>
        <v>24522.099971032516</v>
      </c>
      <c r="AE195" s="1467">
        <f>($I195-SUM($L195:AD195))*$J195</f>
        <v>19617.679976825977</v>
      </c>
      <c r="AF195" s="1467">
        <f>($I195-SUM($L195:AE195))*$J195</f>
        <v>15694.143981460855</v>
      </c>
      <c r="AG195" s="1467">
        <f>($I195-SUM($L195:AF195))*$J195</f>
        <v>12555.315185168758</v>
      </c>
      <c r="AH195" s="1467">
        <f>($I195-SUM($L195:AG195))*$J195</f>
        <v>10044.252148135007</v>
      </c>
      <c r="AI195" s="1467">
        <f>($I195-SUM($L195:AH195))*$J195</f>
        <v>8035.4017185080802</v>
      </c>
      <c r="AJ195" s="1467">
        <f>($I195-SUM($L195:AI195))*$J195</f>
        <v>6428.3213748063899</v>
      </c>
      <c r="AK195" s="1467">
        <f>($I195-SUM($L195:AJ195))*$J195</f>
        <v>5142.6570998450743</v>
      </c>
      <c r="AL195" s="1467">
        <f>($I195-SUM($L195:AK195))*$J195</f>
        <v>4114.1256798760969</v>
      </c>
      <c r="AM195" s="1467">
        <f>($I195-SUM($L195:AL195))*$J195</f>
        <v>3291.3005439009521</v>
      </c>
      <c r="AN195" s="1467">
        <f>($I195-SUM($L195:AM195))*$J195</f>
        <v>2633.0404351208363</v>
      </c>
      <c r="AO195" s="1467">
        <f>($I195-SUM($L195:AN195))*$J195</f>
        <v>2106.4323480967432</v>
      </c>
      <c r="AP195" s="1468">
        <f t="shared" si="860"/>
        <v>6797824.270607614</v>
      </c>
      <c r="AQ195" s="1478"/>
      <c r="AR195" s="1467">
        <f t="shared" si="861"/>
        <v>5445000.0000000009</v>
      </c>
      <c r="AS195" s="1467">
        <f t="shared" si="862"/>
        <v>4356000.0000000009</v>
      </c>
      <c r="AT195" s="1467">
        <f t="shared" si="827"/>
        <v>3484800.0000000009</v>
      </c>
      <c r="AU195" s="1467">
        <f t="shared" si="828"/>
        <v>2787840.0000000009</v>
      </c>
      <c r="AV195" s="1467">
        <f t="shared" si="829"/>
        <v>2230272.0000000009</v>
      </c>
      <c r="AW195" s="1467">
        <f t="shared" si="830"/>
        <v>1784217.600000001</v>
      </c>
      <c r="AX195" s="1467">
        <f t="shared" si="831"/>
        <v>1427374.080000001</v>
      </c>
      <c r="AY195" s="1467">
        <f t="shared" si="832"/>
        <v>1141899.2640000009</v>
      </c>
      <c r="AZ195" s="1467">
        <f t="shared" si="833"/>
        <v>913519.41120000079</v>
      </c>
      <c r="BA195" s="1467">
        <f t="shared" si="834"/>
        <v>730815.52896000072</v>
      </c>
      <c r="BB195" s="1467">
        <f t="shared" si="835"/>
        <v>584652.42316800077</v>
      </c>
      <c r="BC195" s="1467">
        <f t="shared" si="836"/>
        <v>467721.93853440078</v>
      </c>
      <c r="BD195" s="1467">
        <f t="shared" si="837"/>
        <v>374177.5508275209</v>
      </c>
      <c r="BE195" s="1467">
        <f t="shared" si="838"/>
        <v>299342.04066201689</v>
      </c>
      <c r="BF195" s="1467">
        <f t="shared" si="839"/>
        <v>239473.63252961374</v>
      </c>
      <c r="BG195" s="1467">
        <f t="shared" si="840"/>
        <v>191578.9060236912</v>
      </c>
      <c r="BH195" s="1467">
        <f t="shared" si="841"/>
        <v>153263.1248189531</v>
      </c>
      <c r="BI195" s="1467">
        <f t="shared" si="842"/>
        <v>122610.49985516255</v>
      </c>
      <c r="BJ195" s="1467">
        <f t="shared" si="843"/>
        <v>98088.399884130034</v>
      </c>
      <c r="BK195" s="1467">
        <f t="shared" si="844"/>
        <v>78470.719907304054</v>
      </c>
      <c r="BL195" s="1467">
        <f t="shared" si="845"/>
        <v>62776.575925843201</v>
      </c>
      <c r="BM195" s="1467">
        <f t="shared" si="846"/>
        <v>50221.260740674443</v>
      </c>
      <c r="BN195" s="1467">
        <f t="shared" si="847"/>
        <v>40177.008592539438</v>
      </c>
      <c r="BO195" s="1467">
        <f t="shared" si="848"/>
        <v>32141.606874031357</v>
      </c>
      <c r="BP195" s="1467">
        <f t="shared" si="849"/>
        <v>25713.285499224967</v>
      </c>
      <c r="BQ195" s="1467">
        <f t="shared" si="850"/>
        <v>20570.628399379893</v>
      </c>
      <c r="BR195" s="1467">
        <f t="shared" si="851"/>
        <v>16456.502719503798</v>
      </c>
      <c r="BS195" s="1467">
        <f t="shared" si="852"/>
        <v>13165.202175602846</v>
      </c>
      <c r="BT195" s="1467">
        <f t="shared" si="853"/>
        <v>10532.16174048201</v>
      </c>
      <c r="BU195" s="1467">
        <f t="shared" si="854"/>
        <v>8425.7293923852667</v>
      </c>
      <c r="BV195" s="1490"/>
    </row>
    <row r="196" spans="1:74" x14ac:dyDescent="0.2">
      <c r="A196" s="927" t="str">
        <f t="shared" si="855"/>
        <v>Accelerated.Accelerated</v>
      </c>
      <c r="B196" s="1076"/>
      <c r="C196" s="1076" t="str">
        <f t="shared" si="863"/>
        <v>Accelerated</v>
      </c>
      <c r="D196" s="1076" t="str">
        <f>Assumptions!$AH$82</f>
        <v>Accelerated</v>
      </c>
      <c r="E196" s="1076" t="str">
        <f>'Wheat Standalone (Starch)'!H257</f>
        <v>WDGS drying plant</v>
      </c>
      <c r="F196" s="1467">
        <f>SUM('Wheat Standalone (Starch)'!J257:K257)*1000000</f>
        <v>14000000</v>
      </c>
      <c r="G196" s="1467">
        <f t="shared" si="856"/>
        <v>17325000</v>
      </c>
      <c r="H196" s="1467">
        <f t="shared" si="857"/>
        <v>19057500</v>
      </c>
      <c r="I196" s="1467">
        <f t="shared" si="858"/>
        <v>19057500</v>
      </c>
      <c r="J196" s="1076">
        <f t="shared" si="864"/>
        <v>0.2</v>
      </c>
      <c r="K196" s="1107"/>
      <c r="L196" s="1467">
        <f t="shared" si="859"/>
        <v>3811500</v>
      </c>
      <c r="M196" s="1467">
        <f>($I196-SUM($L196:L196))*$J196</f>
        <v>3049200</v>
      </c>
      <c r="N196" s="1467">
        <f>($I196-SUM($L196:M196))*$J196</f>
        <v>2439360</v>
      </c>
      <c r="O196" s="1467">
        <f>($I196-SUM($L196:N196))*$J196</f>
        <v>1951488</v>
      </c>
      <c r="P196" s="1467">
        <f>($I196-SUM($L196:O196))*$J196</f>
        <v>1561190.4000000001</v>
      </c>
      <c r="Q196" s="1467">
        <f>($I196-SUM($L196:P196))*$J196</f>
        <v>1248952.3200000001</v>
      </c>
      <c r="R196" s="1467">
        <f>($I196-SUM($L196:Q196))*$J196</f>
        <v>999161.85599999991</v>
      </c>
      <c r="S196" s="1467">
        <f>($I196-SUM($L196:R196))*$J196</f>
        <v>799329.48479999974</v>
      </c>
      <c r="T196" s="1467">
        <f>($I196-SUM($L196:S196))*$J196</f>
        <v>639463.58783999982</v>
      </c>
      <c r="U196" s="1467">
        <f>($I196-SUM($L196:T196))*$J196</f>
        <v>511570.8702719998</v>
      </c>
      <c r="V196" s="1467">
        <f>($I196-SUM($L196:U196))*$J196</f>
        <v>409256.69621759956</v>
      </c>
      <c r="W196" s="1467">
        <f>($I196-SUM($L196:V196))*$J196</f>
        <v>327405.35697407951</v>
      </c>
      <c r="X196" s="1467">
        <f>($I196-SUM($L196:W196))*$J196</f>
        <v>261924.28557926344</v>
      </c>
      <c r="Y196" s="1467">
        <f>($I196-SUM($L196:X196))*$J196</f>
        <v>209539.42846341059</v>
      </c>
      <c r="Z196" s="1467">
        <f>($I196-SUM($L196:Y196))*$J196</f>
        <v>167631.54277072847</v>
      </c>
      <c r="AA196" s="1467">
        <f>($I196-SUM($L196:Z196))*$J196</f>
        <v>134105.23421658279</v>
      </c>
      <c r="AB196" s="1467">
        <f>($I196-SUM($L196:AA196))*$J196</f>
        <v>107284.18737326638</v>
      </c>
      <c r="AC196" s="1467">
        <f>($I196-SUM($L196:AB196))*$J196</f>
        <v>85827.349898613247</v>
      </c>
      <c r="AD196" s="1467">
        <f>($I196-SUM($L196:AC196))*$J196</f>
        <v>68661.879918890452</v>
      </c>
      <c r="AE196" s="1467">
        <f>($I196-SUM($L196:AD196))*$J196</f>
        <v>54929.503935112065</v>
      </c>
      <c r="AF196" s="1467">
        <f>($I196-SUM($L196:AE196))*$J196</f>
        <v>43943.603148089351</v>
      </c>
      <c r="AG196" s="1467">
        <f>($I196-SUM($L196:AF196))*$J196</f>
        <v>35154.882518471779</v>
      </c>
      <c r="AH196" s="1467">
        <f>($I196-SUM($L196:AG196))*$J196</f>
        <v>28123.90601477772</v>
      </c>
      <c r="AI196" s="1467">
        <f>($I196-SUM($L196:AH196))*$J196</f>
        <v>22499.124811822177</v>
      </c>
      <c r="AJ196" s="1467">
        <f>($I196-SUM($L196:AI196))*$J196</f>
        <v>17999.299849458039</v>
      </c>
      <c r="AK196" s="1467">
        <f>($I196-SUM($L196:AJ196))*$J196</f>
        <v>14399.439879566431</v>
      </c>
      <c r="AL196" s="1467">
        <f>($I196-SUM($L196:AK196))*$J196</f>
        <v>11519.551903653146</v>
      </c>
      <c r="AM196" s="1467">
        <f>($I196-SUM($L196:AL196))*$J196</f>
        <v>9215.6415229223676</v>
      </c>
      <c r="AN196" s="1467">
        <f>($I196-SUM($L196:AM196))*$J196</f>
        <v>7372.5132183380429</v>
      </c>
      <c r="AO196" s="1467">
        <f>($I196-SUM($L196:AN196))*$J196</f>
        <v>5898.0105746701365</v>
      </c>
      <c r="AP196" s="1468">
        <f t="shared" si="860"/>
        <v>19033907.957701318</v>
      </c>
      <c r="AQ196" s="1478"/>
      <c r="AR196" s="1467">
        <f t="shared" si="861"/>
        <v>15246000</v>
      </c>
      <c r="AS196" s="1467">
        <f t="shared" si="862"/>
        <v>12196800</v>
      </c>
      <c r="AT196" s="1467">
        <f t="shared" si="827"/>
        <v>9757440</v>
      </c>
      <c r="AU196" s="1467">
        <f t="shared" si="828"/>
        <v>7805952</v>
      </c>
      <c r="AV196" s="1467">
        <f t="shared" si="829"/>
        <v>6244761.5999999996</v>
      </c>
      <c r="AW196" s="1467">
        <f t="shared" si="830"/>
        <v>4995809.2799999993</v>
      </c>
      <c r="AX196" s="1467">
        <f t="shared" si="831"/>
        <v>3996647.4239999996</v>
      </c>
      <c r="AY196" s="1467">
        <f t="shared" si="832"/>
        <v>3197317.9391999999</v>
      </c>
      <c r="AZ196" s="1467">
        <f t="shared" si="833"/>
        <v>2557854.3513600002</v>
      </c>
      <c r="BA196" s="1467">
        <f t="shared" si="834"/>
        <v>2046283.4810880003</v>
      </c>
      <c r="BB196" s="1467">
        <f t="shared" si="835"/>
        <v>1637026.7848704008</v>
      </c>
      <c r="BC196" s="1467">
        <f t="shared" si="836"/>
        <v>1309621.4278963213</v>
      </c>
      <c r="BD196" s="1467">
        <f t="shared" si="837"/>
        <v>1047697.1423170578</v>
      </c>
      <c r="BE196" s="1467">
        <f t="shared" si="838"/>
        <v>838157.71385364723</v>
      </c>
      <c r="BF196" s="1467">
        <f t="shared" si="839"/>
        <v>670526.17108291877</v>
      </c>
      <c r="BG196" s="1467">
        <f t="shared" si="840"/>
        <v>536420.93686633604</v>
      </c>
      <c r="BH196" s="1467">
        <f t="shared" si="841"/>
        <v>429136.74949306966</v>
      </c>
      <c r="BI196" s="1467">
        <f t="shared" si="842"/>
        <v>343309.39959445642</v>
      </c>
      <c r="BJ196" s="1467">
        <f t="shared" si="843"/>
        <v>274647.519675566</v>
      </c>
      <c r="BK196" s="1467">
        <f t="shared" si="844"/>
        <v>219718.01574045393</v>
      </c>
      <c r="BL196" s="1467">
        <f t="shared" si="845"/>
        <v>175774.41259236459</v>
      </c>
      <c r="BM196" s="1467">
        <f t="shared" si="846"/>
        <v>140619.53007389282</v>
      </c>
      <c r="BN196" s="1467">
        <f t="shared" si="847"/>
        <v>112495.6240591151</v>
      </c>
      <c r="BO196" s="1467">
        <f t="shared" si="848"/>
        <v>89996.49924729293</v>
      </c>
      <c r="BP196" s="1467">
        <f t="shared" si="849"/>
        <v>71997.199397834891</v>
      </c>
      <c r="BQ196" s="1467">
        <f t="shared" si="850"/>
        <v>57597.75951826846</v>
      </c>
      <c r="BR196" s="1467">
        <f t="shared" si="851"/>
        <v>46078.207614615312</v>
      </c>
      <c r="BS196" s="1467">
        <f t="shared" si="852"/>
        <v>36862.566091692948</v>
      </c>
      <c r="BT196" s="1467">
        <f t="shared" si="853"/>
        <v>29490.052873354907</v>
      </c>
      <c r="BU196" s="1467">
        <f t="shared" si="854"/>
        <v>23592.04229868477</v>
      </c>
      <c r="BV196" s="1490"/>
    </row>
    <row r="197" spans="1:74" x14ac:dyDescent="0.2">
      <c r="A197" s="927" t="str">
        <f t="shared" si="855"/>
        <v>Accelerated.Accelerated</v>
      </c>
      <c r="B197" s="1076"/>
      <c r="C197" s="1076" t="str">
        <f t="shared" si="863"/>
        <v>Accelerated</v>
      </c>
      <c r="D197" s="1076" t="str">
        <f>Assumptions!$AH$82</f>
        <v>Accelerated</v>
      </c>
      <c r="E197" s="1076" t="str">
        <f>'Wheat Standalone (Starch)'!H258</f>
        <v>Stockfeed plant - bran, germ, DDGS</v>
      </c>
      <c r="F197" s="1467">
        <f>SUM('Wheat Standalone (Starch)'!J258:K258)*1000000</f>
        <v>0</v>
      </c>
      <c r="G197" s="1467">
        <f t="shared" si="856"/>
        <v>0</v>
      </c>
      <c r="H197" s="1467">
        <f t="shared" si="857"/>
        <v>0</v>
      </c>
      <c r="I197" s="1467">
        <f t="shared" si="858"/>
        <v>0</v>
      </c>
      <c r="J197" s="1076">
        <f t="shared" si="864"/>
        <v>0.2</v>
      </c>
      <c r="K197" s="1107"/>
      <c r="L197" s="1467">
        <f t="shared" si="859"/>
        <v>0</v>
      </c>
      <c r="M197" s="1467">
        <f>($I197-SUM($L197:L197))*$J197</f>
        <v>0</v>
      </c>
      <c r="N197" s="1467">
        <f>($I197-SUM($L197:M197))*$J197</f>
        <v>0</v>
      </c>
      <c r="O197" s="1467">
        <f>($I197-SUM($L197:N197))*$J197</f>
        <v>0</v>
      </c>
      <c r="P197" s="1467">
        <f>($I197-SUM($L197:O197))*$J197</f>
        <v>0</v>
      </c>
      <c r="Q197" s="1467">
        <f>($I197-SUM($L197:P197))*$J197</f>
        <v>0</v>
      </c>
      <c r="R197" s="1467">
        <f>($I197-SUM($L197:Q197))*$J197</f>
        <v>0</v>
      </c>
      <c r="S197" s="1467">
        <f>($I197-SUM($L197:R197))*$J197</f>
        <v>0</v>
      </c>
      <c r="T197" s="1467">
        <f>($I197-SUM($L197:S197))*$J197</f>
        <v>0</v>
      </c>
      <c r="U197" s="1467">
        <f>($I197-SUM($L197:T197))*$J197</f>
        <v>0</v>
      </c>
      <c r="V197" s="1467">
        <f>($I197-SUM($L197:U197))*$J197</f>
        <v>0</v>
      </c>
      <c r="W197" s="1467">
        <f>($I197-SUM($L197:V197))*$J197</f>
        <v>0</v>
      </c>
      <c r="X197" s="1467">
        <f>($I197-SUM($L197:W197))*$J197</f>
        <v>0</v>
      </c>
      <c r="Y197" s="1467">
        <f>($I197-SUM($L197:X197))*$J197</f>
        <v>0</v>
      </c>
      <c r="Z197" s="1467">
        <f>($I197-SUM($L197:Y197))*$J197</f>
        <v>0</v>
      </c>
      <c r="AA197" s="1467">
        <f>($I197-SUM($L197:Z197))*$J197</f>
        <v>0</v>
      </c>
      <c r="AB197" s="1467">
        <f>($I197-SUM($L197:AA197))*$J197</f>
        <v>0</v>
      </c>
      <c r="AC197" s="1467">
        <f>($I197-SUM($L197:AB197))*$J197</f>
        <v>0</v>
      </c>
      <c r="AD197" s="1467">
        <f>($I197-SUM($L197:AC197))*$J197</f>
        <v>0</v>
      </c>
      <c r="AE197" s="1467">
        <f>($I197-SUM($L197:AD197))*$J197</f>
        <v>0</v>
      </c>
      <c r="AF197" s="1467">
        <f>($I197-SUM($L197:AE197))*$J197</f>
        <v>0</v>
      </c>
      <c r="AG197" s="1467">
        <f>($I197-SUM($L197:AF197))*$J197</f>
        <v>0</v>
      </c>
      <c r="AH197" s="1467">
        <f>($I197-SUM($L197:AG197))*$J197</f>
        <v>0</v>
      </c>
      <c r="AI197" s="1467">
        <f>($I197-SUM($L197:AH197))*$J197</f>
        <v>0</v>
      </c>
      <c r="AJ197" s="1467">
        <f>($I197-SUM($L197:AI197))*$J197</f>
        <v>0</v>
      </c>
      <c r="AK197" s="1467">
        <f>($I197-SUM($L197:AJ197))*$J197</f>
        <v>0</v>
      </c>
      <c r="AL197" s="1467">
        <f>($I197-SUM($L197:AK197))*$J197</f>
        <v>0</v>
      </c>
      <c r="AM197" s="1467">
        <f>($I197-SUM($L197:AL197))*$J197</f>
        <v>0</v>
      </c>
      <c r="AN197" s="1467">
        <f>($I197-SUM($L197:AM197))*$J197</f>
        <v>0</v>
      </c>
      <c r="AO197" s="1467">
        <f>($I197-SUM($L197:AN197))*$J197</f>
        <v>0</v>
      </c>
      <c r="AP197" s="1468">
        <f t="shared" si="860"/>
        <v>0</v>
      </c>
      <c r="AQ197" s="1478"/>
      <c r="AR197" s="1467">
        <f t="shared" si="861"/>
        <v>0</v>
      </c>
      <c r="AS197" s="1467">
        <f t="shared" si="862"/>
        <v>0</v>
      </c>
      <c r="AT197" s="1467">
        <f t="shared" si="827"/>
        <v>0</v>
      </c>
      <c r="AU197" s="1467">
        <f t="shared" si="828"/>
        <v>0</v>
      </c>
      <c r="AV197" s="1467">
        <f t="shared" si="829"/>
        <v>0</v>
      </c>
      <c r="AW197" s="1467">
        <f t="shared" si="830"/>
        <v>0</v>
      </c>
      <c r="AX197" s="1467">
        <f t="shared" si="831"/>
        <v>0</v>
      </c>
      <c r="AY197" s="1467">
        <f t="shared" si="832"/>
        <v>0</v>
      </c>
      <c r="AZ197" s="1467">
        <f t="shared" si="833"/>
        <v>0</v>
      </c>
      <c r="BA197" s="1467">
        <f t="shared" si="834"/>
        <v>0</v>
      </c>
      <c r="BB197" s="1467">
        <f t="shared" si="835"/>
        <v>0</v>
      </c>
      <c r="BC197" s="1467">
        <f t="shared" si="836"/>
        <v>0</v>
      </c>
      <c r="BD197" s="1467">
        <f t="shared" si="837"/>
        <v>0</v>
      </c>
      <c r="BE197" s="1467">
        <f t="shared" si="838"/>
        <v>0</v>
      </c>
      <c r="BF197" s="1467">
        <f t="shared" si="839"/>
        <v>0</v>
      </c>
      <c r="BG197" s="1467">
        <f t="shared" si="840"/>
        <v>0</v>
      </c>
      <c r="BH197" s="1467">
        <f t="shared" si="841"/>
        <v>0</v>
      </c>
      <c r="BI197" s="1467">
        <f t="shared" si="842"/>
        <v>0</v>
      </c>
      <c r="BJ197" s="1467">
        <f t="shared" si="843"/>
        <v>0</v>
      </c>
      <c r="BK197" s="1467">
        <f t="shared" si="844"/>
        <v>0</v>
      </c>
      <c r="BL197" s="1467">
        <f t="shared" si="845"/>
        <v>0</v>
      </c>
      <c r="BM197" s="1467">
        <f t="shared" si="846"/>
        <v>0</v>
      </c>
      <c r="BN197" s="1467">
        <f t="shared" si="847"/>
        <v>0</v>
      </c>
      <c r="BO197" s="1467">
        <f t="shared" si="848"/>
        <v>0</v>
      </c>
      <c r="BP197" s="1467">
        <f t="shared" si="849"/>
        <v>0</v>
      </c>
      <c r="BQ197" s="1467">
        <f t="shared" si="850"/>
        <v>0</v>
      </c>
      <c r="BR197" s="1467">
        <f t="shared" si="851"/>
        <v>0</v>
      </c>
      <c r="BS197" s="1467">
        <f t="shared" si="852"/>
        <v>0</v>
      </c>
      <c r="BT197" s="1467">
        <f t="shared" si="853"/>
        <v>0</v>
      </c>
      <c r="BU197" s="1467">
        <f t="shared" si="854"/>
        <v>0</v>
      </c>
      <c r="BV197" s="1490"/>
    </row>
    <row r="198" spans="1:74" x14ac:dyDescent="0.2">
      <c r="A198" s="927" t="str">
        <f t="shared" si="855"/>
        <v>Accelerated.Accelerated</v>
      </c>
      <c r="B198" s="1076"/>
      <c r="C198" s="1076" t="str">
        <f t="shared" si="863"/>
        <v>Accelerated</v>
      </c>
      <c r="D198" s="1076" t="str">
        <f>Assumptions!$AH$82</f>
        <v>Accelerated</v>
      </c>
      <c r="E198" s="1076" t="str">
        <f>'Wheat Standalone (Starch)'!H259</f>
        <v>Biogas Plant</v>
      </c>
      <c r="F198" s="1467">
        <f>SUM('Wheat Standalone (Starch)'!J259:K259)*1000000</f>
        <v>13000000</v>
      </c>
      <c r="G198" s="1467">
        <f t="shared" si="856"/>
        <v>16087500</v>
      </c>
      <c r="H198" s="1467">
        <f t="shared" si="857"/>
        <v>17696250</v>
      </c>
      <c r="I198" s="1467">
        <f t="shared" si="858"/>
        <v>17696250</v>
      </c>
      <c r="J198" s="1076">
        <f t="shared" si="864"/>
        <v>0.2</v>
      </c>
      <c r="K198" s="1107"/>
      <c r="L198" s="1467">
        <f t="shared" si="859"/>
        <v>3539250</v>
      </c>
      <c r="M198" s="1467">
        <f>($I198-SUM($L198:L198))*$J198</f>
        <v>2831400</v>
      </c>
      <c r="N198" s="1467">
        <f>($I198-SUM($L198:M198))*$J198</f>
        <v>2265120</v>
      </c>
      <c r="O198" s="1467">
        <f>($I198-SUM($L198:N198))*$J198</f>
        <v>1812096</v>
      </c>
      <c r="P198" s="1467">
        <f>($I198-SUM($L198:O198))*$J198</f>
        <v>1449676.8</v>
      </c>
      <c r="Q198" s="1467">
        <f>($I198-SUM($L198:P198))*$J198</f>
        <v>1159741.4399999999</v>
      </c>
      <c r="R198" s="1467">
        <f>($I198-SUM($L198:Q198))*$J198</f>
        <v>927793.152</v>
      </c>
      <c r="S198" s="1467">
        <f>($I198-SUM($L198:R198))*$J198</f>
        <v>742234.52159999986</v>
      </c>
      <c r="T198" s="1467">
        <f>($I198-SUM($L198:S198))*$J198</f>
        <v>593787.61727999977</v>
      </c>
      <c r="U198" s="1467">
        <f>($I198-SUM($L198:T198))*$J198</f>
        <v>475030.09382399992</v>
      </c>
      <c r="V198" s="1467">
        <f>($I198-SUM($L198:U198))*$J198</f>
        <v>380024.07505920011</v>
      </c>
      <c r="W198" s="1467">
        <f>($I198-SUM($L198:V198))*$J198</f>
        <v>304019.26004736015</v>
      </c>
      <c r="X198" s="1467">
        <f>($I198-SUM($L198:W198))*$J198</f>
        <v>243215.40803788826</v>
      </c>
      <c r="Y198" s="1467">
        <f>($I198-SUM($L198:X198))*$J198</f>
        <v>194572.3264303107</v>
      </c>
      <c r="Z198" s="1467">
        <f>($I198-SUM($L198:Y198))*$J198</f>
        <v>155657.8611442484</v>
      </c>
      <c r="AA198" s="1467">
        <f>($I198-SUM($L198:Z198))*$J198</f>
        <v>124526.28891539872</v>
      </c>
      <c r="AB198" s="1467">
        <f>($I198-SUM($L198:AA198))*$J198</f>
        <v>99621.031132318836</v>
      </c>
      <c r="AC198" s="1467">
        <f>($I198-SUM($L198:AB198))*$J198</f>
        <v>79696.824905855217</v>
      </c>
      <c r="AD198" s="1467">
        <f>($I198-SUM($L198:AC198))*$J198</f>
        <v>63757.459924684466</v>
      </c>
      <c r="AE198" s="1467">
        <f>($I198-SUM($L198:AD198))*$J198</f>
        <v>51005.967939747876</v>
      </c>
      <c r="AF198" s="1467">
        <f>($I198-SUM($L198:AE198))*$J198</f>
        <v>40804.774351797998</v>
      </c>
      <c r="AG198" s="1467">
        <f>($I198-SUM($L198:AF198))*$J198</f>
        <v>32643.819481438401</v>
      </c>
      <c r="AH198" s="1467">
        <f>($I198-SUM($L198:AG198))*$J198</f>
        <v>26115.055585150421</v>
      </c>
      <c r="AI198" s="1467">
        <f>($I198-SUM($L198:AH198))*$J198</f>
        <v>20892.044468120486</v>
      </c>
      <c r="AJ198" s="1467">
        <f>($I198-SUM($L198:AI198))*$J198</f>
        <v>16713.635574496537</v>
      </c>
      <c r="AK198" s="1467">
        <f>($I198-SUM($L198:AJ198))*$J198</f>
        <v>13370.908459597082</v>
      </c>
      <c r="AL198" s="1467">
        <f>($I198-SUM($L198:AK198))*$J198</f>
        <v>10696.726767677814</v>
      </c>
      <c r="AM198" s="1467">
        <f>($I198-SUM($L198:AL198))*$J198</f>
        <v>8557.3814141422517</v>
      </c>
      <c r="AN198" s="1467">
        <f>($I198-SUM($L198:AM198))*$J198</f>
        <v>6845.9051313139498</v>
      </c>
      <c r="AO198" s="1467">
        <f>($I198-SUM($L198:AN198))*$J198</f>
        <v>5476.7241050511602</v>
      </c>
      <c r="AP198" s="1468">
        <f t="shared" si="860"/>
        <v>17674343.103579797</v>
      </c>
      <c r="AQ198" s="1478"/>
      <c r="AR198" s="1467">
        <f t="shared" si="861"/>
        <v>14157000</v>
      </c>
      <c r="AS198" s="1467">
        <f t="shared" si="862"/>
        <v>11325600</v>
      </c>
      <c r="AT198" s="1467">
        <f t="shared" si="827"/>
        <v>9060480</v>
      </c>
      <c r="AU198" s="1467">
        <f t="shared" si="828"/>
        <v>7248384</v>
      </c>
      <c r="AV198" s="1467">
        <f t="shared" si="829"/>
        <v>5798707.2000000002</v>
      </c>
      <c r="AW198" s="1467">
        <f t="shared" si="830"/>
        <v>4638965.7599999998</v>
      </c>
      <c r="AX198" s="1467">
        <f t="shared" si="831"/>
        <v>3711172.608</v>
      </c>
      <c r="AY198" s="1467">
        <f t="shared" si="832"/>
        <v>2968938.0864000004</v>
      </c>
      <c r="AZ198" s="1467">
        <f t="shared" si="833"/>
        <v>2375150.4691200005</v>
      </c>
      <c r="BA198" s="1467">
        <f t="shared" si="834"/>
        <v>1900120.3752960006</v>
      </c>
      <c r="BB198" s="1467">
        <f t="shared" si="835"/>
        <v>1520096.3002368005</v>
      </c>
      <c r="BC198" s="1467">
        <f t="shared" si="836"/>
        <v>1216077.0401894404</v>
      </c>
      <c r="BD198" s="1467">
        <f t="shared" si="837"/>
        <v>972861.63215155213</v>
      </c>
      <c r="BE198" s="1467">
        <f t="shared" si="838"/>
        <v>778289.3057212414</v>
      </c>
      <c r="BF198" s="1467">
        <f t="shared" si="839"/>
        <v>622631.444576993</v>
      </c>
      <c r="BG198" s="1467">
        <f t="shared" si="840"/>
        <v>498105.1556615943</v>
      </c>
      <c r="BH198" s="1467">
        <f t="shared" si="841"/>
        <v>398484.12452927546</v>
      </c>
      <c r="BI198" s="1467">
        <f t="shared" si="842"/>
        <v>318787.29962342023</v>
      </c>
      <c r="BJ198" s="1467">
        <f t="shared" si="843"/>
        <v>255029.83969873577</v>
      </c>
      <c r="BK198" s="1467">
        <f t="shared" si="844"/>
        <v>204023.87175898789</v>
      </c>
      <c r="BL198" s="1467">
        <f t="shared" si="845"/>
        <v>163219.0974071899</v>
      </c>
      <c r="BM198" s="1467">
        <f t="shared" si="846"/>
        <v>130575.27792575149</v>
      </c>
      <c r="BN198" s="1467">
        <f t="shared" si="847"/>
        <v>104460.22234060107</v>
      </c>
      <c r="BO198" s="1467">
        <f t="shared" si="848"/>
        <v>83568.177872480592</v>
      </c>
      <c r="BP198" s="1467">
        <f t="shared" si="849"/>
        <v>66854.542297984051</v>
      </c>
      <c r="BQ198" s="1467">
        <f t="shared" si="850"/>
        <v>53483.633838386973</v>
      </c>
      <c r="BR198" s="1467">
        <f t="shared" si="851"/>
        <v>42786.90707070916</v>
      </c>
      <c r="BS198" s="1467">
        <f t="shared" si="852"/>
        <v>34229.525656566911</v>
      </c>
      <c r="BT198" s="1467">
        <f t="shared" si="853"/>
        <v>27383.620525252962</v>
      </c>
      <c r="BU198" s="1467">
        <f t="shared" si="854"/>
        <v>21906.896420201803</v>
      </c>
      <c r="BV198" s="1490"/>
    </row>
    <row r="199" spans="1:74" x14ac:dyDescent="0.2">
      <c r="A199" s="927" t="str">
        <f t="shared" si="855"/>
        <v>Accelerated.Accelerated</v>
      </c>
      <c r="B199" s="1076"/>
      <c r="C199" s="1076" t="str">
        <f t="shared" si="863"/>
        <v>Accelerated</v>
      </c>
      <c r="D199" s="1076" t="str">
        <f>Assumptions!$AH$82</f>
        <v>Accelerated</v>
      </c>
      <c r="E199" s="1076" t="str">
        <f>'Wheat Standalone (Starch)'!H260</f>
        <v>Cogeneration Plant</v>
      </c>
      <c r="F199" s="1467">
        <f>SUM('Wheat Standalone (Starch)'!J260:K260)*1000000</f>
        <v>10000000</v>
      </c>
      <c r="G199" s="1467">
        <f t="shared" si="856"/>
        <v>12375000</v>
      </c>
      <c r="H199" s="1467">
        <f t="shared" si="857"/>
        <v>13612500.000000002</v>
      </c>
      <c r="I199" s="1467">
        <f t="shared" si="858"/>
        <v>13612500.000000002</v>
      </c>
      <c r="J199" s="1076">
        <f t="shared" si="864"/>
        <v>0.2</v>
      </c>
      <c r="K199" s="1107"/>
      <c r="L199" s="1467">
        <f t="shared" si="859"/>
        <v>2722500.0000000005</v>
      </c>
      <c r="M199" s="1467">
        <f>($I199-SUM($L199:L199))*$J199</f>
        <v>2178000.0000000005</v>
      </c>
      <c r="N199" s="1467">
        <f>($I199-SUM($L199:M199))*$J199</f>
        <v>1742400</v>
      </c>
      <c r="O199" s="1467">
        <f>($I199-SUM($L199:N199))*$J199</f>
        <v>1393920.0000000002</v>
      </c>
      <c r="P199" s="1467">
        <f>($I199-SUM($L199:O199))*$J199</f>
        <v>1115136.0000000002</v>
      </c>
      <c r="Q199" s="1467">
        <f>($I199-SUM($L199:P199))*$J199</f>
        <v>892108.80000000005</v>
      </c>
      <c r="R199" s="1467">
        <f>($I199-SUM($L199:Q199))*$J199</f>
        <v>713687.03999999992</v>
      </c>
      <c r="S199" s="1467">
        <f>($I199-SUM($L199:R199))*$J199</f>
        <v>570949.6320000001</v>
      </c>
      <c r="T199" s="1467">
        <f>($I199-SUM($L199:S199))*$J199</f>
        <v>456759.70560000022</v>
      </c>
      <c r="U199" s="1467">
        <f>($I199-SUM($L199:T199))*$J199</f>
        <v>365407.76448000001</v>
      </c>
      <c r="V199" s="1467">
        <f>($I199-SUM($L199:U199))*$J199</f>
        <v>292326.21158399992</v>
      </c>
      <c r="W199" s="1467">
        <f>($I199-SUM($L199:V199))*$J199</f>
        <v>233860.96926719995</v>
      </c>
      <c r="X199" s="1467">
        <f>($I199-SUM($L199:W199))*$J199</f>
        <v>187088.77541375981</v>
      </c>
      <c r="Y199" s="1467">
        <f>($I199-SUM($L199:X199))*$J199</f>
        <v>149671.02033100798</v>
      </c>
      <c r="Z199" s="1467">
        <f>($I199-SUM($L199:Y199))*$J199</f>
        <v>119736.81626480632</v>
      </c>
      <c r="AA199" s="1467">
        <f>($I199-SUM($L199:Z199))*$J199</f>
        <v>95789.453011845064</v>
      </c>
      <c r="AB199" s="1467">
        <f>($I199-SUM($L199:AA199))*$J199</f>
        <v>76631.562409476188</v>
      </c>
      <c r="AC199" s="1467">
        <f>($I199-SUM($L199:AB199))*$J199</f>
        <v>61305.249927581106</v>
      </c>
      <c r="AD199" s="1467">
        <f>($I199-SUM($L199:AC199))*$J199</f>
        <v>49044.199942065032</v>
      </c>
      <c r="AE199" s="1467">
        <f>($I199-SUM($L199:AD199))*$J199</f>
        <v>39235.359953651954</v>
      </c>
      <c r="AF199" s="1467">
        <f>($I199-SUM($L199:AE199))*$J199</f>
        <v>31388.28796292171</v>
      </c>
      <c r="AG199" s="1467">
        <f>($I199-SUM($L199:AF199))*$J199</f>
        <v>25110.630370337516</v>
      </c>
      <c r="AH199" s="1467">
        <f>($I199-SUM($L199:AG199))*$J199</f>
        <v>20088.504296270014</v>
      </c>
      <c r="AI199" s="1467">
        <f>($I199-SUM($L199:AH199))*$J199</f>
        <v>16070.80343701616</v>
      </c>
      <c r="AJ199" s="1467">
        <f>($I199-SUM($L199:AI199))*$J199</f>
        <v>12856.64274961278</v>
      </c>
      <c r="AK199" s="1467">
        <f>($I199-SUM($L199:AJ199))*$J199</f>
        <v>10285.314199690149</v>
      </c>
      <c r="AL199" s="1467">
        <f>($I199-SUM($L199:AK199))*$J199</f>
        <v>8228.2513597521938</v>
      </c>
      <c r="AM199" s="1467">
        <f>($I199-SUM($L199:AL199))*$J199</f>
        <v>6582.6010878019042</v>
      </c>
      <c r="AN199" s="1467">
        <f>($I199-SUM($L199:AM199))*$J199</f>
        <v>5266.0808702416725</v>
      </c>
      <c r="AO199" s="1467">
        <f>($I199-SUM($L199:AN199))*$J199</f>
        <v>4212.8646961934865</v>
      </c>
      <c r="AP199" s="1468">
        <f t="shared" si="860"/>
        <v>13595648.541215228</v>
      </c>
      <c r="AQ199" s="1478"/>
      <c r="AR199" s="1467">
        <f t="shared" si="861"/>
        <v>10890000.000000002</v>
      </c>
      <c r="AS199" s="1467">
        <f t="shared" si="862"/>
        <v>8712000.0000000019</v>
      </c>
      <c r="AT199" s="1467">
        <f t="shared" si="827"/>
        <v>6969600.0000000019</v>
      </c>
      <c r="AU199" s="1467">
        <f t="shared" si="828"/>
        <v>5575680.0000000019</v>
      </c>
      <c r="AV199" s="1467">
        <f t="shared" si="829"/>
        <v>4460544.0000000019</v>
      </c>
      <c r="AW199" s="1467">
        <f t="shared" si="830"/>
        <v>3568435.200000002</v>
      </c>
      <c r="AX199" s="1467">
        <f t="shared" si="831"/>
        <v>2854748.160000002</v>
      </c>
      <c r="AY199" s="1467">
        <f t="shared" si="832"/>
        <v>2283798.5280000018</v>
      </c>
      <c r="AZ199" s="1467">
        <f t="shared" si="833"/>
        <v>1827038.8224000016</v>
      </c>
      <c r="BA199" s="1467">
        <f t="shared" si="834"/>
        <v>1461631.0579200014</v>
      </c>
      <c r="BB199" s="1467">
        <f t="shared" si="835"/>
        <v>1169304.8463360015</v>
      </c>
      <c r="BC199" s="1467">
        <f t="shared" si="836"/>
        <v>935443.87706880155</v>
      </c>
      <c r="BD199" s="1467">
        <f t="shared" si="837"/>
        <v>748355.1016550418</v>
      </c>
      <c r="BE199" s="1467">
        <f t="shared" si="838"/>
        <v>598684.08132403379</v>
      </c>
      <c r="BF199" s="1467">
        <f t="shared" si="839"/>
        <v>478947.26505922747</v>
      </c>
      <c r="BG199" s="1467">
        <f t="shared" si="840"/>
        <v>383157.81204738241</v>
      </c>
      <c r="BH199" s="1467">
        <f t="shared" si="841"/>
        <v>306526.24963790621</v>
      </c>
      <c r="BI199" s="1467">
        <f t="shared" si="842"/>
        <v>245220.99971032509</v>
      </c>
      <c r="BJ199" s="1467">
        <f t="shared" si="843"/>
        <v>196176.79976826007</v>
      </c>
      <c r="BK199" s="1467">
        <f t="shared" si="844"/>
        <v>156941.43981460811</v>
      </c>
      <c r="BL199" s="1467">
        <f t="shared" si="845"/>
        <v>125553.1518516864</v>
      </c>
      <c r="BM199" s="1467">
        <f t="shared" si="846"/>
        <v>100442.52148134889</v>
      </c>
      <c r="BN199" s="1467">
        <f t="shared" si="847"/>
        <v>80354.017185078876</v>
      </c>
      <c r="BO199" s="1467">
        <f t="shared" si="848"/>
        <v>64283.213748062713</v>
      </c>
      <c r="BP199" s="1467">
        <f t="shared" si="849"/>
        <v>51426.570998449934</v>
      </c>
      <c r="BQ199" s="1467">
        <f t="shared" si="850"/>
        <v>41141.256798759787</v>
      </c>
      <c r="BR199" s="1467">
        <f t="shared" si="851"/>
        <v>32913.005439007597</v>
      </c>
      <c r="BS199" s="1467">
        <f t="shared" si="852"/>
        <v>26330.404351205692</v>
      </c>
      <c r="BT199" s="1467">
        <f t="shared" si="853"/>
        <v>21064.32348096402</v>
      </c>
      <c r="BU199" s="1467">
        <f t="shared" si="854"/>
        <v>16851.458784770533</v>
      </c>
      <c r="BV199" s="1490"/>
    </row>
    <row r="200" spans="1:74" x14ac:dyDescent="0.2">
      <c r="A200" s="927" t="str">
        <f t="shared" si="855"/>
        <v>Accelerated.Accelerated</v>
      </c>
      <c r="B200" s="1076"/>
      <c r="C200" s="1168" t="str">
        <f t="shared" si="863"/>
        <v>Accelerated</v>
      </c>
      <c r="D200" s="1168" t="str">
        <f>Assumptions!$AH$82</f>
        <v>Accelerated</v>
      </c>
      <c r="E200" s="1168" t="str">
        <f>'Wheat Standalone (Starch)'!H261</f>
        <v>Non-process buildings</v>
      </c>
      <c r="F200" s="1469">
        <f>SUM('Wheat Standalone (Starch)'!J261:K261)*1000000</f>
        <v>5000000</v>
      </c>
      <c r="G200" s="1469">
        <f t="shared" si="856"/>
        <v>6187500</v>
      </c>
      <c r="H200" s="1469">
        <f t="shared" si="857"/>
        <v>6806250.0000000009</v>
      </c>
      <c r="I200" s="1469">
        <f t="shared" si="858"/>
        <v>6806250.0000000009</v>
      </c>
      <c r="J200" s="1168">
        <f t="shared" si="864"/>
        <v>0.2</v>
      </c>
      <c r="K200" s="1107"/>
      <c r="L200" s="1467">
        <f t="shared" si="859"/>
        <v>1361250.0000000002</v>
      </c>
      <c r="M200" s="1467">
        <f>($I200-SUM($L200:L200))*$J200</f>
        <v>1089000.0000000002</v>
      </c>
      <c r="N200" s="1467">
        <f>($I200-SUM($L200:M200))*$J200</f>
        <v>871200</v>
      </c>
      <c r="O200" s="1467">
        <f>($I200-SUM($L200:N200))*$J200</f>
        <v>696960.00000000012</v>
      </c>
      <c r="P200" s="1467">
        <f>($I200-SUM($L200:O200))*$J200</f>
        <v>557568.00000000012</v>
      </c>
      <c r="Q200" s="1467">
        <f>($I200-SUM($L200:P200))*$J200</f>
        <v>446054.40000000002</v>
      </c>
      <c r="R200" s="1467">
        <f>($I200-SUM($L200:Q200))*$J200</f>
        <v>356843.51999999996</v>
      </c>
      <c r="S200" s="1467">
        <f>($I200-SUM($L200:R200))*$J200</f>
        <v>285474.81600000005</v>
      </c>
      <c r="T200" s="1467">
        <f>($I200-SUM($L200:S200))*$J200</f>
        <v>228379.85280000011</v>
      </c>
      <c r="U200" s="1467">
        <f>($I200-SUM($L200:T200))*$J200</f>
        <v>182703.88224000001</v>
      </c>
      <c r="V200" s="1467">
        <f>($I200-SUM($L200:U200))*$J200</f>
        <v>146163.10579199996</v>
      </c>
      <c r="W200" s="1467">
        <f>($I200-SUM($L200:V200))*$J200</f>
        <v>116930.48463359998</v>
      </c>
      <c r="X200" s="1467">
        <f>($I200-SUM($L200:W200))*$J200</f>
        <v>93544.387706879905</v>
      </c>
      <c r="Y200" s="1467">
        <f>($I200-SUM($L200:X200))*$J200</f>
        <v>74835.510165503991</v>
      </c>
      <c r="Z200" s="1467">
        <f>($I200-SUM($L200:Y200))*$J200</f>
        <v>59868.408132403158</v>
      </c>
      <c r="AA200" s="1467">
        <f>($I200-SUM($L200:Z200))*$J200</f>
        <v>47894.726505922532</v>
      </c>
      <c r="AB200" s="1467">
        <f>($I200-SUM($L200:AA200))*$J200</f>
        <v>38315.781204738094</v>
      </c>
      <c r="AC200" s="1467">
        <f>($I200-SUM($L200:AB200))*$J200</f>
        <v>30652.624963790553</v>
      </c>
      <c r="AD200" s="1467">
        <f>($I200-SUM($L200:AC200))*$J200</f>
        <v>24522.099971032516</v>
      </c>
      <c r="AE200" s="1467">
        <f>($I200-SUM($L200:AD200))*$J200</f>
        <v>19617.679976825977</v>
      </c>
      <c r="AF200" s="1467">
        <f>($I200-SUM($L200:AE200))*$J200</f>
        <v>15694.143981460855</v>
      </c>
      <c r="AG200" s="1467">
        <f>($I200-SUM($L200:AF200))*$J200</f>
        <v>12555.315185168758</v>
      </c>
      <c r="AH200" s="1467">
        <f>($I200-SUM($L200:AG200))*$J200</f>
        <v>10044.252148135007</v>
      </c>
      <c r="AI200" s="1467">
        <f>($I200-SUM($L200:AH200))*$J200</f>
        <v>8035.4017185080802</v>
      </c>
      <c r="AJ200" s="1467">
        <f>($I200-SUM($L200:AI200))*$J200</f>
        <v>6428.3213748063899</v>
      </c>
      <c r="AK200" s="1467">
        <f>($I200-SUM($L200:AJ200))*$J200</f>
        <v>5142.6570998450743</v>
      </c>
      <c r="AL200" s="1467">
        <f>($I200-SUM($L200:AK200))*$J200</f>
        <v>4114.1256798760969</v>
      </c>
      <c r="AM200" s="1467">
        <f>($I200-SUM($L200:AL200))*$J200</f>
        <v>3291.3005439009521</v>
      </c>
      <c r="AN200" s="1467">
        <f>($I200-SUM($L200:AM200))*$J200</f>
        <v>2633.0404351208363</v>
      </c>
      <c r="AO200" s="1467">
        <f>($I200-SUM($L200:AN200))*$J200</f>
        <v>2106.4323480967432</v>
      </c>
      <c r="AP200" s="1468">
        <f t="shared" si="860"/>
        <v>6797824.270607614</v>
      </c>
      <c r="AQ200" s="1478"/>
      <c r="AR200" s="1467">
        <f t="shared" si="861"/>
        <v>5445000.0000000009</v>
      </c>
      <c r="AS200" s="1467">
        <f t="shared" si="862"/>
        <v>4356000.0000000009</v>
      </c>
      <c r="AT200" s="1467">
        <f t="shared" si="827"/>
        <v>3484800.0000000009</v>
      </c>
      <c r="AU200" s="1467">
        <f t="shared" si="828"/>
        <v>2787840.0000000009</v>
      </c>
      <c r="AV200" s="1467">
        <f t="shared" si="829"/>
        <v>2230272.0000000009</v>
      </c>
      <c r="AW200" s="1467">
        <f t="shared" si="830"/>
        <v>1784217.600000001</v>
      </c>
      <c r="AX200" s="1467">
        <f t="shared" si="831"/>
        <v>1427374.080000001</v>
      </c>
      <c r="AY200" s="1467">
        <f t="shared" si="832"/>
        <v>1141899.2640000009</v>
      </c>
      <c r="AZ200" s="1467">
        <f t="shared" si="833"/>
        <v>913519.41120000079</v>
      </c>
      <c r="BA200" s="1467">
        <f t="shared" si="834"/>
        <v>730815.52896000072</v>
      </c>
      <c r="BB200" s="1467">
        <f t="shared" si="835"/>
        <v>584652.42316800077</v>
      </c>
      <c r="BC200" s="1467">
        <f t="shared" si="836"/>
        <v>467721.93853440078</v>
      </c>
      <c r="BD200" s="1467">
        <f t="shared" si="837"/>
        <v>374177.5508275209</v>
      </c>
      <c r="BE200" s="1467">
        <f t="shared" si="838"/>
        <v>299342.04066201689</v>
      </c>
      <c r="BF200" s="1467">
        <f t="shared" si="839"/>
        <v>239473.63252961374</v>
      </c>
      <c r="BG200" s="1467">
        <f t="shared" si="840"/>
        <v>191578.9060236912</v>
      </c>
      <c r="BH200" s="1467">
        <f t="shared" si="841"/>
        <v>153263.1248189531</v>
      </c>
      <c r="BI200" s="1467">
        <f t="shared" si="842"/>
        <v>122610.49985516255</v>
      </c>
      <c r="BJ200" s="1467">
        <f t="shared" si="843"/>
        <v>98088.399884130034</v>
      </c>
      <c r="BK200" s="1467">
        <f t="shared" si="844"/>
        <v>78470.719907304054</v>
      </c>
      <c r="BL200" s="1467">
        <f t="shared" si="845"/>
        <v>62776.575925843201</v>
      </c>
      <c r="BM200" s="1467">
        <f t="shared" si="846"/>
        <v>50221.260740674443</v>
      </c>
      <c r="BN200" s="1467">
        <f t="shared" si="847"/>
        <v>40177.008592539438</v>
      </c>
      <c r="BO200" s="1467">
        <f t="shared" si="848"/>
        <v>32141.606874031357</v>
      </c>
      <c r="BP200" s="1467">
        <f t="shared" si="849"/>
        <v>25713.285499224967</v>
      </c>
      <c r="BQ200" s="1467">
        <f t="shared" si="850"/>
        <v>20570.628399379893</v>
      </c>
      <c r="BR200" s="1467">
        <f t="shared" si="851"/>
        <v>16456.502719503798</v>
      </c>
      <c r="BS200" s="1467">
        <f t="shared" si="852"/>
        <v>13165.202175602846</v>
      </c>
      <c r="BT200" s="1467">
        <f t="shared" si="853"/>
        <v>10532.16174048201</v>
      </c>
      <c r="BU200" s="1467">
        <f t="shared" si="854"/>
        <v>8425.7293923852667</v>
      </c>
      <c r="BV200" s="1490"/>
    </row>
    <row r="201" spans="1:74" x14ac:dyDescent="0.2">
      <c r="A201" s="927" t="str">
        <f t="shared" si="855"/>
        <v>Accelerated.Accelerated</v>
      </c>
      <c r="C201" s="1470" t="str">
        <f t="shared" si="863"/>
        <v>Accelerated</v>
      </c>
      <c r="D201" s="1470" t="str">
        <f>Assumptions!$AH$82</f>
        <v>Accelerated</v>
      </c>
      <c r="E201" s="1470" t="s">
        <v>995</v>
      </c>
      <c r="F201" s="1470"/>
      <c r="G201" s="1471">
        <f>SUM('Wheat Standalone (Starch)'!$J$264:$K$265)*10^6</f>
        <v>15000000</v>
      </c>
      <c r="H201" s="1471">
        <f t="shared" ref="H201" si="865">G201*(1+$F$5)</f>
        <v>16500000.000000002</v>
      </c>
      <c r="I201" s="1471">
        <f t="shared" ref="I201" si="866">H201*(1+$F$6)</f>
        <v>16500000.000000002</v>
      </c>
      <c r="J201" s="1470">
        <f t="shared" si="864"/>
        <v>0.2</v>
      </c>
      <c r="K201" s="1107"/>
      <c r="L201" s="1467">
        <f t="shared" si="859"/>
        <v>3300000.0000000005</v>
      </c>
      <c r="M201" s="1467">
        <f>($I201-SUM($L201:L201))*$J201</f>
        <v>2640000.0000000005</v>
      </c>
      <c r="N201" s="1467">
        <f>($I201-SUM($L201:M201))*$J201</f>
        <v>2112000</v>
      </c>
      <c r="O201" s="1467">
        <f>($I201-SUM($L201:N201))*$J201</f>
        <v>1689600</v>
      </c>
      <c r="P201" s="1467">
        <f>($I201-SUM($L201:O201))*$J201</f>
        <v>1351680.0000000005</v>
      </c>
      <c r="Q201" s="1467">
        <f>($I201-SUM($L201:P201))*$J201</f>
        <v>1081344.0000000005</v>
      </c>
      <c r="R201" s="1467">
        <f>($I201-SUM($L201:Q201))*$J201</f>
        <v>865075.20000000042</v>
      </c>
      <c r="S201" s="1467">
        <f>($I201-SUM($L201:R201))*$J201</f>
        <v>692060.16000000015</v>
      </c>
      <c r="T201" s="1467">
        <f>($I201-SUM($L201:S201))*$J201</f>
        <v>553648.12800000014</v>
      </c>
      <c r="U201" s="1467">
        <f>($I201-SUM($L201:T201))*$J201</f>
        <v>442918.50240000006</v>
      </c>
      <c r="V201" s="1467">
        <f>($I201-SUM($L201:U201))*$J201</f>
        <v>354334.80192000011</v>
      </c>
      <c r="W201" s="1467">
        <f>($I201-SUM($L201:V201))*$J201</f>
        <v>283467.84153600002</v>
      </c>
      <c r="X201" s="1467">
        <f>($I201-SUM($L201:W201))*$J201</f>
        <v>226774.27322879992</v>
      </c>
      <c r="Y201" s="1467">
        <f>($I201-SUM($L201:X201))*$J201</f>
        <v>181419.41858303995</v>
      </c>
      <c r="Z201" s="1467">
        <f>($I201-SUM($L201:Y201))*$J201</f>
        <v>145135.53486643211</v>
      </c>
      <c r="AA201" s="1467">
        <f>($I201-SUM($L201:Z201))*$J201</f>
        <v>116108.42789314577</v>
      </c>
      <c r="AB201" s="1467">
        <f>($I201-SUM($L201:AA201))*$J201</f>
        <v>92886.742314516756</v>
      </c>
      <c r="AC201" s="1467">
        <f>($I201-SUM($L201:AB201))*$J201</f>
        <v>74309.393851613262</v>
      </c>
      <c r="AD201" s="1467">
        <f>($I201-SUM($L201:AC201))*$J201</f>
        <v>59447.515081290534</v>
      </c>
      <c r="AE201" s="1467">
        <f>($I201-SUM($L201:AD201))*$J201</f>
        <v>47558.012065032497</v>
      </c>
      <c r="AF201" s="1467">
        <f>($I201-SUM($L201:AE201))*$J201</f>
        <v>38046.409652025999</v>
      </c>
      <c r="AG201" s="1467">
        <f>($I201-SUM($L201:AF201))*$J201</f>
        <v>30437.127721620724</v>
      </c>
      <c r="AH201" s="1467">
        <f>($I201-SUM($L201:AG201))*$J201</f>
        <v>24349.702177296582</v>
      </c>
      <c r="AI201" s="1467">
        <f>($I201-SUM($L201:AH201))*$J201</f>
        <v>19479.761741837116</v>
      </c>
      <c r="AJ201" s="1467">
        <f>($I201-SUM($L201:AI201))*$J201</f>
        <v>15583.809393469617</v>
      </c>
      <c r="AK201" s="1467">
        <f>($I201-SUM($L201:AJ201))*$J201</f>
        <v>12467.047514775768</v>
      </c>
      <c r="AL201" s="1467">
        <f>($I201-SUM($L201:AK201))*$J201</f>
        <v>9973.6380118206143</v>
      </c>
      <c r="AM201" s="1467">
        <f>($I201-SUM($L201:AL201))*$J201</f>
        <v>7978.9104094564918</v>
      </c>
      <c r="AN201" s="1467">
        <f>($I201-SUM($L201:AM201))*$J201</f>
        <v>6383.1283275652677</v>
      </c>
      <c r="AO201" s="1467">
        <f>($I201-SUM($L201:AN201))*$J201</f>
        <v>5106.5026620522149</v>
      </c>
      <c r="AP201" s="1468">
        <f t="shared" ref="AP201" si="867">SUM(L201:AO201)</f>
        <v>16479573.989351792</v>
      </c>
      <c r="AQ201" s="1478"/>
      <c r="AR201" s="1467">
        <f t="shared" ref="AR201" si="868">I201-L201</f>
        <v>13200000.000000002</v>
      </c>
      <c r="AS201" s="1467">
        <f t="shared" ref="AS201" si="869">AR201-M201</f>
        <v>10560000.000000002</v>
      </c>
      <c r="AT201" s="1467">
        <f t="shared" ref="AT201" si="870">AS201-N201</f>
        <v>8448000.0000000019</v>
      </c>
      <c r="AU201" s="1467">
        <f t="shared" ref="AU201" si="871">AT201-O201</f>
        <v>6758400.0000000019</v>
      </c>
      <c r="AV201" s="1467">
        <f t="shared" ref="AV201" si="872">AU201-P201</f>
        <v>5406720.0000000019</v>
      </c>
      <c r="AW201" s="1467">
        <f t="shared" ref="AW201" si="873">AV201-Q201</f>
        <v>4325376.0000000019</v>
      </c>
      <c r="AX201" s="1467">
        <f t="shared" ref="AX201" si="874">AW201-R201</f>
        <v>3460300.8000000017</v>
      </c>
      <c r="AY201" s="1467">
        <f t="shared" ref="AY201" si="875">AX201-S201</f>
        <v>2768240.6400000015</v>
      </c>
      <c r="AZ201" s="1467">
        <f t="shared" ref="AZ201" si="876">AY201-T201</f>
        <v>2214592.5120000015</v>
      </c>
      <c r="BA201" s="1467">
        <f t="shared" ref="BA201" si="877">AZ201-U201</f>
        <v>1771674.0096000014</v>
      </c>
      <c r="BB201" s="1467">
        <f t="shared" ref="BB201" si="878">BA201-V201</f>
        <v>1417339.2076800014</v>
      </c>
      <c r="BC201" s="1467">
        <f t="shared" ref="BC201" si="879">BB201-W201</f>
        <v>1133871.3661440015</v>
      </c>
      <c r="BD201" s="1467">
        <f t="shared" ref="BD201" si="880">BC201-X201</f>
        <v>907097.09291520156</v>
      </c>
      <c r="BE201" s="1467">
        <f t="shared" ref="BE201" si="881">BD201-Y201</f>
        <v>725677.67433216167</v>
      </c>
      <c r="BF201" s="1467">
        <f t="shared" ref="BF201" si="882">BE201-Z201</f>
        <v>580542.13946572959</v>
      </c>
      <c r="BG201" s="1467">
        <f t="shared" ref="BG201" si="883">BF201-AA201</f>
        <v>464433.71157258382</v>
      </c>
      <c r="BH201" s="1467">
        <f t="shared" ref="BH201" si="884">BG201-AB201</f>
        <v>371546.96925806708</v>
      </c>
      <c r="BI201" s="1467">
        <f t="shared" ref="BI201" si="885">BH201-AC201</f>
        <v>297237.57540645381</v>
      </c>
      <c r="BJ201" s="1467">
        <f t="shared" ref="BJ201" si="886">BI201-AD201</f>
        <v>237790.06032516327</v>
      </c>
      <c r="BK201" s="1467">
        <f t="shared" ref="BK201" si="887">BJ201-AE201</f>
        <v>190232.04826013077</v>
      </c>
      <c r="BL201" s="1467">
        <f t="shared" ref="BL201" si="888">BK201-AF201</f>
        <v>152185.63860810478</v>
      </c>
      <c r="BM201" s="1467">
        <f t="shared" ref="BM201" si="889">BL201-AG201</f>
        <v>121748.51088648406</v>
      </c>
      <c r="BN201" s="1467">
        <f t="shared" ref="BN201" si="890">BM201-AH201</f>
        <v>97398.808709187477</v>
      </c>
      <c r="BO201" s="1467">
        <f t="shared" ref="BO201" si="891">BN201-AI201</f>
        <v>77919.046967350354</v>
      </c>
      <c r="BP201" s="1467">
        <f t="shared" ref="BP201" si="892">BO201-AJ201</f>
        <v>62335.237573880739</v>
      </c>
      <c r="BQ201" s="1467">
        <f t="shared" ref="BQ201" si="893">BP201-AK201</f>
        <v>49868.190059104971</v>
      </c>
      <c r="BR201" s="1467">
        <f t="shared" ref="BR201" si="894">BQ201-AL201</f>
        <v>39894.552047284356</v>
      </c>
      <c r="BS201" s="1467">
        <f t="shared" ref="BS201" si="895">BR201-AM201</f>
        <v>31915.641637827866</v>
      </c>
      <c r="BT201" s="1467">
        <f t="shared" ref="BT201" si="896">BS201-AN201</f>
        <v>25532.513310262599</v>
      </c>
      <c r="BU201" s="1467">
        <f t="shared" ref="BU201" si="897">BT201-AO201</f>
        <v>20426.010648210384</v>
      </c>
      <c r="BV201" s="1490"/>
    </row>
    <row r="202" spans="1:74" x14ac:dyDescent="0.2">
      <c r="A202" s="927" t="str">
        <f t="shared" si="855"/>
        <v>.</v>
      </c>
      <c r="B202" s="1297" t="str">
        <f>Assumptions!$AH$81</f>
        <v>Straight-Line</v>
      </c>
      <c r="C202" s="1107"/>
      <c r="D202" s="1107"/>
      <c r="E202" s="1107"/>
      <c r="F202" s="1107"/>
      <c r="G202" s="1107">
        <f t="shared" si="856"/>
        <v>0</v>
      </c>
      <c r="H202" s="1107">
        <f t="shared" si="857"/>
        <v>0</v>
      </c>
      <c r="I202" s="1107">
        <f t="shared" si="858"/>
        <v>0</v>
      </c>
      <c r="J202" s="1472">
        <f>IFERROR(INDEX(Assumptions!$AI$82:$AI$164,MATCH(Depreciation!$D202,Assumptions!$AH$81:$AH$163,0)),0)</f>
        <v>0</v>
      </c>
      <c r="K202" s="1107"/>
      <c r="L202" s="1107">
        <f t="shared" si="859"/>
        <v>0</v>
      </c>
      <c r="M202" s="1107">
        <f t="shared" ref="M202" si="898">L202*$J202</f>
        <v>0</v>
      </c>
      <c r="N202" s="1107"/>
      <c r="O202" s="1107"/>
      <c r="P202" s="1107"/>
      <c r="Q202" s="1107"/>
      <c r="R202" s="1107"/>
      <c r="S202" s="1107"/>
      <c r="T202" s="1107"/>
      <c r="U202" s="1107"/>
      <c r="V202" s="1107"/>
      <c r="W202" s="1107"/>
      <c r="X202" s="1107"/>
      <c r="Y202" s="1107"/>
      <c r="Z202" s="1107"/>
      <c r="AA202" s="1107"/>
      <c r="AB202" s="1107"/>
      <c r="AC202" s="1107"/>
      <c r="AD202" s="1107"/>
      <c r="AE202" s="1107"/>
      <c r="AF202" s="1107"/>
      <c r="AG202" s="1107"/>
      <c r="AH202" s="1107"/>
      <c r="AI202" s="1107"/>
      <c r="AJ202" s="1107"/>
      <c r="AK202" s="1107"/>
      <c r="AL202" s="1107"/>
      <c r="AM202" s="1107"/>
      <c r="AN202" s="1107"/>
      <c r="AO202" s="1107"/>
      <c r="AP202" s="1107">
        <f t="shared" si="860"/>
        <v>0</v>
      </c>
      <c r="AQ202" s="1478"/>
      <c r="AR202" s="1297">
        <f t="shared" si="861"/>
        <v>0</v>
      </c>
      <c r="AS202" s="1297">
        <f t="shared" si="862"/>
        <v>0</v>
      </c>
      <c r="AT202" s="1297">
        <f t="shared" si="827"/>
        <v>0</v>
      </c>
      <c r="AU202" s="1297">
        <f t="shared" si="828"/>
        <v>0</v>
      </c>
      <c r="AV202" s="1297">
        <f t="shared" si="829"/>
        <v>0</v>
      </c>
      <c r="AW202" s="1297">
        <f t="shared" si="830"/>
        <v>0</v>
      </c>
      <c r="AX202" s="1297">
        <f t="shared" si="831"/>
        <v>0</v>
      </c>
      <c r="AY202" s="1297">
        <f t="shared" si="832"/>
        <v>0</v>
      </c>
      <c r="AZ202" s="1297">
        <f t="shared" si="833"/>
        <v>0</v>
      </c>
      <c r="BA202" s="1297">
        <f t="shared" si="834"/>
        <v>0</v>
      </c>
      <c r="BB202" s="1297">
        <f t="shared" si="835"/>
        <v>0</v>
      </c>
      <c r="BC202" s="1297">
        <f t="shared" si="836"/>
        <v>0</v>
      </c>
      <c r="BD202" s="1297">
        <f t="shared" si="837"/>
        <v>0</v>
      </c>
      <c r="BE202" s="1297">
        <f t="shared" si="838"/>
        <v>0</v>
      </c>
      <c r="BF202" s="1297">
        <f t="shared" si="839"/>
        <v>0</v>
      </c>
      <c r="BG202" s="1297">
        <f t="shared" si="840"/>
        <v>0</v>
      </c>
      <c r="BH202" s="1297">
        <f t="shared" si="841"/>
        <v>0</v>
      </c>
      <c r="BI202" s="1297">
        <f t="shared" si="842"/>
        <v>0</v>
      </c>
      <c r="BJ202" s="1297">
        <f t="shared" si="843"/>
        <v>0</v>
      </c>
      <c r="BK202" s="1297">
        <f t="shared" si="844"/>
        <v>0</v>
      </c>
      <c r="BL202" s="1297">
        <f t="shared" si="845"/>
        <v>0</v>
      </c>
      <c r="BM202" s="1297">
        <f t="shared" si="846"/>
        <v>0</v>
      </c>
      <c r="BN202" s="1297">
        <f t="shared" si="847"/>
        <v>0</v>
      </c>
      <c r="BO202" s="1297">
        <f t="shared" si="848"/>
        <v>0</v>
      </c>
      <c r="BP202" s="1297">
        <f t="shared" si="849"/>
        <v>0</v>
      </c>
      <c r="BQ202" s="1297">
        <f t="shared" si="850"/>
        <v>0</v>
      </c>
      <c r="BR202" s="1297">
        <f t="shared" si="851"/>
        <v>0</v>
      </c>
      <c r="BS202" s="1297">
        <f t="shared" si="852"/>
        <v>0</v>
      </c>
      <c r="BT202" s="1297">
        <f t="shared" si="853"/>
        <v>0</v>
      </c>
      <c r="BU202" s="1297">
        <f t="shared" si="854"/>
        <v>0</v>
      </c>
      <c r="BV202" s="1490"/>
    </row>
    <row r="203" spans="1:74" x14ac:dyDescent="0.2">
      <c r="A203" s="927" t="str">
        <f t="shared" si="855"/>
        <v>Accelerated.Straight-Line</v>
      </c>
      <c r="B203" s="1076"/>
      <c r="C203" s="1076" t="str">
        <f>C189</f>
        <v>Accelerated</v>
      </c>
      <c r="D203" s="1076" t="str">
        <f>Assumptions!$AH$81</f>
        <v>Straight-Line</v>
      </c>
      <c r="E203" s="1076" t="str">
        <f t="shared" ref="E203:F203" si="899">E189</f>
        <v>Stockpile</v>
      </c>
      <c r="F203" s="1467">
        <f t="shared" si="899"/>
        <v>0</v>
      </c>
      <c r="G203" s="1467">
        <f t="shared" si="856"/>
        <v>0</v>
      </c>
      <c r="H203" s="1467">
        <f t="shared" si="857"/>
        <v>0</v>
      </c>
      <c r="I203" s="1467">
        <f t="shared" si="858"/>
        <v>0</v>
      </c>
      <c r="J203" s="1161">
        <f>Assumptions!$N$53</f>
        <v>3.3333333333333333E-2</v>
      </c>
      <c r="K203" s="1107"/>
      <c r="L203" s="1467">
        <f t="shared" si="859"/>
        <v>0</v>
      </c>
      <c r="M203" s="1467">
        <f t="shared" si="859"/>
        <v>0</v>
      </c>
      <c r="N203" s="1467">
        <f t="shared" si="859"/>
        <v>0</v>
      </c>
      <c r="O203" s="1467">
        <f t="shared" si="859"/>
        <v>0</v>
      </c>
      <c r="P203" s="1467">
        <f t="shared" si="859"/>
        <v>0</v>
      </c>
      <c r="Q203" s="1467">
        <f t="shared" si="859"/>
        <v>0</v>
      </c>
      <c r="R203" s="1467">
        <f t="shared" si="859"/>
        <v>0</v>
      </c>
      <c r="S203" s="1467">
        <f t="shared" si="859"/>
        <v>0</v>
      </c>
      <c r="T203" s="1467">
        <f t="shared" si="859"/>
        <v>0</v>
      </c>
      <c r="U203" s="1467">
        <f t="shared" si="859"/>
        <v>0</v>
      </c>
      <c r="V203" s="1467">
        <f t="shared" si="859"/>
        <v>0</v>
      </c>
      <c r="W203" s="1467">
        <f t="shared" si="859"/>
        <v>0</v>
      </c>
      <c r="X203" s="1467">
        <f t="shared" si="859"/>
        <v>0</v>
      </c>
      <c r="Y203" s="1467">
        <f t="shared" si="859"/>
        <v>0</v>
      </c>
      <c r="Z203" s="1467">
        <f t="shared" si="859"/>
        <v>0</v>
      </c>
      <c r="AA203" s="1467">
        <f t="shared" si="859"/>
        <v>0</v>
      </c>
      <c r="AB203" s="1467">
        <f t="shared" ref="AB203:AO215" si="900">$I203*$J203</f>
        <v>0</v>
      </c>
      <c r="AC203" s="1467">
        <f t="shared" si="900"/>
        <v>0</v>
      </c>
      <c r="AD203" s="1467">
        <f t="shared" si="900"/>
        <v>0</v>
      </c>
      <c r="AE203" s="1467">
        <f t="shared" si="900"/>
        <v>0</v>
      </c>
      <c r="AF203" s="1467">
        <f t="shared" si="900"/>
        <v>0</v>
      </c>
      <c r="AG203" s="1467">
        <f t="shared" si="900"/>
        <v>0</v>
      </c>
      <c r="AH203" s="1467">
        <f t="shared" si="900"/>
        <v>0</v>
      </c>
      <c r="AI203" s="1467">
        <f t="shared" si="900"/>
        <v>0</v>
      </c>
      <c r="AJ203" s="1467">
        <f t="shared" si="900"/>
        <v>0</v>
      </c>
      <c r="AK203" s="1467">
        <f t="shared" si="900"/>
        <v>0</v>
      </c>
      <c r="AL203" s="1467">
        <f t="shared" si="900"/>
        <v>0</v>
      </c>
      <c r="AM203" s="1467">
        <f t="shared" si="900"/>
        <v>0</v>
      </c>
      <c r="AN203" s="1467">
        <f t="shared" si="900"/>
        <v>0</v>
      </c>
      <c r="AO203" s="1467">
        <f t="shared" si="900"/>
        <v>0</v>
      </c>
      <c r="AP203" s="1468">
        <f t="shared" si="860"/>
        <v>0</v>
      </c>
      <c r="AQ203" s="1478"/>
      <c r="AR203" s="1467">
        <f t="shared" si="861"/>
        <v>0</v>
      </c>
      <c r="AS203" s="1467">
        <f t="shared" si="862"/>
        <v>0</v>
      </c>
      <c r="AT203" s="1467">
        <f t="shared" si="827"/>
        <v>0</v>
      </c>
      <c r="AU203" s="1467">
        <f t="shared" si="828"/>
        <v>0</v>
      </c>
      <c r="AV203" s="1467">
        <f t="shared" si="829"/>
        <v>0</v>
      </c>
      <c r="AW203" s="1467">
        <f t="shared" si="830"/>
        <v>0</v>
      </c>
      <c r="AX203" s="1467">
        <f t="shared" si="831"/>
        <v>0</v>
      </c>
      <c r="AY203" s="1467">
        <f t="shared" si="832"/>
        <v>0</v>
      </c>
      <c r="AZ203" s="1467">
        <f t="shared" si="833"/>
        <v>0</v>
      </c>
      <c r="BA203" s="1467">
        <f t="shared" si="834"/>
        <v>0</v>
      </c>
      <c r="BB203" s="1467">
        <f t="shared" si="835"/>
        <v>0</v>
      </c>
      <c r="BC203" s="1467">
        <f t="shared" si="836"/>
        <v>0</v>
      </c>
      <c r="BD203" s="1467">
        <f t="shared" si="837"/>
        <v>0</v>
      </c>
      <c r="BE203" s="1467">
        <f t="shared" si="838"/>
        <v>0</v>
      </c>
      <c r="BF203" s="1467">
        <f t="shared" si="839"/>
        <v>0</v>
      </c>
      <c r="BG203" s="1467">
        <f t="shared" si="840"/>
        <v>0</v>
      </c>
      <c r="BH203" s="1467">
        <f t="shared" si="841"/>
        <v>0</v>
      </c>
      <c r="BI203" s="1467">
        <f t="shared" si="842"/>
        <v>0</v>
      </c>
      <c r="BJ203" s="1467">
        <f t="shared" si="843"/>
        <v>0</v>
      </c>
      <c r="BK203" s="1467">
        <f t="shared" si="844"/>
        <v>0</v>
      </c>
      <c r="BL203" s="1467">
        <f t="shared" si="845"/>
        <v>0</v>
      </c>
      <c r="BM203" s="1467">
        <f t="shared" si="846"/>
        <v>0</v>
      </c>
      <c r="BN203" s="1467">
        <f t="shared" si="847"/>
        <v>0</v>
      </c>
      <c r="BO203" s="1467">
        <f t="shared" si="848"/>
        <v>0</v>
      </c>
      <c r="BP203" s="1467">
        <f t="shared" si="849"/>
        <v>0</v>
      </c>
      <c r="BQ203" s="1467">
        <f t="shared" si="850"/>
        <v>0</v>
      </c>
      <c r="BR203" s="1467">
        <f t="shared" si="851"/>
        <v>0</v>
      </c>
      <c r="BS203" s="1467">
        <f t="shared" si="852"/>
        <v>0</v>
      </c>
      <c r="BT203" s="1467">
        <f t="shared" si="853"/>
        <v>0</v>
      </c>
      <c r="BU203" s="1467">
        <f t="shared" si="854"/>
        <v>0</v>
      </c>
      <c r="BV203" s="1490"/>
    </row>
    <row r="204" spans="1:74" x14ac:dyDescent="0.2">
      <c r="A204" s="927" t="str">
        <f t="shared" si="855"/>
        <v>Accelerated.Straight-Line</v>
      </c>
      <c r="B204" s="1076"/>
      <c r="C204" s="1076" t="str">
        <f t="shared" ref="C204:C215" si="901">C190</f>
        <v>Accelerated</v>
      </c>
      <c r="D204" s="1076" t="str">
        <f>Assumptions!$AH$81</f>
        <v>Straight-Line</v>
      </c>
      <c r="E204" s="1076" t="str">
        <f t="shared" ref="E204:F204" si="902">E190</f>
        <v>Dry Mill</v>
      </c>
      <c r="F204" s="1467">
        <f t="shared" si="902"/>
        <v>0</v>
      </c>
      <c r="G204" s="1467">
        <f t="shared" si="856"/>
        <v>0</v>
      </c>
      <c r="H204" s="1467">
        <f t="shared" si="857"/>
        <v>0</v>
      </c>
      <c r="I204" s="1467">
        <f t="shared" si="858"/>
        <v>0</v>
      </c>
      <c r="J204" s="1161">
        <f>J203</f>
        <v>3.3333333333333333E-2</v>
      </c>
      <c r="K204" s="1107"/>
      <c r="L204" s="1467">
        <f t="shared" si="859"/>
        <v>0</v>
      </c>
      <c r="M204" s="1467">
        <f t="shared" si="859"/>
        <v>0</v>
      </c>
      <c r="N204" s="1467">
        <f t="shared" si="859"/>
        <v>0</v>
      </c>
      <c r="O204" s="1467">
        <f t="shared" si="859"/>
        <v>0</v>
      </c>
      <c r="P204" s="1467">
        <f t="shared" si="859"/>
        <v>0</v>
      </c>
      <c r="Q204" s="1467">
        <f t="shared" si="859"/>
        <v>0</v>
      </c>
      <c r="R204" s="1467">
        <f t="shared" si="859"/>
        <v>0</v>
      </c>
      <c r="S204" s="1467">
        <f t="shared" si="859"/>
        <v>0</v>
      </c>
      <c r="T204" s="1467">
        <f t="shared" si="859"/>
        <v>0</v>
      </c>
      <c r="U204" s="1467">
        <f t="shared" si="859"/>
        <v>0</v>
      </c>
      <c r="V204" s="1467">
        <f t="shared" si="859"/>
        <v>0</v>
      </c>
      <c r="W204" s="1467">
        <f t="shared" si="859"/>
        <v>0</v>
      </c>
      <c r="X204" s="1467">
        <f t="shared" si="859"/>
        <v>0</v>
      </c>
      <c r="Y204" s="1467">
        <f t="shared" si="859"/>
        <v>0</v>
      </c>
      <c r="Z204" s="1467">
        <f t="shared" si="859"/>
        <v>0</v>
      </c>
      <c r="AA204" s="1467">
        <f t="shared" si="859"/>
        <v>0</v>
      </c>
      <c r="AB204" s="1467">
        <f t="shared" si="900"/>
        <v>0</v>
      </c>
      <c r="AC204" s="1467">
        <f t="shared" si="900"/>
        <v>0</v>
      </c>
      <c r="AD204" s="1467">
        <f t="shared" si="900"/>
        <v>0</v>
      </c>
      <c r="AE204" s="1467">
        <f t="shared" si="900"/>
        <v>0</v>
      </c>
      <c r="AF204" s="1467">
        <f t="shared" si="900"/>
        <v>0</v>
      </c>
      <c r="AG204" s="1467">
        <f t="shared" si="900"/>
        <v>0</v>
      </c>
      <c r="AH204" s="1467">
        <f t="shared" si="900"/>
        <v>0</v>
      </c>
      <c r="AI204" s="1467">
        <f t="shared" si="900"/>
        <v>0</v>
      </c>
      <c r="AJ204" s="1467">
        <f t="shared" si="900"/>
        <v>0</v>
      </c>
      <c r="AK204" s="1467">
        <f t="shared" si="900"/>
        <v>0</v>
      </c>
      <c r="AL204" s="1467">
        <f t="shared" si="900"/>
        <v>0</v>
      </c>
      <c r="AM204" s="1467">
        <f t="shared" si="900"/>
        <v>0</v>
      </c>
      <c r="AN204" s="1467">
        <f t="shared" si="900"/>
        <v>0</v>
      </c>
      <c r="AO204" s="1467">
        <f t="shared" si="900"/>
        <v>0</v>
      </c>
      <c r="AP204" s="1468">
        <f t="shared" si="860"/>
        <v>0</v>
      </c>
      <c r="AQ204" s="1478"/>
      <c r="AR204" s="1467">
        <f t="shared" si="861"/>
        <v>0</v>
      </c>
      <c r="AS204" s="1467">
        <f t="shared" si="862"/>
        <v>0</v>
      </c>
      <c r="AT204" s="1467">
        <f t="shared" si="827"/>
        <v>0</v>
      </c>
      <c r="AU204" s="1467">
        <f t="shared" si="828"/>
        <v>0</v>
      </c>
      <c r="AV204" s="1467">
        <f t="shared" si="829"/>
        <v>0</v>
      </c>
      <c r="AW204" s="1467">
        <f t="shared" si="830"/>
        <v>0</v>
      </c>
      <c r="AX204" s="1467">
        <f t="shared" si="831"/>
        <v>0</v>
      </c>
      <c r="AY204" s="1467">
        <f t="shared" si="832"/>
        <v>0</v>
      </c>
      <c r="AZ204" s="1467">
        <f t="shared" si="833"/>
        <v>0</v>
      </c>
      <c r="BA204" s="1467">
        <f t="shared" si="834"/>
        <v>0</v>
      </c>
      <c r="BB204" s="1467">
        <f t="shared" si="835"/>
        <v>0</v>
      </c>
      <c r="BC204" s="1467">
        <f t="shared" si="836"/>
        <v>0</v>
      </c>
      <c r="BD204" s="1467">
        <f t="shared" si="837"/>
        <v>0</v>
      </c>
      <c r="BE204" s="1467">
        <f t="shared" si="838"/>
        <v>0</v>
      </c>
      <c r="BF204" s="1467">
        <f t="shared" si="839"/>
        <v>0</v>
      </c>
      <c r="BG204" s="1467">
        <f t="shared" si="840"/>
        <v>0</v>
      </c>
      <c r="BH204" s="1467">
        <f t="shared" si="841"/>
        <v>0</v>
      </c>
      <c r="BI204" s="1467">
        <f t="shared" si="842"/>
        <v>0</v>
      </c>
      <c r="BJ204" s="1467">
        <f t="shared" si="843"/>
        <v>0</v>
      </c>
      <c r="BK204" s="1467">
        <f t="shared" si="844"/>
        <v>0</v>
      </c>
      <c r="BL204" s="1467">
        <f t="shared" si="845"/>
        <v>0</v>
      </c>
      <c r="BM204" s="1467">
        <f t="shared" si="846"/>
        <v>0</v>
      </c>
      <c r="BN204" s="1467">
        <f t="shared" si="847"/>
        <v>0</v>
      </c>
      <c r="BO204" s="1467">
        <f t="shared" si="848"/>
        <v>0</v>
      </c>
      <c r="BP204" s="1467">
        <f t="shared" si="849"/>
        <v>0</v>
      </c>
      <c r="BQ204" s="1467">
        <f t="shared" si="850"/>
        <v>0</v>
      </c>
      <c r="BR204" s="1467">
        <f t="shared" si="851"/>
        <v>0</v>
      </c>
      <c r="BS204" s="1467">
        <f t="shared" si="852"/>
        <v>0</v>
      </c>
      <c r="BT204" s="1467">
        <f t="shared" si="853"/>
        <v>0</v>
      </c>
      <c r="BU204" s="1467">
        <f t="shared" si="854"/>
        <v>0</v>
      </c>
      <c r="BV204" s="1490"/>
    </row>
    <row r="205" spans="1:74" x14ac:dyDescent="0.2">
      <c r="A205" s="927" t="str">
        <f t="shared" si="855"/>
        <v>Accelerated.Straight-Line</v>
      </c>
      <c r="B205" s="1076"/>
      <c r="C205" s="1076" t="str">
        <f t="shared" si="901"/>
        <v>Accelerated</v>
      </c>
      <c r="D205" s="1076" t="str">
        <f>Assumptions!$AH$81</f>
        <v>Straight-Line</v>
      </c>
      <c r="E205" s="1076" t="str">
        <f t="shared" ref="E205:F205" si="903">E191</f>
        <v>Wet Mill and gluten handling</v>
      </c>
      <c r="F205" s="1467">
        <f t="shared" si="903"/>
        <v>0</v>
      </c>
      <c r="G205" s="1467">
        <f t="shared" si="856"/>
        <v>0</v>
      </c>
      <c r="H205" s="1467">
        <f t="shared" si="857"/>
        <v>0</v>
      </c>
      <c r="I205" s="1467">
        <f t="shared" si="858"/>
        <v>0</v>
      </c>
      <c r="J205" s="1161">
        <f t="shared" ref="J205:J215" si="904">J204</f>
        <v>3.3333333333333333E-2</v>
      </c>
      <c r="K205" s="1107"/>
      <c r="L205" s="1467">
        <f t="shared" si="859"/>
        <v>0</v>
      </c>
      <c r="M205" s="1467">
        <f t="shared" si="859"/>
        <v>0</v>
      </c>
      <c r="N205" s="1467">
        <f t="shared" si="859"/>
        <v>0</v>
      </c>
      <c r="O205" s="1467">
        <f t="shared" si="859"/>
        <v>0</v>
      </c>
      <c r="P205" s="1467">
        <f t="shared" si="859"/>
        <v>0</v>
      </c>
      <c r="Q205" s="1467">
        <f t="shared" si="859"/>
        <v>0</v>
      </c>
      <c r="R205" s="1467">
        <f t="shared" si="859"/>
        <v>0</v>
      </c>
      <c r="S205" s="1467">
        <f t="shared" si="859"/>
        <v>0</v>
      </c>
      <c r="T205" s="1467">
        <f t="shared" si="859"/>
        <v>0</v>
      </c>
      <c r="U205" s="1467">
        <f t="shared" si="859"/>
        <v>0</v>
      </c>
      <c r="V205" s="1467">
        <f t="shared" si="859"/>
        <v>0</v>
      </c>
      <c r="W205" s="1467">
        <f t="shared" si="859"/>
        <v>0</v>
      </c>
      <c r="X205" s="1467">
        <f t="shared" si="859"/>
        <v>0</v>
      </c>
      <c r="Y205" s="1467">
        <f t="shared" si="859"/>
        <v>0</v>
      </c>
      <c r="Z205" s="1467">
        <f t="shared" si="859"/>
        <v>0</v>
      </c>
      <c r="AA205" s="1467">
        <f t="shared" si="859"/>
        <v>0</v>
      </c>
      <c r="AB205" s="1467">
        <f t="shared" si="900"/>
        <v>0</v>
      </c>
      <c r="AC205" s="1467">
        <f t="shared" si="900"/>
        <v>0</v>
      </c>
      <c r="AD205" s="1467">
        <f t="shared" si="900"/>
        <v>0</v>
      </c>
      <c r="AE205" s="1467">
        <f t="shared" si="900"/>
        <v>0</v>
      </c>
      <c r="AF205" s="1467">
        <f t="shared" si="900"/>
        <v>0</v>
      </c>
      <c r="AG205" s="1467">
        <f t="shared" si="900"/>
        <v>0</v>
      </c>
      <c r="AH205" s="1467">
        <f t="shared" si="900"/>
        <v>0</v>
      </c>
      <c r="AI205" s="1467">
        <f t="shared" si="900"/>
        <v>0</v>
      </c>
      <c r="AJ205" s="1467">
        <f t="shared" si="900"/>
        <v>0</v>
      </c>
      <c r="AK205" s="1467">
        <f t="shared" si="900"/>
        <v>0</v>
      </c>
      <c r="AL205" s="1467">
        <f t="shared" si="900"/>
        <v>0</v>
      </c>
      <c r="AM205" s="1467">
        <f t="shared" si="900"/>
        <v>0</v>
      </c>
      <c r="AN205" s="1467">
        <f t="shared" si="900"/>
        <v>0</v>
      </c>
      <c r="AO205" s="1467">
        <f t="shared" si="900"/>
        <v>0</v>
      </c>
      <c r="AP205" s="1468">
        <f t="shared" si="860"/>
        <v>0</v>
      </c>
      <c r="AQ205" s="1478"/>
      <c r="AR205" s="1467">
        <f t="shared" si="861"/>
        <v>0</v>
      </c>
      <c r="AS205" s="1467">
        <f t="shared" si="862"/>
        <v>0</v>
      </c>
      <c r="AT205" s="1467">
        <f t="shared" si="827"/>
        <v>0</v>
      </c>
      <c r="AU205" s="1467">
        <f t="shared" si="828"/>
        <v>0</v>
      </c>
      <c r="AV205" s="1467">
        <f t="shared" si="829"/>
        <v>0</v>
      </c>
      <c r="AW205" s="1467">
        <f t="shared" si="830"/>
        <v>0</v>
      </c>
      <c r="AX205" s="1467">
        <f t="shared" si="831"/>
        <v>0</v>
      </c>
      <c r="AY205" s="1467">
        <f t="shared" si="832"/>
        <v>0</v>
      </c>
      <c r="AZ205" s="1467">
        <f t="shared" si="833"/>
        <v>0</v>
      </c>
      <c r="BA205" s="1467">
        <f t="shared" si="834"/>
        <v>0</v>
      </c>
      <c r="BB205" s="1467">
        <f t="shared" si="835"/>
        <v>0</v>
      </c>
      <c r="BC205" s="1467">
        <f t="shared" si="836"/>
        <v>0</v>
      </c>
      <c r="BD205" s="1467">
        <f t="shared" si="837"/>
        <v>0</v>
      </c>
      <c r="BE205" s="1467">
        <f t="shared" si="838"/>
        <v>0</v>
      </c>
      <c r="BF205" s="1467">
        <f t="shared" si="839"/>
        <v>0</v>
      </c>
      <c r="BG205" s="1467">
        <f t="shared" si="840"/>
        <v>0</v>
      </c>
      <c r="BH205" s="1467">
        <f t="shared" si="841"/>
        <v>0</v>
      </c>
      <c r="BI205" s="1467">
        <f t="shared" si="842"/>
        <v>0</v>
      </c>
      <c r="BJ205" s="1467">
        <f t="shared" si="843"/>
        <v>0</v>
      </c>
      <c r="BK205" s="1467">
        <f t="shared" si="844"/>
        <v>0</v>
      </c>
      <c r="BL205" s="1467">
        <f t="shared" si="845"/>
        <v>0</v>
      </c>
      <c r="BM205" s="1467">
        <f t="shared" si="846"/>
        <v>0</v>
      </c>
      <c r="BN205" s="1467">
        <f t="shared" si="847"/>
        <v>0</v>
      </c>
      <c r="BO205" s="1467">
        <f t="shared" si="848"/>
        <v>0</v>
      </c>
      <c r="BP205" s="1467">
        <f t="shared" si="849"/>
        <v>0</v>
      </c>
      <c r="BQ205" s="1467">
        <f t="shared" si="850"/>
        <v>0</v>
      </c>
      <c r="BR205" s="1467">
        <f t="shared" si="851"/>
        <v>0</v>
      </c>
      <c r="BS205" s="1467">
        <f t="shared" si="852"/>
        <v>0</v>
      </c>
      <c r="BT205" s="1467">
        <f t="shared" si="853"/>
        <v>0</v>
      </c>
      <c r="BU205" s="1467">
        <f t="shared" si="854"/>
        <v>0</v>
      </c>
      <c r="BV205" s="1490"/>
    </row>
    <row r="206" spans="1:74" x14ac:dyDescent="0.2">
      <c r="A206" s="927" t="str">
        <f t="shared" si="855"/>
        <v>Accelerated.Straight-Line</v>
      </c>
      <c r="B206" s="1076"/>
      <c r="C206" s="1076" t="str">
        <f t="shared" si="901"/>
        <v>Accelerated</v>
      </c>
      <c r="D206" s="1076" t="str">
        <f>Assumptions!$AH$81</f>
        <v>Straight-Line</v>
      </c>
      <c r="E206" s="1076" t="str">
        <f t="shared" ref="E206:F206" si="905">E192</f>
        <v>Liquefaction and saccharification</v>
      </c>
      <c r="F206" s="1467">
        <f t="shared" si="905"/>
        <v>8000000</v>
      </c>
      <c r="G206" s="1467">
        <f t="shared" si="856"/>
        <v>9900000</v>
      </c>
      <c r="H206" s="1467">
        <f t="shared" si="857"/>
        <v>10890000</v>
      </c>
      <c r="I206" s="1467">
        <f t="shared" si="858"/>
        <v>10890000</v>
      </c>
      <c r="J206" s="1161">
        <f t="shared" si="904"/>
        <v>3.3333333333333333E-2</v>
      </c>
      <c r="K206" s="1107"/>
      <c r="L206" s="1467">
        <f t="shared" si="859"/>
        <v>363000</v>
      </c>
      <c r="M206" s="1467">
        <f t="shared" si="859"/>
        <v>363000</v>
      </c>
      <c r="N206" s="1467">
        <f t="shared" si="859"/>
        <v>363000</v>
      </c>
      <c r="O206" s="1467">
        <f t="shared" si="859"/>
        <v>363000</v>
      </c>
      <c r="P206" s="1467">
        <f t="shared" si="859"/>
        <v>363000</v>
      </c>
      <c r="Q206" s="1467">
        <f t="shared" si="859"/>
        <v>363000</v>
      </c>
      <c r="R206" s="1467">
        <f t="shared" si="859"/>
        <v>363000</v>
      </c>
      <c r="S206" s="1467">
        <f t="shared" si="859"/>
        <v>363000</v>
      </c>
      <c r="T206" s="1467">
        <f t="shared" si="859"/>
        <v>363000</v>
      </c>
      <c r="U206" s="1467">
        <f t="shared" si="859"/>
        <v>363000</v>
      </c>
      <c r="V206" s="1467">
        <f t="shared" si="859"/>
        <v>363000</v>
      </c>
      <c r="W206" s="1467">
        <f t="shared" si="859"/>
        <v>363000</v>
      </c>
      <c r="X206" s="1467">
        <f t="shared" si="859"/>
        <v>363000</v>
      </c>
      <c r="Y206" s="1467">
        <f t="shared" si="859"/>
        <v>363000</v>
      </c>
      <c r="Z206" s="1467">
        <f t="shared" si="859"/>
        <v>363000</v>
      </c>
      <c r="AA206" s="1467">
        <f t="shared" si="859"/>
        <v>363000</v>
      </c>
      <c r="AB206" s="1467">
        <f t="shared" si="900"/>
        <v>363000</v>
      </c>
      <c r="AC206" s="1467">
        <f t="shared" si="900"/>
        <v>363000</v>
      </c>
      <c r="AD206" s="1467">
        <f t="shared" si="900"/>
        <v>363000</v>
      </c>
      <c r="AE206" s="1467">
        <f t="shared" si="900"/>
        <v>363000</v>
      </c>
      <c r="AF206" s="1467">
        <f t="shared" si="900"/>
        <v>363000</v>
      </c>
      <c r="AG206" s="1467">
        <f t="shared" si="900"/>
        <v>363000</v>
      </c>
      <c r="AH206" s="1467">
        <f t="shared" si="900"/>
        <v>363000</v>
      </c>
      <c r="AI206" s="1467">
        <f t="shared" si="900"/>
        <v>363000</v>
      </c>
      <c r="AJ206" s="1467">
        <f t="shared" si="900"/>
        <v>363000</v>
      </c>
      <c r="AK206" s="1467">
        <f t="shared" si="900"/>
        <v>363000</v>
      </c>
      <c r="AL206" s="1467">
        <f t="shared" si="900"/>
        <v>363000</v>
      </c>
      <c r="AM206" s="1467">
        <f t="shared" si="900"/>
        <v>363000</v>
      </c>
      <c r="AN206" s="1467">
        <f t="shared" si="900"/>
        <v>363000</v>
      </c>
      <c r="AO206" s="1467">
        <f t="shared" si="900"/>
        <v>363000</v>
      </c>
      <c r="AP206" s="1468">
        <f t="shared" si="860"/>
        <v>10890000</v>
      </c>
      <c r="AQ206" s="1478"/>
      <c r="AR206" s="1467">
        <f t="shared" si="861"/>
        <v>10527000</v>
      </c>
      <c r="AS206" s="1467">
        <f t="shared" si="862"/>
        <v>10164000</v>
      </c>
      <c r="AT206" s="1467">
        <f t="shared" si="827"/>
        <v>9801000</v>
      </c>
      <c r="AU206" s="1467">
        <f t="shared" si="828"/>
        <v>9438000</v>
      </c>
      <c r="AV206" s="1467">
        <f t="shared" si="829"/>
        <v>9075000</v>
      </c>
      <c r="AW206" s="1467">
        <f t="shared" si="830"/>
        <v>8712000</v>
      </c>
      <c r="AX206" s="1467">
        <f t="shared" si="831"/>
        <v>8349000</v>
      </c>
      <c r="AY206" s="1467">
        <f t="shared" si="832"/>
        <v>7986000</v>
      </c>
      <c r="AZ206" s="1467">
        <f t="shared" si="833"/>
        <v>7623000</v>
      </c>
      <c r="BA206" s="1467">
        <f t="shared" si="834"/>
        <v>7260000</v>
      </c>
      <c r="BB206" s="1467">
        <f t="shared" si="835"/>
        <v>6897000</v>
      </c>
      <c r="BC206" s="1467">
        <f t="shared" si="836"/>
        <v>6534000</v>
      </c>
      <c r="BD206" s="1467">
        <f t="shared" si="837"/>
        <v>6171000</v>
      </c>
      <c r="BE206" s="1467">
        <f t="shared" si="838"/>
        <v>5808000</v>
      </c>
      <c r="BF206" s="1467">
        <f t="shared" si="839"/>
        <v>5445000</v>
      </c>
      <c r="BG206" s="1467">
        <f t="shared" si="840"/>
        <v>5082000</v>
      </c>
      <c r="BH206" s="1467">
        <f t="shared" si="841"/>
        <v>4719000</v>
      </c>
      <c r="BI206" s="1467">
        <f t="shared" si="842"/>
        <v>4356000</v>
      </c>
      <c r="BJ206" s="1467">
        <f t="shared" si="843"/>
        <v>3993000</v>
      </c>
      <c r="BK206" s="1467">
        <f t="shared" si="844"/>
        <v>3630000</v>
      </c>
      <c r="BL206" s="1467">
        <f t="shared" si="845"/>
        <v>3267000</v>
      </c>
      <c r="BM206" s="1467">
        <f t="shared" si="846"/>
        <v>2904000</v>
      </c>
      <c r="BN206" s="1467">
        <f t="shared" si="847"/>
        <v>2541000</v>
      </c>
      <c r="BO206" s="1467">
        <f t="shared" si="848"/>
        <v>2178000</v>
      </c>
      <c r="BP206" s="1467">
        <f t="shared" si="849"/>
        <v>1815000</v>
      </c>
      <c r="BQ206" s="1467">
        <f t="shared" si="850"/>
        <v>1452000</v>
      </c>
      <c r="BR206" s="1467">
        <f t="shared" si="851"/>
        <v>1089000</v>
      </c>
      <c r="BS206" s="1467">
        <f t="shared" si="852"/>
        <v>726000</v>
      </c>
      <c r="BT206" s="1467">
        <f t="shared" si="853"/>
        <v>363000</v>
      </c>
      <c r="BU206" s="1467">
        <f t="shared" si="854"/>
        <v>0</v>
      </c>
      <c r="BV206" s="1490"/>
    </row>
    <row r="207" spans="1:74" x14ac:dyDescent="0.2">
      <c r="A207" s="927" t="str">
        <f t="shared" si="855"/>
        <v>Accelerated.Straight-Line</v>
      </c>
      <c r="B207" s="1076"/>
      <c r="C207" s="1076" t="str">
        <f t="shared" si="901"/>
        <v>Accelerated</v>
      </c>
      <c r="D207" s="1076" t="str">
        <f>Assumptions!$AH$81</f>
        <v>Straight-Line</v>
      </c>
      <c r="E207" s="1076" t="str">
        <f t="shared" ref="E207:F207" si="906">E193</f>
        <v>Fermentation Plant</v>
      </c>
      <c r="F207" s="1467">
        <f t="shared" si="906"/>
        <v>18000000</v>
      </c>
      <c r="G207" s="1467">
        <f t="shared" si="856"/>
        <v>22275000</v>
      </c>
      <c r="H207" s="1467">
        <f t="shared" si="857"/>
        <v>24502500.000000004</v>
      </c>
      <c r="I207" s="1467">
        <f t="shared" si="858"/>
        <v>24502500.000000004</v>
      </c>
      <c r="J207" s="1161">
        <f t="shared" si="904"/>
        <v>3.3333333333333333E-2</v>
      </c>
      <c r="K207" s="1107"/>
      <c r="L207" s="1467">
        <f t="shared" si="859"/>
        <v>816750.00000000012</v>
      </c>
      <c r="M207" s="1467">
        <f t="shared" si="859"/>
        <v>816750.00000000012</v>
      </c>
      <c r="N207" s="1467">
        <f t="shared" si="859"/>
        <v>816750.00000000012</v>
      </c>
      <c r="O207" s="1467">
        <f t="shared" si="859"/>
        <v>816750.00000000012</v>
      </c>
      <c r="P207" s="1467">
        <f t="shared" si="859"/>
        <v>816750.00000000012</v>
      </c>
      <c r="Q207" s="1467">
        <f t="shared" si="859"/>
        <v>816750.00000000012</v>
      </c>
      <c r="R207" s="1467">
        <f t="shared" si="859"/>
        <v>816750.00000000012</v>
      </c>
      <c r="S207" s="1467">
        <f t="shared" si="859"/>
        <v>816750.00000000012</v>
      </c>
      <c r="T207" s="1467">
        <f t="shared" si="859"/>
        <v>816750.00000000012</v>
      </c>
      <c r="U207" s="1467">
        <f t="shared" si="859"/>
        <v>816750.00000000012</v>
      </c>
      <c r="V207" s="1467">
        <f t="shared" si="859"/>
        <v>816750.00000000012</v>
      </c>
      <c r="W207" s="1467">
        <f t="shared" si="859"/>
        <v>816750.00000000012</v>
      </c>
      <c r="X207" s="1467">
        <f t="shared" si="859"/>
        <v>816750.00000000012</v>
      </c>
      <c r="Y207" s="1467">
        <f t="shared" si="859"/>
        <v>816750.00000000012</v>
      </c>
      <c r="Z207" s="1467">
        <f t="shared" si="859"/>
        <v>816750.00000000012</v>
      </c>
      <c r="AA207" s="1467">
        <f t="shared" si="859"/>
        <v>816750.00000000012</v>
      </c>
      <c r="AB207" s="1467">
        <f t="shared" si="900"/>
        <v>816750.00000000012</v>
      </c>
      <c r="AC207" s="1467">
        <f t="shared" si="900"/>
        <v>816750.00000000012</v>
      </c>
      <c r="AD207" s="1467">
        <f t="shared" si="900"/>
        <v>816750.00000000012</v>
      </c>
      <c r="AE207" s="1467">
        <f t="shared" si="900"/>
        <v>816750.00000000012</v>
      </c>
      <c r="AF207" s="1467">
        <f t="shared" si="900"/>
        <v>816750.00000000012</v>
      </c>
      <c r="AG207" s="1467">
        <f t="shared" si="900"/>
        <v>816750.00000000012</v>
      </c>
      <c r="AH207" s="1467">
        <f t="shared" si="900"/>
        <v>816750.00000000012</v>
      </c>
      <c r="AI207" s="1467">
        <f t="shared" si="900"/>
        <v>816750.00000000012</v>
      </c>
      <c r="AJ207" s="1467">
        <f t="shared" si="900"/>
        <v>816750.00000000012</v>
      </c>
      <c r="AK207" s="1467">
        <f t="shared" si="900"/>
        <v>816750.00000000012</v>
      </c>
      <c r="AL207" s="1467">
        <f t="shared" si="900"/>
        <v>816750.00000000012</v>
      </c>
      <c r="AM207" s="1467">
        <f t="shared" si="900"/>
        <v>816750.00000000012</v>
      </c>
      <c r="AN207" s="1467">
        <f t="shared" si="900"/>
        <v>816750.00000000012</v>
      </c>
      <c r="AO207" s="1467">
        <f t="shared" si="900"/>
        <v>816750.00000000012</v>
      </c>
      <c r="AP207" s="1468">
        <f t="shared" si="860"/>
        <v>24502500.000000004</v>
      </c>
      <c r="AQ207" s="1478"/>
      <c r="AR207" s="1467">
        <f t="shared" si="861"/>
        <v>23685750.000000004</v>
      </c>
      <c r="AS207" s="1467">
        <f t="shared" si="862"/>
        <v>22869000.000000004</v>
      </c>
      <c r="AT207" s="1467">
        <f t="shared" si="827"/>
        <v>22052250.000000004</v>
      </c>
      <c r="AU207" s="1467">
        <f t="shared" si="828"/>
        <v>21235500.000000004</v>
      </c>
      <c r="AV207" s="1467">
        <f t="shared" si="829"/>
        <v>20418750.000000004</v>
      </c>
      <c r="AW207" s="1467">
        <f t="shared" si="830"/>
        <v>19602000.000000004</v>
      </c>
      <c r="AX207" s="1467">
        <f t="shared" si="831"/>
        <v>18785250.000000004</v>
      </c>
      <c r="AY207" s="1467">
        <f t="shared" si="832"/>
        <v>17968500.000000004</v>
      </c>
      <c r="AZ207" s="1467">
        <f t="shared" si="833"/>
        <v>17151750.000000004</v>
      </c>
      <c r="BA207" s="1467">
        <f t="shared" si="834"/>
        <v>16335000.000000004</v>
      </c>
      <c r="BB207" s="1467">
        <f t="shared" si="835"/>
        <v>15518250.000000004</v>
      </c>
      <c r="BC207" s="1467">
        <f t="shared" si="836"/>
        <v>14701500.000000004</v>
      </c>
      <c r="BD207" s="1467">
        <f t="shared" si="837"/>
        <v>13884750.000000004</v>
      </c>
      <c r="BE207" s="1467">
        <f t="shared" si="838"/>
        <v>13068000.000000004</v>
      </c>
      <c r="BF207" s="1467">
        <f t="shared" si="839"/>
        <v>12251250.000000004</v>
      </c>
      <c r="BG207" s="1467">
        <f t="shared" si="840"/>
        <v>11434500.000000004</v>
      </c>
      <c r="BH207" s="1467">
        <f t="shared" si="841"/>
        <v>10617750.000000004</v>
      </c>
      <c r="BI207" s="1467">
        <f t="shared" si="842"/>
        <v>9801000.0000000037</v>
      </c>
      <c r="BJ207" s="1467">
        <f t="shared" si="843"/>
        <v>8984250.0000000037</v>
      </c>
      <c r="BK207" s="1467">
        <f t="shared" si="844"/>
        <v>8167500.0000000037</v>
      </c>
      <c r="BL207" s="1467">
        <f t="shared" si="845"/>
        <v>7350750.0000000037</v>
      </c>
      <c r="BM207" s="1467">
        <f t="shared" si="846"/>
        <v>6534000.0000000037</v>
      </c>
      <c r="BN207" s="1467">
        <f t="shared" si="847"/>
        <v>5717250.0000000037</v>
      </c>
      <c r="BO207" s="1467">
        <f t="shared" si="848"/>
        <v>4900500.0000000037</v>
      </c>
      <c r="BP207" s="1467">
        <f t="shared" si="849"/>
        <v>4083750.0000000037</v>
      </c>
      <c r="BQ207" s="1467">
        <f t="shared" si="850"/>
        <v>3267000.0000000037</v>
      </c>
      <c r="BR207" s="1467">
        <f t="shared" si="851"/>
        <v>2450250.0000000037</v>
      </c>
      <c r="BS207" s="1467">
        <f t="shared" si="852"/>
        <v>1633500.0000000037</v>
      </c>
      <c r="BT207" s="1467">
        <f t="shared" si="853"/>
        <v>816750.00000000361</v>
      </c>
      <c r="BU207" s="1467">
        <f t="shared" si="854"/>
        <v>3.4924596548080444E-9</v>
      </c>
      <c r="BV207" s="1490"/>
    </row>
    <row r="208" spans="1:74" x14ac:dyDescent="0.2">
      <c r="A208" s="927" t="str">
        <f t="shared" si="855"/>
        <v>Accelerated.Straight-Line</v>
      </c>
      <c r="B208" s="1076"/>
      <c r="C208" s="1076" t="str">
        <f t="shared" si="901"/>
        <v>Accelerated</v>
      </c>
      <c r="D208" s="1076" t="str">
        <f>Assumptions!$AH$81</f>
        <v>Straight-Line</v>
      </c>
      <c r="E208" s="1076" t="str">
        <f t="shared" ref="E208:F208" si="907">E194</f>
        <v>Distillation, Rectification and Dehydration</v>
      </c>
      <c r="F208" s="1467">
        <f t="shared" si="907"/>
        <v>23000000</v>
      </c>
      <c r="G208" s="1467">
        <f t="shared" si="856"/>
        <v>28462500</v>
      </c>
      <c r="H208" s="1467">
        <f t="shared" si="857"/>
        <v>31308750.000000004</v>
      </c>
      <c r="I208" s="1467">
        <f t="shared" si="858"/>
        <v>31308750.000000004</v>
      </c>
      <c r="J208" s="1161">
        <f t="shared" si="904"/>
        <v>3.3333333333333333E-2</v>
      </c>
      <c r="K208" s="1107"/>
      <c r="L208" s="1467">
        <f t="shared" si="859"/>
        <v>1043625.0000000001</v>
      </c>
      <c r="M208" s="1467">
        <f t="shared" si="859"/>
        <v>1043625.0000000001</v>
      </c>
      <c r="N208" s="1467">
        <f t="shared" si="859"/>
        <v>1043625.0000000001</v>
      </c>
      <c r="O208" s="1467">
        <f t="shared" si="859"/>
        <v>1043625.0000000001</v>
      </c>
      <c r="P208" s="1467">
        <f t="shared" si="859"/>
        <v>1043625.0000000001</v>
      </c>
      <c r="Q208" s="1467">
        <f t="shared" si="859"/>
        <v>1043625.0000000001</v>
      </c>
      <c r="R208" s="1467">
        <f t="shared" si="859"/>
        <v>1043625.0000000001</v>
      </c>
      <c r="S208" s="1467">
        <f t="shared" si="859"/>
        <v>1043625.0000000001</v>
      </c>
      <c r="T208" s="1467">
        <f t="shared" si="859"/>
        <v>1043625.0000000001</v>
      </c>
      <c r="U208" s="1467">
        <f t="shared" si="859"/>
        <v>1043625.0000000001</v>
      </c>
      <c r="V208" s="1467">
        <f t="shared" si="859"/>
        <v>1043625.0000000001</v>
      </c>
      <c r="W208" s="1467">
        <f t="shared" si="859"/>
        <v>1043625.0000000001</v>
      </c>
      <c r="X208" s="1467">
        <f t="shared" si="859"/>
        <v>1043625.0000000001</v>
      </c>
      <c r="Y208" s="1467">
        <f t="shared" si="859"/>
        <v>1043625.0000000001</v>
      </c>
      <c r="Z208" s="1467">
        <f t="shared" si="859"/>
        <v>1043625.0000000001</v>
      </c>
      <c r="AA208" s="1467">
        <f t="shared" si="859"/>
        <v>1043625.0000000001</v>
      </c>
      <c r="AB208" s="1467">
        <f t="shared" si="900"/>
        <v>1043625.0000000001</v>
      </c>
      <c r="AC208" s="1467">
        <f t="shared" si="900"/>
        <v>1043625.0000000001</v>
      </c>
      <c r="AD208" s="1467">
        <f t="shared" si="900"/>
        <v>1043625.0000000001</v>
      </c>
      <c r="AE208" s="1467">
        <f t="shared" si="900"/>
        <v>1043625.0000000001</v>
      </c>
      <c r="AF208" s="1467">
        <f t="shared" si="900"/>
        <v>1043625.0000000001</v>
      </c>
      <c r="AG208" s="1467">
        <f t="shared" si="900"/>
        <v>1043625.0000000001</v>
      </c>
      <c r="AH208" s="1467">
        <f t="shared" si="900"/>
        <v>1043625.0000000001</v>
      </c>
      <c r="AI208" s="1467">
        <f t="shared" si="900"/>
        <v>1043625.0000000001</v>
      </c>
      <c r="AJ208" s="1467">
        <f t="shared" si="900"/>
        <v>1043625.0000000001</v>
      </c>
      <c r="AK208" s="1467">
        <f t="shared" si="900"/>
        <v>1043625.0000000001</v>
      </c>
      <c r="AL208" s="1467">
        <f t="shared" si="900"/>
        <v>1043625.0000000001</v>
      </c>
      <c r="AM208" s="1467">
        <f t="shared" si="900"/>
        <v>1043625.0000000001</v>
      </c>
      <c r="AN208" s="1467">
        <f t="shared" si="900"/>
        <v>1043625.0000000001</v>
      </c>
      <c r="AO208" s="1467">
        <f t="shared" si="900"/>
        <v>1043625.0000000001</v>
      </c>
      <c r="AP208" s="1468">
        <f t="shared" si="860"/>
        <v>31308750.000000004</v>
      </c>
      <c r="AQ208" s="1478"/>
      <c r="AR208" s="1467">
        <f t="shared" si="861"/>
        <v>30265125.000000004</v>
      </c>
      <c r="AS208" s="1467">
        <f t="shared" si="862"/>
        <v>29221500.000000004</v>
      </c>
      <c r="AT208" s="1467">
        <f t="shared" si="827"/>
        <v>28177875.000000004</v>
      </c>
      <c r="AU208" s="1467">
        <f t="shared" si="828"/>
        <v>27134250.000000004</v>
      </c>
      <c r="AV208" s="1467">
        <f t="shared" si="829"/>
        <v>26090625.000000004</v>
      </c>
      <c r="AW208" s="1467">
        <f t="shared" si="830"/>
        <v>25047000.000000004</v>
      </c>
      <c r="AX208" s="1467">
        <f t="shared" si="831"/>
        <v>24003375.000000004</v>
      </c>
      <c r="AY208" s="1467">
        <f t="shared" si="832"/>
        <v>22959750.000000004</v>
      </c>
      <c r="AZ208" s="1467">
        <f t="shared" si="833"/>
        <v>21916125.000000004</v>
      </c>
      <c r="BA208" s="1467">
        <f t="shared" si="834"/>
        <v>20872500.000000004</v>
      </c>
      <c r="BB208" s="1467">
        <f t="shared" si="835"/>
        <v>19828875.000000004</v>
      </c>
      <c r="BC208" s="1467">
        <f t="shared" si="836"/>
        <v>18785250.000000004</v>
      </c>
      <c r="BD208" s="1467">
        <f t="shared" si="837"/>
        <v>17741625.000000004</v>
      </c>
      <c r="BE208" s="1467">
        <f t="shared" si="838"/>
        <v>16698000.000000004</v>
      </c>
      <c r="BF208" s="1467">
        <f t="shared" si="839"/>
        <v>15654375.000000004</v>
      </c>
      <c r="BG208" s="1467">
        <f t="shared" si="840"/>
        <v>14610750.000000004</v>
      </c>
      <c r="BH208" s="1467">
        <f t="shared" si="841"/>
        <v>13567125.000000004</v>
      </c>
      <c r="BI208" s="1467">
        <f t="shared" si="842"/>
        <v>12523500.000000004</v>
      </c>
      <c r="BJ208" s="1467">
        <f t="shared" si="843"/>
        <v>11479875.000000004</v>
      </c>
      <c r="BK208" s="1467">
        <f t="shared" si="844"/>
        <v>10436250.000000004</v>
      </c>
      <c r="BL208" s="1467">
        <f t="shared" si="845"/>
        <v>9392625.0000000037</v>
      </c>
      <c r="BM208" s="1467">
        <f t="shared" si="846"/>
        <v>8349000.0000000037</v>
      </c>
      <c r="BN208" s="1467">
        <f t="shared" si="847"/>
        <v>7305375.0000000037</v>
      </c>
      <c r="BO208" s="1467">
        <f t="shared" si="848"/>
        <v>6261750.0000000037</v>
      </c>
      <c r="BP208" s="1467">
        <f t="shared" si="849"/>
        <v>5218125.0000000037</v>
      </c>
      <c r="BQ208" s="1467">
        <f t="shared" si="850"/>
        <v>4174500.0000000037</v>
      </c>
      <c r="BR208" s="1467">
        <f t="shared" si="851"/>
        <v>3130875.0000000037</v>
      </c>
      <c r="BS208" s="1467">
        <f t="shared" si="852"/>
        <v>2087250.0000000037</v>
      </c>
      <c r="BT208" s="1467">
        <f t="shared" si="853"/>
        <v>1043625.0000000036</v>
      </c>
      <c r="BU208" s="1467">
        <f t="shared" si="854"/>
        <v>3.4924596548080444E-9</v>
      </c>
      <c r="BV208" s="1490"/>
    </row>
    <row r="209" spans="1:74" x14ac:dyDescent="0.2">
      <c r="A209" s="927" t="str">
        <f t="shared" si="855"/>
        <v>Accelerated.Straight-Line</v>
      </c>
      <c r="B209" s="1076"/>
      <c r="C209" s="1076" t="str">
        <f t="shared" si="901"/>
        <v>Accelerated</v>
      </c>
      <c r="D209" s="1076" t="str">
        <f>Assumptions!$AH$81</f>
        <v>Straight-Line</v>
      </c>
      <c r="E209" s="1076" t="str">
        <f t="shared" ref="E209:F209" si="908">E195</f>
        <v>Alcohol Storage</v>
      </c>
      <c r="F209" s="1467">
        <f t="shared" si="908"/>
        <v>5000000</v>
      </c>
      <c r="G209" s="1467">
        <f t="shared" si="856"/>
        <v>6187500</v>
      </c>
      <c r="H209" s="1467">
        <f t="shared" si="857"/>
        <v>6806250.0000000009</v>
      </c>
      <c r="I209" s="1467">
        <f t="shared" si="858"/>
        <v>6806250.0000000009</v>
      </c>
      <c r="J209" s="1161">
        <f t="shared" si="904"/>
        <v>3.3333333333333333E-2</v>
      </c>
      <c r="K209" s="1107"/>
      <c r="L209" s="1467">
        <f t="shared" si="859"/>
        <v>226875.00000000003</v>
      </c>
      <c r="M209" s="1467">
        <f t="shared" si="859"/>
        <v>226875.00000000003</v>
      </c>
      <c r="N209" s="1467">
        <f t="shared" si="859"/>
        <v>226875.00000000003</v>
      </c>
      <c r="O209" s="1467">
        <f t="shared" si="859"/>
        <v>226875.00000000003</v>
      </c>
      <c r="P209" s="1467">
        <f t="shared" si="859"/>
        <v>226875.00000000003</v>
      </c>
      <c r="Q209" s="1467">
        <f t="shared" si="859"/>
        <v>226875.00000000003</v>
      </c>
      <c r="R209" s="1467">
        <f t="shared" si="859"/>
        <v>226875.00000000003</v>
      </c>
      <c r="S209" s="1467">
        <f t="shared" si="859"/>
        <v>226875.00000000003</v>
      </c>
      <c r="T209" s="1467">
        <f t="shared" si="859"/>
        <v>226875.00000000003</v>
      </c>
      <c r="U209" s="1467">
        <f t="shared" si="859"/>
        <v>226875.00000000003</v>
      </c>
      <c r="V209" s="1467">
        <f t="shared" si="859"/>
        <v>226875.00000000003</v>
      </c>
      <c r="W209" s="1467">
        <f t="shared" si="859"/>
        <v>226875.00000000003</v>
      </c>
      <c r="X209" s="1467">
        <f t="shared" si="859"/>
        <v>226875.00000000003</v>
      </c>
      <c r="Y209" s="1467">
        <f t="shared" si="859"/>
        <v>226875.00000000003</v>
      </c>
      <c r="Z209" s="1467">
        <f t="shared" si="859"/>
        <v>226875.00000000003</v>
      </c>
      <c r="AA209" s="1467">
        <f t="shared" si="859"/>
        <v>226875.00000000003</v>
      </c>
      <c r="AB209" s="1467">
        <f t="shared" si="900"/>
        <v>226875.00000000003</v>
      </c>
      <c r="AC209" s="1467">
        <f t="shared" si="900"/>
        <v>226875.00000000003</v>
      </c>
      <c r="AD209" s="1467">
        <f t="shared" si="900"/>
        <v>226875.00000000003</v>
      </c>
      <c r="AE209" s="1467">
        <f t="shared" si="900"/>
        <v>226875.00000000003</v>
      </c>
      <c r="AF209" s="1467">
        <f t="shared" si="900"/>
        <v>226875.00000000003</v>
      </c>
      <c r="AG209" s="1467">
        <f t="shared" si="900"/>
        <v>226875.00000000003</v>
      </c>
      <c r="AH209" s="1467">
        <f t="shared" si="900"/>
        <v>226875.00000000003</v>
      </c>
      <c r="AI209" s="1467">
        <f t="shared" si="900"/>
        <v>226875.00000000003</v>
      </c>
      <c r="AJ209" s="1467">
        <f t="shared" si="900"/>
        <v>226875.00000000003</v>
      </c>
      <c r="AK209" s="1467">
        <f t="shared" si="900"/>
        <v>226875.00000000003</v>
      </c>
      <c r="AL209" s="1467">
        <f t="shared" si="900"/>
        <v>226875.00000000003</v>
      </c>
      <c r="AM209" s="1467">
        <f t="shared" si="900"/>
        <v>226875.00000000003</v>
      </c>
      <c r="AN209" s="1467">
        <f t="shared" si="900"/>
        <v>226875.00000000003</v>
      </c>
      <c r="AO209" s="1467">
        <f t="shared" si="900"/>
        <v>226875.00000000003</v>
      </c>
      <c r="AP209" s="1468">
        <f t="shared" ref="AP209:AP214" si="909">SUM(L209:AO209)</f>
        <v>6806250.0000000009</v>
      </c>
      <c r="AQ209" s="1478"/>
      <c r="AR209" s="1467">
        <f t="shared" si="861"/>
        <v>6579375.0000000009</v>
      </c>
      <c r="AS209" s="1467">
        <f t="shared" si="862"/>
        <v>6352500.0000000009</v>
      </c>
      <c r="AT209" s="1467">
        <f t="shared" si="827"/>
        <v>6125625.0000000009</v>
      </c>
      <c r="AU209" s="1467">
        <f t="shared" si="828"/>
        <v>5898750.0000000009</v>
      </c>
      <c r="AV209" s="1467">
        <f t="shared" si="829"/>
        <v>5671875.0000000009</v>
      </c>
      <c r="AW209" s="1467">
        <f t="shared" si="830"/>
        <v>5445000.0000000009</v>
      </c>
      <c r="AX209" s="1467">
        <f t="shared" si="831"/>
        <v>5218125.0000000009</v>
      </c>
      <c r="AY209" s="1467">
        <f t="shared" si="832"/>
        <v>4991250.0000000009</v>
      </c>
      <c r="AZ209" s="1467">
        <f t="shared" si="833"/>
        <v>4764375.0000000009</v>
      </c>
      <c r="BA209" s="1467">
        <f t="shared" si="834"/>
        <v>4537500.0000000009</v>
      </c>
      <c r="BB209" s="1467">
        <f t="shared" si="835"/>
        <v>4310625.0000000009</v>
      </c>
      <c r="BC209" s="1467">
        <f t="shared" si="836"/>
        <v>4083750.0000000009</v>
      </c>
      <c r="BD209" s="1467">
        <f t="shared" si="837"/>
        <v>3856875.0000000009</v>
      </c>
      <c r="BE209" s="1467">
        <f t="shared" si="838"/>
        <v>3630000.0000000009</v>
      </c>
      <c r="BF209" s="1467">
        <f t="shared" si="839"/>
        <v>3403125.0000000009</v>
      </c>
      <c r="BG209" s="1467">
        <f t="shared" si="840"/>
        <v>3176250.0000000009</v>
      </c>
      <c r="BH209" s="1467">
        <f t="shared" si="841"/>
        <v>2949375.0000000009</v>
      </c>
      <c r="BI209" s="1467">
        <f t="shared" si="842"/>
        <v>2722500.0000000009</v>
      </c>
      <c r="BJ209" s="1467">
        <f t="shared" si="843"/>
        <v>2495625.0000000009</v>
      </c>
      <c r="BK209" s="1467">
        <f t="shared" si="844"/>
        <v>2268750.0000000009</v>
      </c>
      <c r="BL209" s="1467">
        <f t="shared" si="845"/>
        <v>2041875.0000000009</v>
      </c>
      <c r="BM209" s="1467">
        <f t="shared" si="846"/>
        <v>1815000.0000000009</v>
      </c>
      <c r="BN209" s="1467">
        <f t="shared" si="847"/>
        <v>1588125.0000000009</v>
      </c>
      <c r="BO209" s="1467">
        <f t="shared" si="848"/>
        <v>1361250.0000000009</v>
      </c>
      <c r="BP209" s="1467">
        <f t="shared" si="849"/>
        <v>1134375.0000000009</v>
      </c>
      <c r="BQ209" s="1467">
        <f t="shared" si="850"/>
        <v>907500.00000000093</v>
      </c>
      <c r="BR209" s="1467">
        <f t="shared" si="851"/>
        <v>680625.00000000093</v>
      </c>
      <c r="BS209" s="1467">
        <f t="shared" si="852"/>
        <v>453750.00000000093</v>
      </c>
      <c r="BT209" s="1467">
        <f t="shared" si="853"/>
        <v>226875.0000000009</v>
      </c>
      <c r="BU209" s="1467">
        <f t="shared" si="854"/>
        <v>8.7311491370201111E-10</v>
      </c>
      <c r="BV209" s="1490"/>
    </row>
    <row r="210" spans="1:74" x14ac:dyDescent="0.2">
      <c r="A210" s="927" t="str">
        <f t="shared" si="855"/>
        <v>Accelerated.Straight-Line</v>
      </c>
      <c r="B210" s="1076"/>
      <c r="C210" s="1076" t="str">
        <f t="shared" si="901"/>
        <v>Accelerated</v>
      </c>
      <c r="D210" s="1076" t="str">
        <f>Assumptions!$AH$81</f>
        <v>Straight-Line</v>
      </c>
      <c r="E210" s="1076" t="str">
        <f t="shared" ref="E210:F210" si="910">E196</f>
        <v>WDGS drying plant</v>
      </c>
      <c r="F210" s="1467">
        <f t="shared" si="910"/>
        <v>14000000</v>
      </c>
      <c r="G210" s="1467">
        <f t="shared" si="856"/>
        <v>17325000</v>
      </c>
      <c r="H210" s="1467">
        <f t="shared" si="857"/>
        <v>19057500</v>
      </c>
      <c r="I210" s="1467">
        <f t="shared" si="858"/>
        <v>19057500</v>
      </c>
      <c r="J210" s="1161">
        <f t="shared" si="904"/>
        <v>3.3333333333333333E-2</v>
      </c>
      <c r="K210" s="1107"/>
      <c r="L210" s="1467">
        <f t="shared" ref="L210:AA215" si="911">$I210*$J210</f>
        <v>635250</v>
      </c>
      <c r="M210" s="1467">
        <f t="shared" si="911"/>
        <v>635250</v>
      </c>
      <c r="N210" s="1467">
        <f t="shared" si="911"/>
        <v>635250</v>
      </c>
      <c r="O210" s="1467">
        <f t="shared" si="911"/>
        <v>635250</v>
      </c>
      <c r="P210" s="1467">
        <f t="shared" si="911"/>
        <v>635250</v>
      </c>
      <c r="Q210" s="1467">
        <f t="shared" si="911"/>
        <v>635250</v>
      </c>
      <c r="R210" s="1467">
        <f t="shared" si="911"/>
        <v>635250</v>
      </c>
      <c r="S210" s="1467">
        <f t="shared" si="911"/>
        <v>635250</v>
      </c>
      <c r="T210" s="1467">
        <f t="shared" si="911"/>
        <v>635250</v>
      </c>
      <c r="U210" s="1467">
        <f t="shared" si="911"/>
        <v>635250</v>
      </c>
      <c r="V210" s="1467">
        <f t="shared" si="911"/>
        <v>635250</v>
      </c>
      <c r="W210" s="1467">
        <f t="shared" si="911"/>
        <v>635250</v>
      </c>
      <c r="X210" s="1467">
        <f t="shared" si="911"/>
        <v>635250</v>
      </c>
      <c r="Y210" s="1467">
        <f t="shared" si="911"/>
        <v>635250</v>
      </c>
      <c r="Z210" s="1467">
        <f t="shared" si="911"/>
        <v>635250</v>
      </c>
      <c r="AA210" s="1467">
        <f t="shared" si="911"/>
        <v>635250</v>
      </c>
      <c r="AB210" s="1467">
        <f t="shared" si="900"/>
        <v>635250</v>
      </c>
      <c r="AC210" s="1467">
        <f t="shared" si="900"/>
        <v>635250</v>
      </c>
      <c r="AD210" s="1467">
        <f t="shared" si="900"/>
        <v>635250</v>
      </c>
      <c r="AE210" s="1467">
        <f t="shared" si="900"/>
        <v>635250</v>
      </c>
      <c r="AF210" s="1467">
        <f t="shared" si="900"/>
        <v>635250</v>
      </c>
      <c r="AG210" s="1467">
        <f t="shared" si="900"/>
        <v>635250</v>
      </c>
      <c r="AH210" s="1467">
        <f t="shared" si="900"/>
        <v>635250</v>
      </c>
      <c r="AI210" s="1467">
        <f t="shared" si="900"/>
        <v>635250</v>
      </c>
      <c r="AJ210" s="1467">
        <f t="shared" si="900"/>
        <v>635250</v>
      </c>
      <c r="AK210" s="1467">
        <f t="shared" si="900"/>
        <v>635250</v>
      </c>
      <c r="AL210" s="1467">
        <f t="shared" si="900"/>
        <v>635250</v>
      </c>
      <c r="AM210" s="1467">
        <f t="shared" si="900"/>
        <v>635250</v>
      </c>
      <c r="AN210" s="1467">
        <f t="shared" si="900"/>
        <v>635250</v>
      </c>
      <c r="AO210" s="1467">
        <f t="shared" si="900"/>
        <v>635250</v>
      </c>
      <c r="AP210" s="1468">
        <f t="shared" si="909"/>
        <v>19057500</v>
      </c>
      <c r="AQ210" s="1478"/>
      <c r="AR210" s="1467">
        <f t="shared" si="861"/>
        <v>18422250</v>
      </c>
      <c r="AS210" s="1467">
        <f t="shared" si="862"/>
        <v>17787000</v>
      </c>
      <c r="AT210" s="1467">
        <f t="shared" si="827"/>
        <v>17151750</v>
      </c>
      <c r="AU210" s="1467">
        <f t="shared" si="828"/>
        <v>16516500</v>
      </c>
      <c r="AV210" s="1467">
        <f t="shared" si="829"/>
        <v>15881250</v>
      </c>
      <c r="AW210" s="1467">
        <f t="shared" si="830"/>
        <v>15246000</v>
      </c>
      <c r="AX210" s="1467">
        <f t="shared" si="831"/>
        <v>14610750</v>
      </c>
      <c r="AY210" s="1467">
        <f t="shared" si="832"/>
        <v>13975500</v>
      </c>
      <c r="AZ210" s="1467">
        <f t="shared" si="833"/>
        <v>13340250</v>
      </c>
      <c r="BA210" s="1467">
        <f t="shared" si="834"/>
        <v>12705000</v>
      </c>
      <c r="BB210" s="1467">
        <f t="shared" si="835"/>
        <v>12069750</v>
      </c>
      <c r="BC210" s="1467">
        <f t="shared" si="836"/>
        <v>11434500</v>
      </c>
      <c r="BD210" s="1467">
        <f t="shared" si="837"/>
        <v>10799250</v>
      </c>
      <c r="BE210" s="1467">
        <f t="shared" si="838"/>
        <v>10164000</v>
      </c>
      <c r="BF210" s="1467">
        <f t="shared" si="839"/>
        <v>9528750</v>
      </c>
      <c r="BG210" s="1467">
        <f t="shared" si="840"/>
        <v>8893500</v>
      </c>
      <c r="BH210" s="1467">
        <f t="shared" si="841"/>
        <v>8258250</v>
      </c>
      <c r="BI210" s="1467">
        <f t="shared" si="842"/>
        <v>7623000</v>
      </c>
      <c r="BJ210" s="1467">
        <f t="shared" si="843"/>
        <v>6987750</v>
      </c>
      <c r="BK210" s="1467">
        <f t="shared" si="844"/>
        <v>6352500</v>
      </c>
      <c r="BL210" s="1467">
        <f t="shared" si="845"/>
        <v>5717250</v>
      </c>
      <c r="BM210" s="1467">
        <f t="shared" si="846"/>
        <v>5082000</v>
      </c>
      <c r="BN210" s="1467">
        <f t="shared" si="847"/>
        <v>4446750</v>
      </c>
      <c r="BO210" s="1467">
        <f t="shared" si="848"/>
        <v>3811500</v>
      </c>
      <c r="BP210" s="1467">
        <f t="shared" si="849"/>
        <v>3176250</v>
      </c>
      <c r="BQ210" s="1467">
        <f t="shared" si="850"/>
        <v>2541000</v>
      </c>
      <c r="BR210" s="1467">
        <f t="shared" si="851"/>
        <v>1905750</v>
      </c>
      <c r="BS210" s="1467">
        <f t="shared" si="852"/>
        <v>1270500</v>
      </c>
      <c r="BT210" s="1467">
        <f t="shared" si="853"/>
        <v>635250</v>
      </c>
      <c r="BU210" s="1467">
        <f t="shared" si="854"/>
        <v>0</v>
      </c>
      <c r="BV210" s="1490"/>
    </row>
    <row r="211" spans="1:74" x14ac:dyDescent="0.2">
      <c r="A211" s="927" t="str">
        <f t="shared" si="855"/>
        <v>Accelerated.Straight-Line</v>
      </c>
      <c r="B211" s="1076"/>
      <c r="C211" s="1076" t="str">
        <f t="shared" si="901"/>
        <v>Accelerated</v>
      </c>
      <c r="D211" s="1076" t="str">
        <f>Assumptions!$AH$81</f>
        <v>Straight-Line</v>
      </c>
      <c r="E211" s="1076" t="str">
        <f t="shared" ref="E211:F211" si="912">E197</f>
        <v>Stockfeed plant - bran, germ, DDGS</v>
      </c>
      <c r="F211" s="1467">
        <f t="shared" si="912"/>
        <v>0</v>
      </c>
      <c r="G211" s="1467">
        <f t="shared" si="856"/>
        <v>0</v>
      </c>
      <c r="H211" s="1467">
        <f t="shared" si="857"/>
        <v>0</v>
      </c>
      <c r="I211" s="1467">
        <f t="shared" si="858"/>
        <v>0</v>
      </c>
      <c r="J211" s="1161">
        <f t="shared" si="904"/>
        <v>3.3333333333333333E-2</v>
      </c>
      <c r="K211" s="1107"/>
      <c r="L211" s="1467">
        <f t="shared" si="911"/>
        <v>0</v>
      </c>
      <c r="M211" s="1467">
        <f t="shared" si="911"/>
        <v>0</v>
      </c>
      <c r="N211" s="1467">
        <f t="shared" si="911"/>
        <v>0</v>
      </c>
      <c r="O211" s="1467">
        <f t="shared" si="911"/>
        <v>0</v>
      </c>
      <c r="P211" s="1467">
        <f t="shared" si="911"/>
        <v>0</v>
      </c>
      <c r="Q211" s="1467">
        <f t="shared" si="911"/>
        <v>0</v>
      </c>
      <c r="R211" s="1467">
        <f t="shared" si="911"/>
        <v>0</v>
      </c>
      <c r="S211" s="1467">
        <f t="shared" si="911"/>
        <v>0</v>
      </c>
      <c r="T211" s="1467">
        <f t="shared" si="911"/>
        <v>0</v>
      </c>
      <c r="U211" s="1467">
        <f t="shared" si="911"/>
        <v>0</v>
      </c>
      <c r="V211" s="1467">
        <f t="shared" si="911"/>
        <v>0</v>
      </c>
      <c r="W211" s="1467">
        <f t="shared" si="911"/>
        <v>0</v>
      </c>
      <c r="X211" s="1467">
        <f t="shared" si="911"/>
        <v>0</v>
      </c>
      <c r="Y211" s="1467">
        <f t="shared" si="911"/>
        <v>0</v>
      </c>
      <c r="Z211" s="1467">
        <f t="shared" si="911"/>
        <v>0</v>
      </c>
      <c r="AA211" s="1467">
        <f t="shared" si="911"/>
        <v>0</v>
      </c>
      <c r="AB211" s="1467">
        <f t="shared" si="900"/>
        <v>0</v>
      </c>
      <c r="AC211" s="1467">
        <f t="shared" si="900"/>
        <v>0</v>
      </c>
      <c r="AD211" s="1467">
        <f t="shared" si="900"/>
        <v>0</v>
      </c>
      <c r="AE211" s="1467">
        <f t="shared" si="900"/>
        <v>0</v>
      </c>
      <c r="AF211" s="1467">
        <f t="shared" si="900"/>
        <v>0</v>
      </c>
      <c r="AG211" s="1467">
        <f t="shared" si="900"/>
        <v>0</v>
      </c>
      <c r="AH211" s="1467">
        <f t="shared" si="900"/>
        <v>0</v>
      </c>
      <c r="AI211" s="1467">
        <f t="shared" si="900"/>
        <v>0</v>
      </c>
      <c r="AJ211" s="1467">
        <f t="shared" si="900"/>
        <v>0</v>
      </c>
      <c r="AK211" s="1467">
        <f t="shared" si="900"/>
        <v>0</v>
      </c>
      <c r="AL211" s="1467">
        <f t="shared" si="900"/>
        <v>0</v>
      </c>
      <c r="AM211" s="1467">
        <f t="shared" si="900"/>
        <v>0</v>
      </c>
      <c r="AN211" s="1467">
        <f t="shared" si="900"/>
        <v>0</v>
      </c>
      <c r="AO211" s="1467">
        <f t="shared" si="900"/>
        <v>0</v>
      </c>
      <c r="AP211" s="1468">
        <f t="shared" si="909"/>
        <v>0</v>
      </c>
      <c r="AQ211" s="1478"/>
      <c r="AR211" s="1467">
        <f t="shared" si="861"/>
        <v>0</v>
      </c>
      <c r="AS211" s="1467">
        <f t="shared" si="862"/>
        <v>0</v>
      </c>
      <c r="AT211" s="1467">
        <f t="shared" si="827"/>
        <v>0</v>
      </c>
      <c r="AU211" s="1467">
        <f t="shared" si="828"/>
        <v>0</v>
      </c>
      <c r="AV211" s="1467">
        <f t="shared" si="829"/>
        <v>0</v>
      </c>
      <c r="AW211" s="1467">
        <f t="shared" si="830"/>
        <v>0</v>
      </c>
      <c r="AX211" s="1467">
        <f t="shared" si="831"/>
        <v>0</v>
      </c>
      <c r="AY211" s="1467">
        <f t="shared" si="832"/>
        <v>0</v>
      </c>
      <c r="AZ211" s="1467">
        <f t="shared" si="833"/>
        <v>0</v>
      </c>
      <c r="BA211" s="1467">
        <f t="shared" si="834"/>
        <v>0</v>
      </c>
      <c r="BB211" s="1467">
        <f t="shared" si="835"/>
        <v>0</v>
      </c>
      <c r="BC211" s="1467">
        <f t="shared" si="836"/>
        <v>0</v>
      </c>
      <c r="BD211" s="1467">
        <f t="shared" si="837"/>
        <v>0</v>
      </c>
      <c r="BE211" s="1467">
        <f t="shared" si="838"/>
        <v>0</v>
      </c>
      <c r="BF211" s="1467">
        <f t="shared" si="839"/>
        <v>0</v>
      </c>
      <c r="BG211" s="1467">
        <f t="shared" si="840"/>
        <v>0</v>
      </c>
      <c r="BH211" s="1467">
        <f t="shared" si="841"/>
        <v>0</v>
      </c>
      <c r="BI211" s="1467">
        <f t="shared" si="842"/>
        <v>0</v>
      </c>
      <c r="BJ211" s="1467">
        <f t="shared" si="843"/>
        <v>0</v>
      </c>
      <c r="BK211" s="1467">
        <f t="shared" si="844"/>
        <v>0</v>
      </c>
      <c r="BL211" s="1467">
        <f t="shared" si="845"/>
        <v>0</v>
      </c>
      <c r="BM211" s="1467">
        <f t="shared" si="846"/>
        <v>0</v>
      </c>
      <c r="BN211" s="1467">
        <f t="shared" si="847"/>
        <v>0</v>
      </c>
      <c r="BO211" s="1467">
        <f t="shared" si="848"/>
        <v>0</v>
      </c>
      <c r="BP211" s="1467">
        <f t="shared" si="849"/>
        <v>0</v>
      </c>
      <c r="BQ211" s="1467">
        <f t="shared" si="850"/>
        <v>0</v>
      </c>
      <c r="BR211" s="1467">
        <f t="shared" si="851"/>
        <v>0</v>
      </c>
      <c r="BS211" s="1467">
        <f t="shared" si="852"/>
        <v>0</v>
      </c>
      <c r="BT211" s="1467">
        <f t="shared" si="853"/>
        <v>0</v>
      </c>
      <c r="BU211" s="1467">
        <f t="shared" si="854"/>
        <v>0</v>
      </c>
      <c r="BV211" s="1490"/>
    </row>
    <row r="212" spans="1:74" x14ac:dyDescent="0.2">
      <c r="A212" s="927" t="str">
        <f t="shared" si="855"/>
        <v>Accelerated.Straight-Line</v>
      </c>
      <c r="B212" s="1076"/>
      <c r="C212" s="1076" t="str">
        <f t="shared" si="901"/>
        <v>Accelerated</v>
      </c>
      <c r="D212" s="1076" t="str">
        <f>Assumptions!$AH$81</f>
        <v>Straight-Line</v>
      </c>
      <c r="E212" s="1076" t="str">
        <f t="shared" ref="E212:F212" si="913">E198</f>
        <v>Biogas Plant</v>
      </c>
      <c r="F212" s="1467">
        <f t="shared" si="913"/>
        <v>13000000</v>
      </c>
      <c r="G212" s="1467">
        <f t="shared" si="856"/>
        <v>16087500</v>
      </c>
      <c r="H212" s="1467">
        <f t="shared" si="857"/>
        <v>17696250</v>
      </c>
      <c r="I212" s="1467">
        <f t="shared" si="858"/>
        <v>17696250</v>
      </c>
      <c r="J212" s="1161">
        <f t="shared" si="904"/>
        <v>3.3333333333333333E-2</v>
      </c>
      <c r="K212" s="1107"/>
      <c r="L212" s="1467">
        <f t="shared" si="911"/>
        <v>589875</v>
      </c>
      <c r="M212" s="1467">
        <f t="shared" si="911"/>
        <v>589875</v>
      </c>
      <c r="N212" s="1467">
        <f t="shared" si="911"/>
        <v>589875</v>
      </c>
      <c r="O212" s="1467">
        <f t="shared" si="911"/>
        <v>589875</v>
      </c>
      <c r="P212" s="1467">
        <f t="shared" si="911"/>
        <v>589875</v>
      </c>
      <c r="Q212" s="1467">
        <f t="shared" si="911"/>
        <v>589875</v>
      </c>
      <c r="R212" s="1467">
        <f t="shared" si="911"/>
        <v>589875</v>
      </c>
      <c r="S212" s="1467">
        <f t="shared" si="911"/>
        <v>589875</v>
      </c>
      <c r="T212" s="1467">
        <f t="shared" si="911"/>
        <v>589875</v>
      </c>
      <c r="U212" s="1467">
        <f t="shared" si="911"/>
        <v>589875</v>
      </c>
      <c r="V212" s="1467">
        <f t="shared" si="911"/>
        <v>589875</v>
      </c>
      <c r="W212" s="1467">
        <f t="shared" si="911"/>
        <v>589875</v>
      </c>
      <c r="X212" s="1467">
        <f t="shared" si="911"/>
        <v>589875</v>
      </c>
      <c r="Y212" s="1467">
        <f t="shared" si="911"/>
        <v>589875</v>
      </c>
      <c r="Z212" s="1467">
        <f t="shared" si="911"/>
        <v>589875</v>
      </c>
      <c r="AA212" s="1467">
        <f t="shared" si="911"/>
        <v>589875</v>
      </c>
      <c r="AB212" s="1467">
        <f t="shared" si="900"/>
        <v>589875</v>
      </c>
      <c r="AC212" s="1467">
        <f t="shared" si="900"/>
        <v>589875</v>
      </c>
      <c r="AD212" s="1467">
        <f t="shared" si="900"/>
        <v>589875</v>
      </c>
      <c r="AE212" s="1467">
        <f t="shared" si="900"/>
        <v>589875</v>
      </c>
      <c r="AF212" s="1467">
        <f t="shared" si="900"/>
        <v>589875</v>
      </c>
      <c r="AG212" s="1467">
        <f t="shared" si="900"/>
        <v>589875</v>
      </c>
      <c r="AH212" s="1467">
        <f t="shared" si="900"/>
        <v>589875</v>
      </c>
      <c r="AI212" s="1467">
        <f t="shared" si="900"/>
        <v>589875</v>
      </c>
      <c r="AJ212" s="1467">
        <f t="shared" si="900"/>
        <v>589875</v>
      </c>
      <c r="AK212" s="1467">
        <f t="shared" si="900"/>
        <v>589875</v>
      </c>
      <c r="AL212" s="1467">
        <f t="shared" si="900"/>
        <v>589875</v>
      </c>
      <c r="AM212" s="1467">
        <f t="shared" si="900"/>
        <v>589875</v>
      </c>
      <c r="AN212" s="1467">
        <f t="shared" si="900"/>
        <v>589875</v>
      </c>
      <c r="AO212" s="1467">
        <f t="shared" si="900"/>
        <v>589875</v>
      </c>
      <c r="AP212" s="1468">
        <f t="shared" si="909"/>
        <v>17696250</v>
      </c>
      <c r="AQ212" s="1478"/>
      <c r="AR212" s="1467">
        <f t="shared" si="861"/>
        <v>17106375</v>
      </c>
      <c r="AS212" s="1467">
        <f t="shared" si="862"/>
        <v>16516500</v>
      </c>
      <c r="AT212" s="1467">
        <f t="shared" si="827"/>
        <v>15926625</v>
      </c>
      <c r="AU212" s="1467">
        <f t="shared" si="828"/>
        <v>15336750</v>
      </c>
      <c r="AV212" s="1467">
        <f t="shared" si="829"/>
        <v>14746875</v>
      </c>
      <c r="AW212" s="1467">
        <f t="shared" si="830"/>
        <v>14157000</v>
      </c>
      <c r="AX212" s="1467">
        <f t="shared" si="831"/>
        <v>13567125</v>
      </c>
      <c r="AY212" s="1467">
        <f t="shared" si="832"/>
        <v>12977250</v>
      </c>
      <c r="AZ212" s="1467">
        <f t="shared" si="833"/>
        <v>12387375</v>
      </c>
      <c r="BA212" s="1467">
        <f t="shared" si="834"/>
        <v>11797500</v>
      </c>
      <c r="BB212" s="1467">
        <f t="shared" si="835"/>
        <v>11207625</v>
      </c>
      <c r="BC212" s="1467">
        <f t="shared" si="836"/>
        <v>10617750</v>
      </c>
      <c r="BD212" s="1467">
        <f t="shared" si="837"/>
        <v>10027875</v>
      </c>
      <c r="BE212" s="1467">
        <f t="shared" si="838"/>
        <v>9438000</v>
      </c>
      <c r="BF212" s="1467">
        <f t="shared" si="839"/>
        <v>8848125</v>
      </c>
      <c r="BG212" s="1467">
        <f t="shared" si="840"/>
        <v>8258250</v>
      </c>
      <c r="BH212" s="1467">
        <f t="shared" si="841"/>
        <v>7668375</v>
      </c>
      <c r="BI212" s="1467">
        <f t="shared" si="842"/>
        <v>7078500</v>
      </c>
      <c r="BJ212" s="1467">
        <f t="shared" si="843"/>
        <v>6488625</v>
      </c>
      <c r="BK212" s="1467">
        <f t="shared" si="844"/>
        <v>5898750</v>
      </c>
      <c r="BL212" s="1467">
        <f t="shared" si="845"/>
        <v>5308875</v>
      </c>
      <c r="BM212" s="1467">
        <f t="shared" si="846"/>
        <v>4719000</v>
      </c>
      <c r="BN212" s="1467">
        <f t="shared" si="847"/>
        <v>4129125</v>
      </c>
      <c r="BO212" s="1467">
        <f t="shared" si="848"/>
        <v>3539250</v>
      </c>
      <c r="BP212" s="1467">
        <f t="shared" si="849"/>
        <v>2949375</v>
      </c>
      <c r="BQ212" s="1467">
        <f t="shared" si="850"/>
        <v>2359500</v>
      </c>
      <c r="BR212" s="1467">
        <f t="shared" si="851"/>
        <v>1769625</v>
      </c>
      <c r="BS212" s="1467">
        <f t="shared" si="852"/>
        <v>1179750</v>
      </c>
      <c r="BT212" s="1467">
        <f t="shared" si="853"/>
        <v>589875</v>
      </c>
      <c r="BU212" s="1467">
        <f t="shared" si="854"/>
        <v>0</v>
      </c>
      <c r="BV212" s="1490"/>
    </row>
    <row r="213" spans="1:74" x14ac:dyDescent="0.2">
      <c r="A213" s="927" t="str">
        <f t="shared" si="855"/>
        <v>Accelerated.Straight-Line</v>
      </c>
      <c r="B213" s="1076"/>
      <c r="C213" s="1076" t="str">
        <f t="shared" si="901"/>
        <v>Accelerated</v>
      </c>
      <c r="D213" s="1076" t="str">
        <f>Assumptions!$AH$81</f>
        <v>Straight-Line</v>
      </c>
      <c r="E213" s="1076" t="str">
        <f t="shared" ref="E213:F214" si="914">E199</f>
        <v>Cogeneration Plant</v>
      </c>
      <c r="F213" s="1467">
        <f t="shared" si="914"/>
        <v>10000000</v>
      </c>
      <c r="G213" s="1467">
        <f t="shared" si="856"/>
        <v>12375000</v>
      </c>
      <c r="H213" s="1467">
        <f t="shared" si="857"/>
        <v>13612500.000000002</v>
      </c>
      <c r="I213" s="1467">
        <f t="shared" si="858"/>
        <v>13612500.000000002</v>
      </c>
      <c r="J213" s="1161">
        <f t="shared" si="904"/>
        <v>3.3333333333333333E-2</v>
      </c>
      <c r="K213" s="1107"/>
      <c r="L213" s="1467">
        <f t="shared" si="911"/>
        <v>453750.00000000006</v>
      </c>
      <c r="M213" s="1467">
        <f t="shared" si="911"/>
        <v>453750.00000000006</v>
      </c>
      <c r="N213" s="1467">
        <f t="shared" si="911"/>
        <v>453750.00000000006</v>
      </c>
      <c r="O213" s="1467">
        <f t="shared" si="911"/>
        <v>453750.00000000006</v>
      </c>
      <c r="P213" s="1467">
        <f t="shared" si="911"/>
        <v>453750.00000000006</v>
      </c>
      <c r="Q213" s="1467">
        <f t="shared" si="911"/>
        <v>453750.00000000006</v>
      </c>
      <c r="R213" s="1467">
        <f t="shared" si="911"/>
        <v>453750.00000000006</v>
      </c>
      <c r="S213" s="1467">
        <f t="shared" si="911"/>
        <v>453750.00000000006</v>
      </c>
      <c r="T213" s="1467">
        <f t="shared" si="911"/>
        <v>453750.00000000006</v>
      </c>
      <c r="U213" s="1467">
        <f t="shared" si="911"/>
        <v>453750.00000000006</v>
      </c>
      <c r="V213" s="1467">
        <f t="shared" si="911"/>
        <v>453750.00000000006</v>
      </c>
      <c r="W213" s="1467">
        <f t="shared" si="911"/>
        <v>453750.00000000006</v>
      </c>
      <c r="X213" s="1467">
        <f t="shared" si="911"/>
        <v>453750.00000000006</v>
      </c>
      <c r="Y213" s="1467">
        <f t="shared" si="911"/>
        <v>453750.00000000006</v>
      </c>
      <c r="Z213" s="1467">
        <f t="shared" si="911"/>
        <v>453750.00000000006</v>
      </c>
      <c r="AA213" s="1467">
        <f t="shared" si="911"/>
        <v>453750.00000000006</v>
      </c>
      <c r="AB213" s="1467">
        <f t="shared" si="900"/>
        <v>453750.00000000006</v>
      </c>
      <c r="AC213" s="1467">
        <f t="shared" si="900"/>
        <v>453750.00000000006</v>
      </c>
      <c r="AD213" s="1467">
        <f t="shared" si="900"/>
        <v>453750.00000000006</v>
      </c>
      <c r="AE213" s="1467">
        <f t="shared" si="900"/>
        <v>453750.00000000006</v>
      </c>
      <c r="AF213" s="1467">
        <f t="shared" si="900"/>
        <v>453750.00000000006</v>
      </c>
      <c r="AG213" s="1467">
        <f t="shared" si="900"/>
        <v>453750.00000000006</v>
      </c>
      <c r="AH213" s="1467">
        <f t="shared" si="900"/>
        <v>453750.00000000006</v>
      </c>
      <c r="AI213" s="1467">
        <f t="shared" si="900"/>
        <v>453750.00000000006</v>
      </c>
      <c r="AJ213" s="1467">
        <f t="shared" si="900"/>
        <v>453750.00000000006</v>
      </c>
      <c r="AK213" s="1467">
        <f t="shared" si="900"/>
        <v>453750.00000000006</v>
      </c>
      <c r="AL213" s="1467">
        <f t="shared" si="900"/>
        <v>453750.00000000006</v>
      </c>
      <c r="AM213" s="1467">
        <f t="shared" si="900"/>
        <v>453750.00000000006</v>
      </c>
      <c r="AN213" s="1467">
        <f t="shared" si="900"/>
        <v>453750.00000000006</v>
      </c>
      <c r="AO213" s="1467">
        <f t="shared" si="900"/>
        <v>453750.00000000006</v>
      </c>
      <c r="AP213" s="1468">
        <f t="shared" si="909"/>
        <v>13612500.000000002</v>
      </c>
      <c r="AQ213" s="1478"/>
      <c r="AR213" s="1467">
        <f t="shared" si="861"/>
        <v>13158750.000000002</v>
      </c>
      <c r="AS213" s="1467">
        <f t="shared" si="862"/>
        <v>12705000.000000002</v>
      </c>
      <c r="AT213" s="1467">
        <f t="shared" si="827"/>
        <v>12251250.000000002</v>
      </c>
      <c r="AU213" s="1467">
        <f t="shared" si="828"/>
        <v>11797500.000000002</v>
      </c>
      <c r="AV213" s="1467">
        <f t="shared" si="829"/>
        <v>11343750.000000002</v>
      </c>
      <c r="AW213" s="1467">
        <f t="shared" si="830"/>
        <v>10890000.000000002</v>
      </c>
      <c r="AX213" s="1467">
        <f t="shared" si="831"/>
        <v>10436250.000000002</v>
      </c>
      <c r="AY213" s="1467">
        <f t="shared" si="832"/>
        <v>9982500.0000000019</v>
      </c>
      <c r="AZ213" s="1467">
        <f t="shared" si="833"/>
        <v>9528750.0000000019</v>
      </c>
      <c r="BA213" s="1467">
        <f t="shared" si="834"/>
        <v>9075000.0000000019</v>
      </c>
      <c r="BB213" s="1467">
        <f t="shared" si="835"/>
        <v>8621250.0000000019</v>
      </c>
      <c r="BC213" s="1467">
        <f t="shared" si="836"/>
        <v>8167500.0000000019</v>
      </c>
      <c r="BD213" s="1467">
        <f t="shared" si="837"/>
        <v>7713750.0000000019</v>
      </c>
      <c r="BE213" s="1467">
        <f t="shared" si="838"/>
        <v>7260000.0000000019</v>
      </c>
      <c r="BF213" s="1467">
        <f t="shared" si="839"/>
        <v>6806250.0000000019</v>
      </c>
      <c r="BG213" s="1467">
        <f t="shared" si="840"/>
        <v>6352500.0000000019</v>
      </c>
      <c r="BH213" s="1467">
        <f t="shared" si="841"/>
        <v>5898750.0000000019</v>
      </c>
      <c r="BI213" s="1467">
        <f t="shared" si="842"/>
        <v>5445000.0000000019</v>
      </c>
      <c r="BJ213" s="1467">
        <f t="shared" si="843"/>
        <v>4991250.0000000019</v>
      </c>
      <c r="BK213" s="1467">
        <f t="shared" si="844"/>
        <v>4537500.0000000019</v>
      </c>
      <c r="BL213" s="1467">
        <f t="shared" si="845"/>
        <v>4083750.0000000019</v>
      </c>
      <c r="BM213" s="1467">
        <f t="shared" si="846"/>
        <v>3630000.0000000019</v>
      </c>
      <c r="BN213" s="1467">
        <f t="shared" si="847"/>
        <v>3176250.0000000019</v>
      </c>
      <c r="BO213" s="1467">
        <f t="shared" si="848"/>
        <v>2722500.0000000019</v>
      </c>
      <c r="BP213" s="1467">
        <f t="shared" si="849"/>
        <v>2268750.0000000019</v>
      </c>
      <c r="BQ213" s="1467">
        <f t="shared" si="850"/>
        <v>1815000.0000000019</v>
      </c>
      <c r="BR213" s="1467">
        <f t="shared" si="851"/>
        <v>1361250.0000000019</v>
      </c>
      <c r="BS213" s="1467">
        <f t="shared" si="852"/>
        <v>907500.00000000186</v>
      </c>
      <c r="BT213" s="1467">
        <f t="shared" si="853"/>
        <v>453750.0000000018</v>
      </c>
      <c r="BU213" s="1467">
        <f t="shared" si="854"/>
        <v>1.7462298274040222E-9</v>
      </c>
      <c r="BV213" s="1490"/>
    </row>
    <row r="214" spans="1:74" x14ac:dyDescent="0.2">
      <c r="A214" s="927" t="str">
        <f t="shared" si="855"/>
        <v>Accelerated.Straight-Line</v>
      </c>
      <c r="B214" s="1076"/>
      <c r="C214" s="1168" t="str">
        <f t="shared" si="901"/>
        <v>Accelerated</v>
      </c>
      <c r="D214" s="1168" t="str">
        <f>Assumptions!$AH$81</f>
        <v>Straight-Line</v>
      </c>
      <c r="E214" s="1168" t="str">
        <f>E200</f>
        <v>Non-process buildings</v>
      </c>
      <c r="F214" s="1469">
        <f t="shared" si="914"/>
        <v>5000000</v>
      </c>
      <c r="G214" s="1469">
        <f t="shared" si="856"/>
        <v>6187500</v>
      </c>
      <c r="H214" s="1469">
        <f t="shared" si="857"/>
        <v>6806250.0000000009</v>
      </c>
      <c r="I214" s="1469">
        <f t="shared" si="858"/>
        <v>6806250.0000000009</v>
      </c>
      <c r="J214" s="1473">
        <f t="shared" si="904"/>
        <v>3.3333333333333333E-2</v>
      </c>
      <c r="K214" s="1107"/>
      <c r="L214" s="1467">
        <f t="shared" si="911"/>
        <v>226875.00000000003</v>
      </c>
      <c r="M214" s="1467">
        <f t="shared" si="911"/>
        <v>226875.00000000003</v>
      </c>
      <c r="N214" s="1467">
        <f t="shared" si="911"/>
        <v>226875.00000000003</v>
      </c>
      <c r="O214" s="1467">
        <f t="shared" si="911"/>
        <v>226875.00000000003</v>
      </c>
      <c r="P214" s="1467">
        <f t="shared" si="911"/>
        <v>226875.00000000003</v>
      </c>
      <c r="Q214" s="1467">
        <f t="shared" si="911"/>
        <v>226875.00000000003</v>
      </c>
      <c r="R214" s="1467">
        <f t="shared" si="911"/>
        <v>226875.00000000003</v>
      </c>
      <c r="S214" s="1467">
        <f t="shared" si="911"/>
        <v>226875.00000000003</v>
      </c>
      <c r="T214" s="1467">
        <f t="shared" si="911"/>
        <v>226875.00000000003</v>
      </c>
      <c r="U214" s="1467">
        <f t="shared" si="911"/>
        <v>226875.00000000003</v>
      </c>
      <c r="V214" s="1467">
        <f t="shared" si="911"/>
        <v>226875.00000000003</v>
      </c>
      <c r="W214" s="1467">
        <f t="shared" si="911"/>
        <v>226875.00000000003</v>
      </c>
      <c r="X214" s="1467">
        <f t="shared" si="911"/>
        <v>226875.00000000003</v>
      </c>
      <c r="Y214" s="1467">
        <f t="shared" si="911"/>
        <v>226875.00000000003</v>
      </c>
      <c r="Z214" s="1467">
        <f t="shared" si="911"/>
        <v>226875.00000000003</v>
      </c>
      <c r="AA214" s="1467">
        <f t="shared" si="911"/>
        <v>226875.00000000003</v>
      </c>
      <c r="AB214" s="1467">
        <f t="shared" si="900"/>
        <v>226875.00000000003</v>
      </c>
      <c r="AC214" s="1467">
        <f t="shared" si="900"/>
        <v>226875.00000000003</v>
      </c>
      <c r="AD214" s="1467">
        <f t="shared" si="900"/>
        <v>226875.00000000003</v>
      </c>
      <c r="AE214" s="1467">
        <f t="shared" si="900"/>
        <v>226875.00000000003</v>
      </c>
      <c r="AF214" s="1467">
        <f t="shared" si="900"/>
        <v>226875.00000000003</v>
      </c>
      <c r="AG214" s="1467">
        <f t="shared" si="900"/>
        <v>226875.00000000003</v>
      </c>
      <c r="AH214" s="1467">
        <f t="shared" si="900"/>
        <v>226875.00000000003</v>
      </c>
      <c r="AI214" s="1467">
        <f t="shared" si="900"/>
        <v>226875.00000000003</v>
      </c>
      <c r="AJ214" s="1467">
        <f t="shared" si="900"/>
        <v>226875.00000000003</v>
      </c>
      <c r="AK214" s="1467">
        <f t="shared" si="900"/>
        <v>226875.00000000003</v>
      </c>
      <c r="AL214" s="1467">
        <f t="shared" si="900"/>
        <v>226875.00000000003</v>
      </c>
      <c r="AM214" s="1467">
        <f t="shared" si="900"/>
        <v>226875.00000000003</v>
      </c>
      <c r="AN214" s="1467">
        <f t="shared" si="900"/>
        <v>226875.00000000003</v>
      </c>
      <c r="AO214" s="1467">
        <f t="shared" si="900"/>
        <v>226875.00000000003</v>
      </c>
      <c r="AP214" s="1468">
        <f t="shared" si="909"/>
        <v>6806250.0000000009</v>
      </c>
      <c r="AQ214" s="1478"/>
      <c r="AR214" s="1467">
        <f t="shared" si="861"/>
        <v>6579375.0000000009</v>
      </c>
      <c r="AS214" s="1467">
        <f t="shared" si="862"/>
        <v>6352500.0000000009</v>
      </c>
      <c r="AT214" s="1467">
        <f t="shared" si="827"/>
        <v>6125625.0000000009</v>
      </c>
      <c r="AU214" s="1467">
        <f t="shared" si="828"/>
        <v>5898750.0000000009</v>
      </c>
      <c r="AV214" s="1467">
        <f t="shared" si="829"/>
        <v>5671875.0000000009</v>
      </c>
      <c r="AW214" s="1467">
        <f t="shared" si="830"/>
        <v>5445000.0000000009</v>
      </c>
      <c r="AX214" s="1467">
        <f t="shared" si="831"/>
        <v>5218125.0000000009</v>
      </c>
      <c r="AY214" s="1467">
        <f t="shared" si="832"/>
        <v>4991250.0000000009</v>
      </c>
      <c r="AZ214" s="1467">
        <f t="shared" si="833"/>
        <v>4764375.0000000009</v>
      </c>
      <c r="BA214" s="1467">
        <f t="shared" si="834"/>
        <v>4537500.0000000009</v>
      </c>
      <c r="BB214" s="1467">
        <f t="shared" si="835"/>
        <v>4310625.0000000009</v>
      </c>
      <c r="BC214" s="1467">
        <f t="shared" si="836"/>
        <v>4083750.0000000009</v>
      </c>
      <c r="BD214" s="1467">
        <f t="shared" si="837"/>
        <v>3856875.0000000009</v>
      </c>
      <c r="BE214" s="1467">
        <f t="shared" si="838"/>
        <v>3630000.0000000009</v>
      </c>
      <c r="BF214" s="1467">
        <f t="shared" si="839"/>
        <v>3403125.0000000009</v>
      </c>
      <c r="BG214" s="1467">
        <f t="shared" si="840"/>
        <v>3176250.0000000009</v>
      </c>
      <c r="BH214" s="1467">
        <f t="shared" si="841"/>
        <v>2949375.0000000009</v>
      </c>
      <c r="BI214" s="1467">
        <f t="shared" si="842"/>
        <v>2722500.0000000009</v>
      </c>
      <c r="BJ214" s="1467">
        <f t="shared" si="843"/>
        <v>2495625.0000000009</v>
      </c>
      <c r="BK214" s="1467">
        <f t="shared" si="844"/>
        <v>2268750.0000000009</v>
      </c>
      <c r="BL214" s="1467">
        <f t="shared" si="845"/>
        <v>2041875.0000000009</v>
      </c>
      <c r="BM214" s="1467">
        <f t="shared" si="846"/>
        <v>1815000.0000000009</v>
      </c>
      <c r="BN214" s="1467">
        <f t="shared" si="847"/>
        <v>1588125.0000000009</v>
      </c>
      <c r="BO214" s="1467">
        <f t="shared" si="848"/>
        <v>1361250.0000000009</v>
      </c>
      <c r="BP214" s="1467">
        <f t="shared" si="849"/>
        <v>1134375.0000000009</v>
      </c>
      <c r="BQ214" s="1467">
        <f t="shared" si="850"/>
        <v>907500.00000000093</v>
      </c>
      <c r="BR214" s="1467">
        <f t="shared" si="851"/>
        <v>680625.00000000093</v>
      </c>
      <c r="BS214" s="1467">
        <f t="shared" si="852"/>
        <v>453750.00000000093</v>
      </c>
      <c r="BT214" s="1467">
        <f t="shared" si="853"/>
        <v>226875.0000000009</v>
      </c>
      <c r="BU214" s="1467">
        <f t="shared" si="854"/>
        <v>8.7311491370201111E-10</v>
      </c>
      <c r="BV214" s="1490"/>
    </row>
    <row r="215" spans="1:74" x14ac:dyDescent="0.2">
      <c r="C215" s="1470" t="str">
        <f t="shared" si="901"/>
        <v>Accelerated</v>
      </c>
      <c r="D215" s="1470" t="str">
        <f>Assumptions!$AH$81</f>
        <v>Straight-Line</v>
      </c>
      <c r="E215" s="1470" t="s">
        <v>995</v>
      </c>
      <c r="F215" s="1470"/>
      <c r="G215" s="1471">
        <f>G201</f>
        <v>15000000</v>
      </c>
      <c r="H215" s="1471">
        <f t="shared" ref="H215" si="915">G215*(1+$F$5)</f>
        <v>16500000.000000002</v>
      </c>
      <c r="I215" s="1471">
        <f t="shared" ref="I215" si="916">H215*(1+$F$6)</f>
        <v>16500000.000000002</v>
      </c>
      <c r="J215" s="1475">
        <f t="shared" si="904"/>
        <v>3.3333333333333333E-2</v>
      </c>
      <c r="K215" s="1107"/>
      <c r="L215" s="1467">
        <f t="shared" si="911"/>
        <v>550000</v>
      </c>
      <c r="M215" s="1467">
        <f t="shared" si="911"/>
        <v>550000</v>
      </c>
      <c r="N215" s="1467">
        <f t="shared" si="911"/>
        <v>550000</v>
      </c>
      <c r="O215" s="1467">
        <f t="shared" si="911"/>
        <v>550000</v>
      </c>
      <c r="P215" s="1467">
        <f t="shared" si="911"/>
        <v>550000</v>
      </c>
      <c r="Q215" s="1467">
        <f t="shared" si="911"/>
        <v>550000</v>
      </c>
      <c r="R215" s="1467">
        <f t="shared" si="911"/>
        <v>550000</v>
      </c>
      <c r="S215" s="1467">
        <f t="shared" si="911"/>
        <v>550000</v>
      </c>
      <c r="T215" s="1467">
        <f t="shared" si="911"/>
        <v>550000</v>
      </c>
      <c r="U215" s="1467">
        <f t="shared" si="911"/>
        <v>550000</v>
      </c>
      <c r="V215" s="1467">
        <f t="shared" si="911"/>
        <v>550000</v>
      </c>
      <c r="W215" s="1467">
        <f t="shared" si="911"/>
        <v>550000</v>
      </c>
      <c r="X215" s="1467">
        <f t="shared" si="911"/>
        <v>550000</v>
      </c>
      <c r="Y215" s="1467">
        <f t="shared" si="911"/>
        <v>550000</v>
      </c>
      <c r="Z215" s="1467">
        <f t="shared" si="911"/>
        <v>550000</v>
      </c>
      <c r="AA215" s="1467">
        <f t="shared" si="911"/>
        <v>550000</v>
      </c>
      <c r="AB215" s="1467">
        <f t="shared" si="900"/>
        <v>550000</v>
      </c>
      <c r="AC215" s="1467">
        <f t="shared" si="900"/>
        <v>550000</v>
      </c>
      <c r="AD215" s="1467">
        <f t="shared" si="900"/>
        <v>550000</v>
      </c>
      <c r="AE215" s="1467">
        <f t="shared" si="900"/>
        <v>550000</v>
      </c>
      <c r="AF215" s="1467">
        <f t="shared" si="900"/>
        <v>550000</v>
      </c>
      <c r="AG215" s="1467">
        <f t="shared" si="900"/>
        <v>550000</v>
      </c>
      <c r="AH215" s="1467">
        <f t="shared" si="900"/>
        <v>550000</v>
      </c>
      <c r="AI215" s="1467">
        <f t="shared" si="900"/>
        <v>550000</v>
      </c>
      <c r="AJ215" s="1467">
        <f t="shared" si="900"/>
        <v>550000</v>
      </c>
      <c r="AK215" s="1467">
        <f t="shared" si="900"/>
        <v>550000</v>
      </c>
      <c r="AL215" s="1467">
        <f t="shared" si="900"/>
        <v>550000</v>
      </c>
      <c r="AM215" s="1467">
        <f t="shared" si="900"/>
        <v>550000</v>
      </c>
      <c r="AN215" s="1467">
        <f t="shared" si="900"/>
        <v>550000</v>
      </c>
      <c r="AO215" s="1467">
        <f t="shared" si="900"/>
        <v>550000</v>
      </c>
      <c r="AP215" s="1468">
        <f t="shared" ref="AP215" si="917">SUM(L215:AO215)</f>
        <v>16500000</v>
      </c>
      <c r="AQ215" s="1478"/>
      <c r="AR215" s="1467">
        <f t="shared" ref="AR215" si="918">I215-L215</f>
        <v>15950000.000000002</v>
      </c>
      <c r="AS215" s="1467">
        <f t="shared" ref="AS215" si="919">AR215-M215</f>
        <v>15400000.000000002</v>
      </c>
      <c r="AT215" s="1467">
        <f t="shared" ref="AT215" si="920">AS215-N215</f>
        <v>14850000.000000002</v>
      </c>
      <c r="AU215" s="1467">
        <f t="shared" ref="AU215" si="921">AT215-O215</f>
        <v>14300000.000000002</v>
      </c>
      <c r="AV215" s="1467">
        <f t="shared" ref="AV215" si="922">AU215-P215</f>
        <v>13750000.000000002</v>
      </c>
      <c r="AW215" s="1467">
        <f t="shared" ref="AW215" si="923">AV215-Q215</f>
        <v>13200000.000000002</v>
      </c>
      <c r="AX215" s="1467">
        <f t="shared" ref="AX215" si="924">AW215-R215</f>
        <v>12650000.000000002</v>
      </c>
      <c r="AY215" s="1467">
        <f t="shared" ref="AY215" si="925">AX215-S215</f>
        <v>12100000.000000002</v>
      </c>
      <c r="AZ215" s="1467">
        <f t="shared" ref="AZ215" si="926">AY215-T215</f>
        <v>11550000.000000002</v>
      </c>
      <c r="BA215" s="1467">
        <f t="shared" ref="BA215" si="927">AZ215-U215</f>
        <v>11000000.000000002</v>
      </c>
      <c r="BB215" s="1467">
        <f t="shared" ref="BB215" si="928">BA215-V215</f>
        <v>10450000.000000002</v>
      </c>
      <c r="BC215" s="1467">
        <f t="shared" ref="BC215" si="929">BB215-W215</f>
        <v>9900000.0000000019</v>
      </c>
      <c r="BD215" s="1467">
        <f t="shared" ref="BD215" si="930">BC215-X215</f>
        <v>9350000.0000000019</v>
      </c>
      <c r="BE215" s="1467">
        <f t="shared" ref="BE215" si="931">BD215-Y215</f>
        <v>8800000.0000000019</v>
      </c>
      <c r="BF215" s="1467">
        <f t="shared" ref="BF215" si="932">BE215-Z215</f>
        <v>8250000.0000000019</v>
      </c>
      <c r="BG215" s="1467">
        <f t="shared" ref="BG215" si="933">BF215-AA215</f>
        <v>7700000.0000000019</v>
      </c>
      <c r="BH215" s="1467">
        <f t="shared" ref="BH215" si="934">BG215-AB215</f>
        <v>7150000.0000000019</v>
      </c>
      <c r="BI215" s="1467">
        <f t="shared" ref="BI215" si="935">BH215-AC215</f>
        <v>6600000.0000000019</v>
      </c>
      <c r="BJ215" s="1467">
        <f t="shared" ref="BJ215" si="936">BI215-AD215</f>
        <v>6050000.0000000019</v>
      </c>
      <c r="BK215" s="1467">
        <f t="shared" ref="BK215" si="937">BJ215-AE215</f>
        <v>5500000.0000000019</v>
      </c>
      <c r="BL215" s="1467">
        <f t="shared" ref="BL215" si="938">BK215-AF215</f>
        <v>4950000.0000000019</v>
      </c>
      <c r="BM215" s="1467">
        <f t="shared" ref="BM215" si="939">BL215-AG215</f>
        <v>4400000.0000000019</v>
      </c>
      <c r="BN215" s="1467">
        <f t="shared" ref="BN215" si="940">BM215-AH215</f>
        <v>3850000.0000000019</v>
      </c>
      <c r="BO215" s="1467">
        <f t="shared" ref="BO215" si="941">BN215-AI215</f>
        <v>3300000.0000000019</v>
      </c>
      <c r="BP215" s="1467">
        <f t="shared" ref="BP215" si="942">BO215-AJ215</f>
        <v>2750000.0000000019</v>
      </c>
      <c r="BQ215" s="1467">
        <f t="shared" ref="BQ215" si="943">BP215-AK215</f>
        <v>2200000.0000000019</v>
      </c>
      <c r="BR215" s="1467">
        <f t="shared" ref="BR215" si="944">BQ215-AL215</f>
        <v>1650000.0000000019</v>
      </c>
      <c r="BS215" s="1467">
        <f t="shared" ref="BS215" si="945">BR215-AM215</f>
        <v>1100000.0000000019</v>
      </c>
      <c r="BT215" s="1467">
        <f t="shared" ref="BT215" si="946">BS215-AN215</f>
        <v>550000.00000000186</v>
      </c>
      <c r="BU215" s="1467">
        <f t="shared" ref="BU215" si="947">BT215-AO215</f>
        <v>1.862645149230957E-9</v>
      </c>
      <c r="BV215" s="1490"/>
    </row>
    <row r="216" spans="1:74" x14ac:dyDescent="0.2">
      <c r="B216" s="1297" t="str">
        <f>"Total Depreciation "&amp;B187&amp;" ("&amp;B188&amp;") over 30 years"</f>
        <v>Total Depreciation Wheat Standalone (Starch) (Accelerated) over 30 years</v>
      </c>
      <c r="C216" s="1107"/>
      <c r="D216" s="1107"/>
      <c r="E216" s="1107"/>
      <c r="F216" s="1107"/>
      <c r="G216" s="1107">
        <f t="shared" ref="G216:G217" si="948">F216*(1+$F$4)</f>
        <v>0</v>
      </c>
      <c r="H216" s="1107">
        <f t="shared" ref="H216:H217" si="949">G216*(1+$F$5)</f>
        <v>0</v>
      </c>
      <c r="I216" s="1107">
        <f t="shared" ref="I216" si="950">H216*(1+$F$6)</f>
        <v>0</v>
      </c>
      <c r="J216" s="1472">
        <f>IFERROR(INDEX(Assumptions!$AI$82:$AI$164,MATCH(Depreciation!$D216,Assumptions!$AH$81:$AH$163,0)),0)</f>
        <v>0</v>
      </c>
      <c r="K216" s="1107"/>
      <c r="L216" s="1468">
        <f>SUM(L189:L201)</f>
        <v>29436000</v>
      </c>
      <c r="M216" s="1468">
        <f t="shared" ref="M216:AP216" si="951">SUM(M189:M201)</f>
        <v>23548800</v>
      </c>
      <c r="N216" s="1468">
        <f t="shared" si="951"/>
        <v>18839040</v>
      </c>
      <c r="O216" s="1468">
        <f t="shared" si="951"/>
        <v>15071232</v>
      </c>
      <c r="P216" s="1468">
        <f t="shared" si="951"/>
        <v>12056985.600000001</v>
      </c>
      <c r="Q216" s="1468">
        <f t="shared" si="951"/>
        <v>9645588.4800000004</v>
      </c>
      <c r="R216" s="1468">
        <f t="shared" si="951"/>
        <v>7716470.784</v>
      </c>
      <c r="S216" s="1468">
        <f t="shared" si="951"/>
        <v>6173176.6272</v>
      </c>
      <c r="T216" s="1468">
        <f t="shared" si="951"/>
        <v>4938541.3017600011</v>
      </c>
      <c r="U216" s="1468">
        <f t="shared" si="951"/>
        <v>3950833.041408</v>
      </c>
      <c r="V216" s="1468">
        <f t="shared" si="951"/>
        <v>3160666.4331263993</v>
      </c>
      <c r="W216" s="1468">
        <f t="shared" si="951"/>
        <v>2528533.1465011192</v>
      </c>
      <c r="X216" s="1468">
        <f t="shared" si="951"/>
        <v>2022826.5172008961</v>
      </c>
      <c r="Y216" s="1468">
        <f t="shared" si="951"/>
        <v>1618261.2137607164</v>
      </c>
      <c r="Z216" s="1468">
        <f t="shared" si="951"/>
        <v>1294608.9710085727</v>
      </c>
      <c r="AA216" s="1468">
        <f t="shared" si="951"/>
        <v>1035687.1768068587</v>
      </c>
      <c r="AB216" s="1468">
        <f t="shared" si="951"/>
        <v>828549.74144548771</v>
      </c>
      <c r="AC216" s="1468">
        <f t="shared" si="951"/>
        <v>662839.79315639136</v>
      </c>
      <c r="AD216" s="1468">
        <f t="shared" si="951"/>
        <v>530271.83452511288</v>
      </c>
      <c r="AE216" s="1468">
        <f t="shared" si="951"/>
        <v>424217.46762009006</v>
      </c>
      <c r="AF216" s="1468">
        <f t="shared" si="951"/>
        <v>339373.97409607173</v>
      </c>
      <c r="AG216" s="1468">
        <f t="shared" si="951"/>
        <v>271499.17927685787</v>
      </c>
      <c r="AH216" s="1468">
        <f t="shared" si="951"/>
        <v>217199.34342148679</v>
      </c>
      <c r="AI216" s="1468">
        <f t="shared" si="951"/>
        <v>173759.47473718968</v>
      </c>
      <c r="AJ216" s="1468">
        <f t="shared" si="951"/>
        <v>139007.57978975176</v>
      </c>
      <c r="AK216" s="1468">
        <f t="shared" si="951"/>
        <v>111206.06383180173</v>
      </c>
      <c r="AL216" s="1468">
        <f t="shared" si="951"/>
        <v>88964.851065441981</v>
      </c>
      <c r="AM216" s="1468">
        <f t="shared" si="951"/>
        <v>71171.88085235357</v>
      </c>
      <c r="AN216" s="1468">
        <f t="shared" si="951"/>
        <v>56937.504681884129</v>
      </c>
      <c r="AO216" s="1468">
        <f t="shared" si="951"/>
        <v>45550.003745507449</v>
      </c>
      <c r="AP216" s="1468">
        <f t="shared" si="951"/>
        <v>146997799.98501799</v>
      </c>
      <c r="AQ216" s="1466"/>
      <c r="AR216" s="1297"/>
      <c r="AS216" s="1297"/>
      <c r="AT216" s="1297"/>
      <c r="AU216" s="1297"/>
      <c r="AV216" s="1297"/>
      <c r="AW216" s="1297"/>
      <c r="AX216" s="1297"/>
      <c r="AY216" s="1297"/>
      <c r="AZ216" s="1297"/>
      <c r="BA216" s="1297"/>
      <c r="BB216" s="1297"/>
      <c r="BC216" s="1297"/>
      <c r="BD216" s="1297"/>
      <c r="BE216" s="1297"/>
      <c r="BF216" s="1297"/>
      <c r="BG216" s="1297"/>
      <c r="BH216" s="1297"/>
      <c r="BI216" s="1297"/>
      <c r="BJ216" s="1297"/>
      <c r="BK216" s="1297"/>
      <c r="BL216" s="1297"/>
      <c r="BM216" s="1297"/>
      <c r="BN216" s="1297"/>
      <c r="BO216" s="1297"/>
      <c r="BP216" s="1297"/>
      <c r="BQ216" s="1297"/>
      <c r="BR216" s="1297"/>
      <c r="BS216" s="1297"/>
      <c r="BT216" s="1297"/>
      <c r="BU216" s="1297"/>
      <c r="BV216" s="1490"/>
    </row>
    <row r="217" spans="1:74" x14ac:dyDescent="0.2">
      <c r="B217" s="1297" t="str">
        <f>"Total Depreciation "&amp;B187&amp;" ("&amp;B202&amp;") over 30 years"</f>
        <v>Total Depreciation Wheat Standalone (Starch) (Straight-Line) over 30 years</v>
      </c>
      <c r="C217" s="1107"/>
      <c r="D217" s="1107"/>
      <c r="E217" s="1107"/>
      <c r="F217" s="1107"/>
      <c r="G217" s="1107">
        <f t="shared" si="948"/>
        <v>0</v>
      </c>
      <c r="H217" s="1107">
        <f t="shared" si="949"/>
        <v>0</v>
      </c>
      <c r="I217" s="1468">
        <f>SUM(I203:I215)</f>
        <v>147180000</v>
      </c>
      <c r="J217" s="1472">
        <f>IFERROR(INDEX(Assumptions!$AI$82:$AI$164,MATCH(Depreciation!$D217,Assumptions!$AH$81:$AH$163,0)),0)</f>
        <v>0</v>
      </c>
      <c r="K217" s="1107"/>
      <c r="L217" s="1468">
        <f>SUM(L203:L215)</f>
        <v>4906000</v>
      </c>
      <c r="M217" s="1468">
        <f t="shared" ref="M217:AP217" si="952">SUM(M203:M215)</f>
        <v>4906000</v>
      </c>
      <c r="N217" s="1468">
        <f t="shared" si="952"/>
        <v>4906000</v>
      </c>
      <c r="O217" s="1468">
        <f t="shared" si="952"/>
        <v>4906000</v>
      </c>
      <c r="P217" s="1468">
        <f t="shared" si="952"/>
        <v>4906000</v>
      </c>
      <c r="Q217" s="1468">
        <f t="shared" si="952"/>
        <v>4906000</v>
      </c>
      <c r="R217" s="1468">
        <f t="shared" si="952"/>
        <v>4906000</v>
      </c>
      <c r="S217" s="1468">
        <f t="shared" si="952"/>
        <v>4906000</v>
      </c>
      <c r="T217" s="1468">
        <f t="shared" si="952"/>
        <v>4906000</v>
      </c>
      <c r="U217" s="1468">
        <f t="shared" si="952"/>
        <v>4906000</v>
      </c>
      <c r="V217" s="1468">
        <f t="shared" si="952"/>
        <v>4906000</v>
      </c>
      <c r="W217" s="1468">
        <f t="shared" si="952"/>
        <v>4906000</v>
      </c>
      <c r="X217" s="1468">
        <f t="shared" si="952"/>
        <v>4906000</v>
      </c>
      <c r="Y217" s="1468">
        <f t="shared" si="952"/>
        <v>4906000</v>
      </c>
      <c r="Z217" s="1468">
        <f t="shared" si="952"/>
        <v>4906000</v>
      </c>
      <c r="AA217" s="1468">
        <f t="shared" si="952"/>
        <v>4906000</v>
      </c>
      <c r="AB217" s="1468">
        <f t="shared" si="952"/>
        <v>4906000</v>
      </c>
      <c r="AC217" s="1468">
        <f t="shared" si="952"/>
        <v>4906000</v>
      </c>
      <c r="AD217" s="1468">
        <f t="shared" si="952"/>
        <v>4906000</v>
      </c>
      <c r="AE217" s="1468">
        <f t="shared" si="952"/>
        <v>4906000</v>
      </c>
      <c r="AF217" s="1468">
        <f t="shared" si="952"/>
        <v>4906000</v>
      </c>
      <c r="AG217" s="1468">
        <f t="shared" si="952"/>
        <v>4906000</v>
      </c>
      <c r="AH217" s="1468">
        <f t="shared" si="952"/>
        <v>4906000</v>
      </c>
      <c r="AI217" s="1468">
        <f t="shared" si="952"/>
        <v>4906000</v>
      </c>
      <c r="AJ217" s="1468">
        <f t="shared" si="952"/>
        <v>4906000</v>
      </c>
      <c r="AK217" s="1468">
        <f t="shared" si="952"/>
        <v>4906000</v>
      </c>
      <c r="AL217" s="1468">
        <f t="shared" si="952"/>
        <v>4906000</v>
      </c>
      <c r="AM217" s="1468">
        <f t="shared" si="952"/>
        <v>4906000</v>
      </c>
      <c r="AN217" s="1468">
        <f t="shared" si="952"/>
        <v>4906000</v>
      </c>
      <c r="AO217" s="1468">
        <f t="shared" si="952"/>
        <v>4906000</v>
      </c>
      <c r="AP217" s="1468">
        <f t="shared" si="952"/>
        <v>147180000</v>
      </c>
      <c r="AQ217" s="1466"/>
      <c r="AR217" s="1297"/>
      <c r="AS217" s="1297"/>
      <c r="AT217" s="1297"/>
      <c r="AU217" s="1297"/>
      <c r="AV217" s="1297"/>
      <c r="AW217" s="1297"/>
      <c r="AX217" s="1297"/>
      <c r="AY217" s="1297"/>
      <c r="AZ217" s="1297"/>
      <c r="BA217" s="1297"/>
      <c r="BB217" s="1297"/>
      <c r="BC217" s="1297"/>
      <c r="BD217" s="1297"/>
      <c r="BE217" s="1297"/>
      <c r="BF217" s="1297"/>
      <c r="BG217" s="1297"/>
      <c r="BH217" s="1297"/>
      <c r="BI217" s="1297"/>
      <c r="BJ217" s="1297"/>
      <c r="BK217" s="1297"/>
      <c r="BL217" s="1297"/>
      <c r="BM217" s="1297"/>
      <c r="BN217" s="1297"/>
      <c r="BO217" s="1297"/>
      <c r="BP217" s="1297"/>
      <c r="BQ217" s="1297"/>
      <c r="BR217" s="1297"/>
      <c r="BS217" s="1297"/>
      <c r="BT217" s="1297"/>
      <c r="BU217" s="1297"/>
      <c r="BV217" s="1490"/>
    </row>
    <row r="218" spans="1:74" x14ac:dyDescent="0.2">
      <c r="L218" s="1476"/>
    </row>
    <row r="219" spans="1:74" ht="15" x14ac:dyDescent="0.25">
      <c r="B219" s="1484" t="str">
        <f>'Summary Tables'!K5</f>
        <v>Cane trash (Cellulosic)</v>
      </c>
      <c r="C219" s="1485"/>
      <c r="D219" s="1485"/>
      <c r="E219" s="1485"/>
      <c r="F219" s="1485"/>
      <c r="G219" s="1485"/>
      <c r="H219" s="1485"/>
      <c r="I219" s="1485"/>
      <c r="J219" s="1485"/>
      <c r="K219" s="1485"/>
      <c r="L219" s="1485"/>
      <c r="M219" s="1485"/>
      <c r="N219" s="1485"/>
      <c r="O219" s="1485"/>
      <c r="P219" s="1485"/>
      <c r="Q219" s="1485"/>
      <c r="R219" s="1485"/>
      <c r="S219" s="1485"/>
      <c r="T219" s="1485"/>
      <c r="U219" s="1485"/>
      <c r="V219" s="1485"/>
      <c r="W219" s="1485"/>
      <c r="X219" s="1485"/>
      <c r="Y219" s="1485"/>
      <c r="Z219" s="1485"/>
      <c r="AA219" s="1485"/>
      <c r="AB219" s="1485"/>
      <c r="AC219" s="1485"/>
      <c r="AD219" s="1485"/>
      <c r="AE219" s="1485"/>
      <c r="AF219" s="1485"/>
      <c r="AG219" s="1485"/>
      <c r="AH219" s="1485"/>
      <c r="AI219" s="1485"/>
      <c r="AJ219" s="1485"/>
      <c r="AK219" s="1485"/>
      <c r="AL219" s="1485"/>
      <c r="AM219" s="1485"/>
      <c r="AN219" s="1485"/>
      <c r="AO219" s="1485"/>
      <c r="AP219" s="1485"/>
      <c r="AQ219" s="1485"/>
      <c r="AR219" s="1485"/>
      <c r="AS219" s="1485"/>
      <c r="AT219" s="1485"/>
      <c r="AU219" s="1485"/>
      <c r="AV219" s="1485"/>
      <c r="AW219" s="1485"/>
      <c r="AX219" s="1485"/>
      <c r="AY219" s="1485"/>
      <c r="AZ219" s="1485"/>
      <c r="BA219" s="1485"/>
      <c r="BB219" s="1485"/>
      <c r="BC219" s="1485"/>
      <c r="BD219" s="1485"/>
      <c r="BE219" s="1485"/>
      <c r="BF219" s="1485"/>
      <c r="BG219" s="1485"/>
      <c r="BH219" s="1485"/>
      <c r="BI219" s="1485"/>
      <c r="BJ219" s="1485"/>
      <c r="BK219" s="1485"/>
      <c r="BL219" s="1485"/>
      <c r="BM219" s="1485"/>
      <c r="BN219" s="1485"/>
      <c r="BO219" s="1485"/>
      <c r="BP219" s="1485"/>
      <c r="BQ219" s="1485"/>
      <c r="BR219" s="1485"/>
      <c r="BS219" s="1485"/>
      <c r="BT219" s="1485"/>
      <c r="BU219" s="1485"/>
      <c r="BV219" s="1485"/>
    </row>
    <row r="220" spans="1:74" x14ac:dyDescent="0.2">
      <c r="B220" s="1297" t="str">
        <f>Assumptions!$AH$82</f>
        <v>Accelerated</v>
      </c>
      <c r="C220" s="1297"/>
      <c r="D220" s="1297"/>
      <c r="E220" s="1297"/>
      <c r="F220" s="1297"/>
      <c r="G220" s="1297"/>
      <c r="H220" s="1297"/>
      <c r="I220" s="1297"/>
      <c r="J220" s="1297"/>
      <c r="K220" s="1107"/>
      <c r="L220" s="1107"/>
      <c r="M220" s="1107"/>
      <c r="N220" s="1107"/>
      <c r="O220" s="1107"/>
      <c r="P220" s="1107"/>
      <c r="Q220" s="1107"/>
      <c r="R220" s="1107"/>
      <c r="S220" s="1107"/>
      <c r="T220" s="1107"/>
      <c r="U220" s="1107"/>
      <c r="V220" s="1107"/>
      <c r="W220" s="1107"/>
      <c r="X220" s="1107"/>
      <c r="Y220" s="1107"/>
      <c r="Z220" s="1107"/>
      <c r="AA220" s="1107"/>
      <c r="AB220" s="1107"/>
      <c r="AC220" s="1107"/>
      <c r="AD220" s="1107"/>
      <c r="AE220" s="1107"/>
      <c r="AF220" s="1107"/>
      <c r="AG220" s="1107"/>
      <c r="AH220" s="1107"/>
      <c r="AI220" s="1107"/>
      <c r="AJ220" s="1107"/>
      <c r="AK220" s="1107"/>
      <c r="AL220" s="1107"/>
      <c r="AM220" s="1107"/>
      <c r="AN220" s="1107"/>
      <c r="AO220" s="1107"/>
      <c r="AP220" s="1297"/>
      <c r="AQ220" s="1485"/>
      <c r="AR220" s="1297"/>
      <c r="AS220" s="1297"/>
      <c r="AT220" s="1297"/>
      <c r="AU220" s="1297"/>
      <c r="AV220" s="1297"/>
      <c r="AW220" s="1297"/>
      <c r="AX220" s="1297"/>
      <c r="AY220" s="1297"/>
      <c r="AZ220" s="1297"/>
      <c r="BA220" s="1297"/>
      <c r="BB220" s="1297"/>
      <c r="BC220" s="1297"/>
      <c r="BD220" s="1297"/>
      <c r="BE220" s="1297"/>
      <c r="BF220" s="1297"/>
      <c r="BG220" s="1297"/>
      <c r="BH220" s="1297"/>
      <c r="BI220" s="1297"/>
      <c r="BJ220" s="1297"/>
      <c r="BK220" s="1297"/>
      <c r="BL220" s="1297"/>
      <c r="BM220" s="1297"/>
      <c r="BN220" s="1297"/>
      <c r="BO220" s="1297"/>
      <c r="BP220" s="1297"/>
      <c r="BQ220" s="1297"/>
      <c r="BR220" s="1297"/>
      <c r="BS220" s="1297"/>
      <c r="BT220" s="1297"/>
      <c r="BU220" s="1297"/>
      <c r="BV220" s="1485"/>
    </row>
    <row r="221" spans="1:74" x14ac:dyDescent="0.2">
      <c r="A221" s="927" t="str">
        <f>C221&amp;"."&amp;D221</f>
        <v>Cane trash (Cellulosic).Accelerated</v>
      </c>
      <c r="B221" s="1076"/>
      <c r="C221" s="1076" t="str">
        <f>B219</f>
        <v>Cane trash (Cellulosic)</v>
      </c>
      <c r="D221" s="1076" t="str">
        <f>Assumptions!$AH$82</f>
        <v>Accelerated</v>
      </c>
      <c r="E221" s="1076" t="str">
        <f>'Cane trash (Cellulosic)'!H274</f>
        <v>Cane trash stockpile</v>
      </c>
      <c r="F221" s="1467">
        <f>SUM('Cane trash (Cellulosic)'!J274:K274)*1000000</f>
        <v>18500000</v>
      </c>
      <c r="G221" s="1467">
        <f>F221*(1+$F$4)</f>
        <v>22893750</v>
      </c>
      <c r="H221" s="1467">
        <f>G221*(1+$F$5)</f>
        <v>25183125.000000004</v>
      </c>
      <c r="I221" s="1467">
        <f>H221*(1+$F$6)</f>
        <v>25183125.000000004</v>
      </c>
      <c r="J221" s="1076">
        <f>Assumptions!$N$55</f>
        <v>0.2</v>
      </c>
      <c r="K221" s="1107"/>
      <c r="L221" s="1467">
        <f>$I221*$J221</f>
        <v>5036625.0000000009</v>
      </c>
      <c r="M221" s="1467">
        <f>($I221-SUM($L221:L221))*$J221</f>
        <v>4029300.0000000009</v>
      </c>
      <c r="N221" s="1467">
        <f>($I221-SUM($L221:M221))*$J221</f>
        <v>3223440.0000000005</v>
      </c>
      <c r="O221" s="1467">
        <f>($I221-SUM($L221:N221))*$J221</f>
        <v>2578752.0000000005</v>
      </c>
      <c r="P221" s="1467">
        <f>($I221-SUM($L221:O221))*$J221</f>
        <v>2063001.6000000006</v>
      </c>
      <c r="Q221" s="1467">
        <f>($I221-SUM($L221:P221))*$J221</f>
        <v>1650401.2800000005</v>
      </c>
      <c r="R221" s="1467">
        <f>($I221-SUM($L221:Q221))*$J221</f>
        <v>1320321.0240000002</v>
      </c>
      <c r="S221" s="1467">
        <f>($I221-SUM($L221:R221))*$J221</f>
        <v>1056256.8192000003</v>
      </c>
      <c r="T221" s="1467">
        <f>($I221-SUM($L221:S221))*$J221</f>
        <v>845005.45535999991</v>
      </c>
      <c r="U221" s="1467">
        <f>($I221-SUM($L221:T221))*$J221</f>
        <v>676004.36428800004</v>
      </c>
      <c r="V221" s="1467">
        <f>($I221-SUM($L221:U221))*$J221</f>
        <v>540803.49143040029</v>
      </c>
      <c r="W221" s="1467">
        <f>($I221-SUM($L221:V221))*$J221</f>
        <v>432642.79314431996</v>
      </c>
      <c r="X221" s="1467">
        <f>($I221-SUM($L221:W221))*$J221</f>
        <v>346114.23451545613</v>
      </c>
      <c r="Y221" s="1467">
        <f>($I221-SUM($L221:X221))*$J221</f>
        <v>276891.38761236519</v>
      </c>
      <c r="Z221" s="1467">
        <f>($I221-SUM($L221:Y221))*$J221</f>
        <v>221513.11008989217</v>
      </c>
      <c r="AA221" s="1467">
        <f>($I221-SUM($L221:Z221))*$J221</f>
        <v>177210.48807191403</v>
      </c>
      <c r="AB221" s="1467">
        <f>($I221-SUM($L221:AA221))*$J221</f>
        <v>141768.39045753106</v>
      </c>
      <c r="AC221" s="1467">
        <f>($I221-SUM($L221:AB221))*$J221</f>
        <v>113414.71236602515</v>
      </c>
      <c r="AD221" s="1467">
        <f>($I221-SUM($L221:AC221))*$J221</f>
        <v>90731.769892819982</v>
      </c>
      <c r="AE221" s="1467">
        <f>($I221-SUM($L221:AD221))*$J221</f>
        <v>72585.415914256126</v>
      </c>
      <c r="AF221" s="1467">
        <f>($I221-SUM($L221:AE221))*$J221</f>
        <v>58068.332731404902</v>
      </c>
      <c r="AG221" s="1467">
        <f>($I221-SUM($L221:AF221))*$J221</f>
        <v>46454.666185124224</v>
      </c>
      <c r="AH221" s="1467">
        <f>($I221-SUM($L221:AG221))*$J221</f>
        <v>37163.732948099081</v>
      </c>
      <c r="AI221" s="1467">
        <f>($I221-SUM($L221:AH221))*$J221</f>
        <v>29730.986358479411</v>
      </c>
      <c r="AJ221" s="1467">
        <f>($I221-SUM($L221:AI221))*$J221</f>
        <v>23784.78908678368</v>
      </c>
      <c r="AK221" s="1467">
        <f>($I221-SUM($L221:AJ221))*$J221</f>
        <v>19027.831269426646</v>
      </c>
      <c r="AL221" s="1467">
        <f>($I221-SUM($L221:AK221))*$J221</f>
        <v>15222.265015541017</v>
      </c>
      <c r="AM221" s="1467">
        <f>($I221-SUM($L221:AL221))*$J221</f>
        <v>12177.812012432516</v>
      </c>
      <c r="AN221" s="1467">
        <f>($I221-SUM($L221:AM221))*$J221</f>
        <v>9742.2496099457148</v>
      </c>
      <c r="AO221" s="1467">
        <f>($I221-SUM($L221:AN221))*$J221</f>
        <v>7793.7996879562743</v>
      </c>
      <c r="AP221" s="1468">
        <f>SUM(L221:AO221)</f>
        <v>25151949.801248178</v>
      </c>
      <c r="AQ221" s="1485"/>
      <c r="AR221" s="1467">
        <f>I221-L221</f>
        <v>20146500.000000004</v>
      </c>
      <c r="AS221" s="1467">
        <f>AR221-M221</f>
        <v>16117200.000000004</v>
      </c>
      <c r="AT221" s="1467">
        <f t="shared" ref="AT221:AT240" si="953">AS221-N221</f>
        <v>12893760.000000004</v>
      </c>
      <c r="AU221" s="1467">
        <f t="shared" ref="AU221:AU240" si="954">AT221-O221</f>
        <v>10315008.000000004</v>
      </c>
      <c r="AV221" s="1467">
        <f t="shared" ref="AV221:AV240" si="955">AU221-P221</f>
        <v>8252006.4000000032</v>
      </c>
      <c r="AW221" s="1467">
        <f t="shared" ref="AW221:AW240" si="956">AV221-Q221</f>
        <v>6601605.1200000029</v>
      </c>
      <c r="AX221" s="1467">
        <f t="shared" ref="AX221:AX240" si="957">AW221-R221</f>
        <v>5281284.0960000027</v>
      </c>
      <c r="AY221" s="1467">
        <f t="shared" ref="AY221:AY240" si="958">AX221-S221</f>
        <v>4225027.2768000029</v>
      </c>
      <c r="AZ221" s="1467">
        <f t="shared" ref="AZ221:AZ240" si="959">AY221-T221</f>
        <v>3380021.8214400029</v>
      </c>
      <c r="BA221" s="1467">
        <f t="shared" ref="BA221:BA240" si="960">AZ221-U221</f>
        <v>2704017.457152003</v>
      </c>
      <c r="BB221" s="1467">
        <f t="shared" ref="BB221:BB240" si="961">BA221-V221</f>
        <v>2163213.9657216026</v>
      </c>
      <c r="BC221" s="1467">
        <f t="shared" ref="BC221:BC240" si="962">BB221-W221</f>
        <v>1730571.1725772826</v>
      </c>
      <c r="BD221" s="1467">
        <f t="shared" ref="BD221:BD240" si="963">BC221-X221</f>
        <v>1384456.9380618264</v>
      </c>
      <c r="BE221" s="1467">
        <f t="shared" ref="BE221:BE240" si="964">BD221-Y221</f>
        <v>1107565.5504494612</v>
      </c>
      <c r="BF221" s="1467">
        <f t="shared" ref="BF221:BF240" si="965">BE221-Z221</f>
        <v>886052.44035956904</v>
      </c>
      <c r="BG221" s="1467">
        <f t="shared" ref="BG221:BG240" si="966">BF221-AA221</f>
        <v>708841.95228765497</v>
      </c>
      <c r="BH221" s="1467">
        <f t="shared" ref="BH221:BH240" si="967">BG221-AB221</f>
        <v>567073.56183012389</v>
      </c>
      <c r="BI221" s="1467">
        <f t="shared" ref="BI221:BI240" si="968">BH221-AC221</f>
        <v>453658.84946409875</v>
      </c>
      <c r="BJ221" s="1467">
        <f t="shared" ref="BJ221:BJ240" si="969">BI221-AD221</f>
        <v>362927.07957127877</v>
      </c>
      <c r="BK221" s="1467">
        <f t="shared" ref="BK221:BK240" si="970">BJ221-AE221</f>
        <v>290341.66365702264</v>
      </c>
      <c r="BL221" s="1467">
        <f t="shared" ref="BL221:BL240" si="971">BK221-AF221</f>
        <v>232273.33092561775</v>
      </c>
      <c r="BM221" s="1467">
        <f t="shared" ref="BM221:BM240" si="972">BL221-AG221</f>
        <v>185818.66474049352</v>
      </c>
      <c r="BN221" s="1467">
        <f t="shared" ref="BN221:BN240" si="973">BM221-AH221</f>
        <v>148654.93179239443</v>
      </c>
      <c r="BO221" s="1467">
        <f t="shared" ref="BO221:BO240" si="974">BN221-AI221</f>
        <v>118923.94543391503</v>
      </c>
      <c r="BP221" s="1467">
        <f t="shared" ref="BP221:BP240" si="975">BO221-AJ221</f>
        <v>95139.156347131342</v>
      </c>
      <c r="BQ221" s="1467">
        <f t="shared" ref="BQ221:BQ240" si="976">BP221-AK221</f>
        <v>76111.325077704692</v>
      </c>
      <c r="BR221" s="1467">
        <f t="shared" ref="BR221:BR240" si="977">BQ221-AL221</f>
        <v>60889.060062163677</v>
      </c>
      <c r="BS221" s="1467">
        <f t="shared" ref="BS221:BS240" si="978">BR221-AM221</f>
        <v>48711.248049731163</v>
      </c>
      <c r="BT221" s="1467">
        <f t="shared" ref="BT221:BT240" si="979">BS221-AN221</f>
        <v>38968.99843978545</v>
      </c>
      <c r="BU221" s="1467">
        <f t="shared" ref="BU221:BU240" si="980">BT221-AO221</f>
        <v>31175.198751829175</v>
      </c>
      <c r="BV221" s="1485"/>
    </row>
    <row r="222" spans="1:74" x14ac:dyDescent="0.2">
      <c r="A222" s="927" t="str">
        <f t="shared" ref="A222:A240" si="981">C222&amp;"."&amp;D222</f>
        <v>Cane trash (Cellulosic).Accelerated</v>
      </c>
      <c r="B222" s="1076"/>
      <c r="C222" s="1076" t="str">
        <f>C221</f>
        <v>Cane trash (Cellulosic)</v>
      </c>
      <c r="D222" s="1076" t="str">
        <f>Assumptions!$AH$82</f>
        <v>Accelerated</v>
      </c>
      <c r="E222" s="1076" t="str">
        <f>'Cane trash (Cellulosic)'!H275</f>
        <v>Pretreatment</v>
      </c>
      <c r="F222" s="1467">
        <f>SUM('Cane trash (Cellulosic)'!J275:K275)*1000000</f>
        <v>25000000</v>
      </c>
      <c r="G222" s="1467">
        <f t="shared" ref="G222:G240" si="982">F222*(1+$F$4)</f>
        <v>30937500</v>
      </c>
      <c r="H222" s="1467">
        <f t="shared" ref="H222:H240" si="983">G222*(1+$F$5)</f>
        <v>34031250</v>
      </c>
      <c r="I222" s="1467">
        <f t="shared" ref="I222:I240" si="984">H222*(1+$F$6)</f>
        <v>34031250</v>
      </c>
      <c r="J222" s="1076">
        <f>J221</f>
        <v>0.2</v>
      </c>
      <c r="K222" s="1107"/>
      <c r="L222" s="1467">
        <f t="shared" ref="L222:AA238" si="985">$I222*$J222</f>
        <v>6806250</v>
      </c>
      <c r="M222" s="1467">
        <f>($I222-SUM($L222:L222))*$J222</f>
        <v>5445000</v>
      </c>
      <c r="N222" s="1467">
        <f>($I222-SUM($L222:M222))*$J222</f>
        <v>4356000</v>
      </c>
      <c r="O222" s="1467">
        <f>($I222-SUM($L222:N222))*$J222</f>
        <v>3484800</v>
      </c>
      <c r="P222" s="1467">
        <f>($I222-SUM($L222:O222))*$J222</f>
        <v>2787840</v>
      </c>
      <c r="Q222" s="1467">
        <f>($I222-SUM($L222:P222))*$J222</f>
        <v>2230272</v>
      </c>
      <c r="R222" s="1467">
        <f>($I222-SUM($L222:Q222))*$J222</f>
        <v>1784217.6000000001</v>
      </c>
      <c r="S222" s="1467">
        <f>($I222-SUM($L222:R222))*$J222</f>
        <v>1427374.0799999998</v>
      </c>
      <c r="T222" s="1467">
        <f>($I222-SUM($L222:S222))*$J222</f>
        <v>1141899.2640000002</v>
      </c>
      <c r="U222" s="1467">
        <f>($I222-SUM($L222:T222))*$J222</f>
        <v>913519.41120000044</v>
      </c>
      <c r="V222" s="1467">
        <f>($I222-SUM($L222:U222))*$J222</f>
        <v>730815.52896000003</v>
      </c>
      <c r="W222" s="1467">
        <f>($I222-SUM($L222:V222))*$J222</f>
        <v>584652.42316799983</v>
      </c>
      <c r="X222" s="1467">
        <f>($I222-SUM($L222:W222))*$J222</f>
        <v>467721.9385343999</v>
      </c>
      <c r="Y222" s="1467">
        <f>($I222-SUM($L222:X222))*$J222</f>
        <v>374177.55082751962</v>
      </c>
      <c r="Z222" s="1467">
        <f>($I222-SUM($L222:Y222))*$J222</f>
        <v>299342.04066201596</v>
      </c>
      <c r="AA222" s="1467">
        <f>($I222-SUM($L222:Z222))*$J222</f>
        <v>239473.63252961263</v>
      </c>
      <c r="AB222" s="1467">
        <f>($I222-SUM($L222:AA222))*$J222</f>
        <v>191578.90602369013</v>
      </c>
      <c r="AC222" s="1467">
        <f>($I222-SUM($L222:AB222))*$J222</f>
        <v>153263.12481895238</v>
      </c>
      <c r="AD222" s="1467">
        <f>($I222-SUM($L222:AC222))*$J222</f>
        <v>122610.49985516221</v>
      </c>
      <c r="AE222" s="1467">
        <f>($I222-SUM($L222:AD222))*$J222</f>
        <v>98088.399884130064</v>
      </c>
      <c r="AF222" s="1467">
        <f>($I222-SUM($L222:AE222))*$J222</f>
        <v>78470.71990730465</v>
      </c>
      <c r="AG222" s="1467">
        <f>($I222-SUM($L222:AF222))*$J222</f>
        <v>62776.575925843419</v>
      </c>
      <c r="AH222" s="1467">
        <f>($I222-SUM($L222:AG222))*$J222</f>
        <v>50221.260740675032</v>
      </c>
      <c r="AI222" s="1467">
        <f>($I222-SUM($L222:AH222))*$J222</f>
        <v>40177.008592540027</v>
      </c>
      <c r="AJ222" s="1467">
        <f>($I222-SUM($L222:AI222))*$J222</f>
        <v>32141.606874032321</v>
      </c>
      <c r="AK222" s="1467">
        <f>($I222-SUM($L222:AJ222))*$J222</f>
        <v>25713.28549922556</v>
      </c>
      <c r="AL222" s="1467">
        <f>($I222-SUM($L222:AK222))*$J222</f>
        <v>20570.628399381043</v>
      </c>
      <c r="AM222" s="1467">
        <f>($I222-SUM($L222:AL222))*$J222</f>
        <v>16456.502719505133</v>
      </c>
      <c r="AN222" s="1467">
        <f>($I222-SUM($L222:AM222))*$J222</f>
        <v>13165.202175603808</v>
      </c>
      <c r="AO222" s="1467">
        <f>($I222-SUM($L222:AN222))*$J222</f>
        <v>10532.161740483345</v>
      </c>
      <c r="AP222" s="1468">
        <f t="shared" ref="AP222:AP237" si="986">SUM(L222:AO222)</f>
        <v>33989121.353038065</v>
      </c>
      <c r="AQ222" s="1482"/>
      <c r="AR222" s="1467">
        <f t="shared" ref="AR222:AR240" si="987">I222-L222</f>
        <v>27225000</v>
      </c>
      <c r="AS222" s="1467">
        <f t="shared" ref="AS222:AS240" si="988">AR222-M222</f>
        <v>21780000</v>
      </c>
      <c r="AT222" s="1467">
        <f t="shared" si="953"/>
        <v>17424000</v>
      </c>
      <c r="AU222" s="1467">
        <f t="shared" si="954"/>
        <v>13939200</v>
      </c>
      <c r="AV222" s="1467">
        <f t="shared" si="955"/>
        <v>11151360</v>
      </c>
      <c r="AW222" s="1467">
        <f t="shared" si="956"/>
        <v>8921088</v>
      </c>
      <c r="AX222" s="1467">
        <f t="shared" si="957"/>
        <v>7136870.4000000004</v>
      </c>
      <c r="AY222" s="1467">
        <f t="shared" si="958"/>
        <v>5709496.3200000003</v>
      </c>
      <c r="AZ222" s="1467">
        <f t="shared" si="959"/>
        <v>4567597.0559999999</v>
      </c>
      <c r="BA222" s="1467">
        <f t="shared" si="960"/>
        <v>3654077.6447999994</v>
      </c>
      <c r="BB222" s="1467">
        <f t="shared" si="961"/>
        <v>2923262.1158399992</v>
      </c>
      <c r="BC222" s="1467">
        <f t="shared" si="962"/>
        <v>2338609.6926719993</v>
      </c>
      <c r="BD222" s="1467">
        <f t="shared" si="963"/>
        <v>1870887.7541375994</v>
      </c>
      <c r="BE222" s="1467">
        <f t="shared" si="964"/>
        <v>1496710.2033100799</v>
      </c>
      <c r="BF222" s="1467">
        <f t="shared" si="965"/>
        <v>1197368.1626480639</v>
      </c>
      <c r="BG222" s="1467">
        <f t="shared" si="966"/>
        <v>957894.53011845122</v>
      </c>
      <c r="BH222" s="1467">
        <f t="shared" si="967"/>
        <v>766315.62409476109</v>
      </c>
      <c r="BI222" s="1467">
        <f t="shared" si="968"/>
        <v>613052.49927580869</v>
      </c>
      <c r="BJ222" s="1467">
        <f t="shared" si="969"/>
        <v>490441.99942064646</v>
      </c>
      <c r="BK222" s="1467">
        <f t="shared" si="970"/>
        <v>392353.59953651641</v>
      </c>
      <c r="BL222" s="1467">
        <f t="shared" si="971"/>
        <v>313882.87962921173</v>
      </c>
      <c r="BM222" s="1467">
        <f t="shared" si="972"/>
        <v>251106.30370336832</v>
      </c>
      <c r="BN222" s="1467">
        <f t="shared" si="973"/>
        <v>200885.04296269329</v>
      </c>
      <c r="BO222" s="1467">
        <f t="shared" si="974"/>
        <v>160708.03437015327</v>
      </c>
      <c r="BP222" s="1467">
        <f t="shared" si="975"/>
        <v>128566.42749612094</v>
      </c>
      <c r="BQ222" s="1467">
        <f t="shared" si="976"/>
        <v>102853.14199689539</v>
      </c>
      <c r="BR222" s="1467">
        <f t="shared" si="977"/>
        <v>82282.513597514335</v>
      </c>
      <c r="BS222" s="1467">
        <f t="shared" si="978"/>
        <v>65826.010878009198</v>
      </c>
      <c r="BT222" s="1467">
        <f t="shared" si="979"/>
        <v>52660.808702405389</v>
      </c>
      <c r="BU222" s="1467">
        <f t="shared" si="980"/>
        <v>42128.646961922044</v>
      </c>
      <c r="BV222" s="1485"/>
    </row>
    <row r="223" spans="1:74" x14ac:dyDescent="0.2">
      <c r="A223" s="927" t="str">
        <f t="shared" si="981"/>
        <v>Cane trash (Cellulosic).Accelerated</v>
      </c>
      <c r="B223" s="1076"/>
      <c r="C223" s="1076" t="str">
        <f t="shared" ref="C223:C230" si="989">C222</f>
        <v>Cane trash (Cellulosic)</v>
      </c>
      <c r="D223" s="1076" t="str">
        <f>Assumptions!$AH$82</f>
        <v>Accelerated</v>
      </c>
      <c r="E223" s="1076" t="str">
        <f>'Cane trash (Cellulosic)'!H276</f>
        <v>Enzyme production</v>
      </c>
      <c r="F223" s="1467">
        <f>SUM('Cane trash (Cellulosic)'!J276:K276)*1000000</f>
        <v>25000000</v>
      </c>
      <c r="G223" s="1467">
        <f t="shared" si="982"/>
        <v>30937500</v>
      </c>
      <c r="H223" s="1467">
        <f t="shared" si="983"/>
        <v>34031250</v>
      </c>
      <c r="I223" s="1467">
        <f t="shared" si="984"/>
        <v>34031250</v>
      </c>
      <c r="J223" s="1076">
        <f t="shared" ref="J223:J230" si="990">J222</f>
        <v>0.2</v>
      </c>
      <c r="K223" s="1107"/>
      <c r="L223" s="1467">
        <f t="shared" si="985"/>
        <v>6806250</v>
      </c>
      <c r="M223" s="1467">
        <f>($I223-SUM($L223:L223))*$J223</f>
        <v>5445000</v>
      </c>
      <c r="N223" s="1467">
        <f>($I223-SUM($L223:M223))*$J223</f>
        <v>4356000</v>
      </c>
      <c r="O223" s="1467">
        <f>($I223-SUM($L223:N223))*$J223</f>
        <v>3484800</v>
      </c>
      <c r="P223" s="1467">
        <f>($I223-SUM($L223:O223))*$J223</f>
        <v>2787840</v>
      </c>
      <c r="Q223" s="1467">
        <f>($I223-SUM($L223:P223))*$J223</f>
        <v>2230272</v>
      </c>
      <c r="R223" s="1467">
        <f>($I223-SUM($L223:Q223))*$J223</f>
        <v>1784217.6000000001</v>
      </c>
      <c r="S223" s="1467">
        <f>($I223-SUM($L223:R223))*$J223</f>
        <v>1427374.0799999998</v>
      </c>
      <c r="T223" s="1467">
        <f>($I223-SUM($L223:S223))*$J223</f>
        <v>1141899.2640000002</v>
      </c>
      <c r="U223" s="1467">
        <f>($I223-SUM($L223:T223))*$J223</f>
        <v>913519.41120000044</v>
      </c>
      <c r="V223" s="1467">
        <f>($I223-SUM($L223:U223))*$J223</f>
        <v>730815.52896000003</v>
      </c>
      <c r="W223" s="1467">
        <f>($I223-SUM($L223:V223))*$J223</f>
        <v>584652.42316799983</v>
      </c>
      <c r="X223" s="1467">
        <f>($I223-SUM($L223:W223))*$J223</f>
        <v>467721.9385343999</v>
      </c>
      <c r="Y223" s="1467">
        <f>($I223-SUM($L223:X223))*$J223</f>
        <v>374177.55082751962</v>
      </c>
      <c r="Z223" s="1467">
        <f>($I223-SUM($L223:Y223))*$J223</f>
        <v>299342.04066201596</v>
      </c>
      <c r="AA223" s="1467">
        <f>($I223-SUM($L223:Z223))*$J223</f>
        <v>239473.63252961263</v>
      </c>
      <c r="AB223" s="1467">
        <f>($I223-SUM($L223:AA223))*$J223</f>
        <v>191578.90602369013</v>
      </c>
      <c r="AC223" s="1467">
        <f>($I223-SUM($L223:AB223))*$J223</f>
        <v>153263.12481895238</v>
      </c>
      <c r="AD223" s="1467">
        <f>($I223-SUM($L223:AC223))*$J223</f>
        <v>122610.49985516221</v>
      </c>
      <c r="AE223" s="1467">
        <f>($I223-SUM($L223:AD223))*$J223</f>
        <v>98088.399884130064</v>
      </c>
      <c r="AF223" s="1467">
        <f>($I223-SUM($L223:AE223))*$J223</f>
        <v>78470.71990730465</v>
      </c>
      <c r="AG223" s="1467">
        <f>($I223-SUM($L223:AF223))*$J223</f>
        <v>62776.575925843419</v>
      </c>
      <c r="AH223" s="1467">
        <f>($I223-SUM($L223:AG223))*$J223</f>
        <v>50221.260740675032</v>
      </c>
      <c r="AI223" s="1467">
        <f>($I223-SUM($L223:AH223))*$J223</f>
        <v>40177.008592540027</v>
      </c>
      <c r="AJ223" s="1467">
        <f>($I223-SUM($L223:AI223))*$J223</f>
        <v>32141.606874032321</v>
      </c>
      <c r="AK223" s="1467">
        <f>($I223-SUM($L223:AJ223))*$J223</f>
        <v>25713.28549922556</v>
      </c>
      <c r="AL223" s="1467">
        <f>($I223-SUM($L223:AK223))*$J223</f>
        <v>20570.628399381043</v>
      </c>
      <c r="AM223" s="1467">
        <f>($I223-SUM($L223:AL223))*$J223</f>
        <v>16456.502719505133</v>
      </c>
      <c r="AN223" s="1467">
        <f>($I223-SUM($L223:AM223))*$J223</f>
        <v>13165.202175603808</v>
      </c>
      <c r="AO223" s="1467">
        <f>($I223-SUM($L223:AN223))*$J223</f>
        <v>10532.161740483345</v>
      </c>
      <c r="AP223" s="1468">
        <f t="shared" si="986"/>
        <v>33989121.353038065</v>
      </c>
      <c r="AQ223" s="1482"/>
      <c r="AR223" s="1467">
        <f t="shared" si="987"/>
        <v>27225000</v>
      </c>
      <c r="AS223" s="1467">
        <f t="shared" si="988"/>
        <v>21780000</v>
      </c>
      <c r="AT223" s="1467">
        <f t="shared" si="953"/>
        <v>17424000</v>
      </c>
      <c r="AU223" s="1467">
        <f t="shared" si="954"/>
        <v>13939200</v>
      </c>
      <c r="AV223" s="1467">
        <f t="shared" si="955"/>
        <v>11151360</v>
      </c>
      <c r="AW223" s="1467">
        <f t="shared" si="956"/>
        <v>8921088</v>
      </c>
      <c r="AX223" s="1467">
        <f t="shared" si="957"/>
        <v>7136870.4000000004</v>
      </c>
      <c r="AY223" s="1467">
        <f t="shared" si="958"/>
        <v>5709496.3200000003</v>
      </c>
      <c r="AZ223" s="1467">
        <f t="shared" si="959"/>
        <v>4567597.0559999999</v>
      </c>
      <c r="BA223" s="1467">
        <f t="shared" si="960"/>
        <v>3654077.6447999994</v>
      </c>
      <c r="BB223" s="1467">
        <f t="shared" si="961"/>
        <v>2923262.1158399992</v>
      </c>
      <c r="BC223" s="1467">
        <f t="shared" si="962"/>
        <v>2338609.6926719993</v>
      </c>
      <c r="BD223" s="1467">
        <f t="shared" si="963"/>
        <v>1870887.7541375994</v>
      </c>
      <c r="BE223" s="1467">
        <f t="shared" si="964"/>
        <v>1496710.2033100799</v>
      </c>
      <c r="BF223" s="1467">
        <f t="shared" si="965"/>
        <v>1197368.1626480639</v>
      </c>
      <c r="BG223" s="1467">
        <f t="shared" si="966"/>
        <v>957894.53011845122</v>
      </c>
      <c r="BH223" s="1467">
        <f t="shared" si="967"/>
        <v>766315.62409476109</v>
      </c>
      <c r="BI223" s="1467">
        <f t="shared" si="968"/>
        <v>613052.49927580869</v>
      </c>
      <c r="BJ223" s="1467">
        <f t="shared" si="969"/>
        <v>490441.99942064646</v>
      </c>
      <c r="BK223" s="1467">
        <f t="shared" si="970"/>
        <v>392353.59953651641</v>
      </c>
      <c r="BL223" s="1467">
        <f t="shared" si="971"/>
        <v>313882.87962921173</v>
      </c>
      <c r="BM223" s="1467">
        <f t="shared" si="972"/>
        <v>251106.30370336832</v>
      </c>
      <c r="BN223" s="1467">
        <f t="shared" si="973"/>
        <v>200885.04296269329</v>
      </c>
      <c r="BO223" s="1467">
        <f t="shared" si="974"/>
        <v>160708.03437015327</v>
      </c>
      <c r="BP223" s="1467">
        <f t="shared" si="975"/>
        <v>128566.42749612094</v>
      </c>
      <c r="BQ223" s="1467">
        <f t="shared" si="976"/>
        <v>102853.14199689539</v>
      </c>
      <c r="BR223" s="1467">
        <f t="shared" si="977"/>
        <v>82282.513597514335</v>
      </c>
      <c r="BS223" s="1467">
        <f t="shared" si="978"/>
        <v>65826.010878009198</v>
      </c>
      <c r="BT223" s="1467">
        <f t="shared" si="979"/>
        <v>52660.808702405389</v>
      </c>
      <c r="BU223" s="1467">
        <f t="shared" si="980"/>
        <v>42128.646961922044</v>
      </c>
      <c r="BV223" s="1485"/>
    </row>
    <row r="224" spans="1:74" x14ac:dyDescent="0.2">
      <c r="A224" s="927" t="str">
        <f t="shared" si="981"/>
        <v>Cane trash (Cellulosic).Accelerated</v>
      </c>
      <c r="B224" s="1076"/>
      <c r="C224" s="1076" t="str">
        <f t="shared" si="989"/>
        <v>Cane trash (Cellulosic)</v>
      </c>
      <c r="D224" s="1076" t="str">
        <f>Assumptions!$AH$82</f>
        <v>Accelerated</v>
      </c>
      <c r="E224" s="1076" t="str">
        <f>'Cane trash (Cellulosic)'!H277</f>
        <v>Enzymtic hydrolysis and Fermentation Plant</v>
      </c>
      <c r="F224" s="1467">
        <f>SUM('Cane trash (Cellulosic)'!J277:K277)*1000000</f>
        <v>40000000</v>
      </c>
      <c r="G224" s="1467">
        <f t="shared" si="982"/>
        <v>49500000</v>
      </c>
      <c r="H224" s="1467">
        <f t="shared" si="983"/>
        <v>54450000.000000007</v>
      </c>
      <c r="I224" s="1467">
        <f t="shared" si="984"/>
        <v>54450000.000000007</v>
      </c>
      <c r="J224" s="1076">
        <f t="shared" si="990"/>
        <v>0.2</v>
      </c>
      <c r="K224" s="1107"/>
      <c r="L224" s="1467">
        <f t="shared" si="985"/>
        <v>10890000.000000002</v>
      </c>
      <c r="M224" s="1467">
        <f>($I224-SUM($L224:L224))*$J224</f>
        <v>8712000.0000000019</v>
      </c>
      <c r="N224" s="1467">
        <f>($I224-SUM($L224:M224))*$J224</f>
        <v>6969600</v>
      </c>
      <c r="O224" s="1467">
        <f>($I224-SUM($L224:N224))*$J224</f>
        <v>5575680.0000000009</v>
      </c>
      <c r="P224" s="1467">
        <f>($I224-SUM($L224:O224))*$J224</f>
        <v>4460544.0000000009</v>
      </c>
      <c r="Q224" s="1467">
        <f>($I224-SUM($L224:P224))*$J224</f>
        <v>3568435.2000000002</v>
      </c>
      <c r="R224" s="1467">
        <f>($I224-SUM($L224:Q224))*$J224</f>
        <v>2854748.1599999997</v>
      </c>
      <c r="S224" s="1467">
        <f>($I224-SUM($L224:R224))*$J224</f>
        <v>2283798.5280000004</v>
      </c>
      <c r="T224" s="1467">
        <f>($I224-SUM($L224:S224))*$J224</f>
        <v>1827038.8224000009</v>
      </c>
      <c r="U224" s="1467">
        <f>($I224-SUM($L224:T224))*$J224</f>
        <v>1461631.0579200001</v>
      </c>
      <c r="V224" s="1467">
        <f>($I224-SUM($L224:U224))*$J224</f>
        <v>1169304.8463359997</v>
      </c>
      <c r="W224" s="1467">
        <f>($I224-SUM($L224:V224))*$J224</f>
        <v>935443.8770687998</v>
      </c>
      <c r="X224" s="1467">
        <f>($I224-SUM($L224:W224))*$J224</f>
        <v>748355.10165503924</v>
      </c>
      <c r="Y224" s="1467">
        <f>($I224-SUM($L224:X224))*$J224</f>
        <v>598684.08132403193</v>
      </c>
      <c r="Z224" s="1467">
        <f>($I224-SUM($L224:Y224))*$J224</f>
        <v>478947.26505922526</v>
      </c>
      <c r="AA224" s="1467">
        <f>($I224-SUM($L224:Z224))*$J224</f>
        <v>383157.81204738026</v>
      </c>
      <c r="AB224" s="1467">
        <f>($I224-SUM($L224:AA224))*$J224</f>
        <v>306526.24963790475</v>
      </c>
      <c r="AC224" s="1467">
        <f>($I224-SUM($L224:AB224))*$J224</f>
        <v>245220.99971032442</v>
      </c>
      <c r="AD224" s="1467">
        <f>($I224-SUM($L224:AC224))*$J224</f>
        <v>196176.79976826013</v>
      </c>
      <c r="AE224" s="1467">
        <f>($I224-SUM($L224:AD224))*$J224</f>
        <v>156941.43981460782</v>
      </c>
      <c r="AF224" s="1467">
        <f>($I224-SUM($L224:AE224))*$J224</f>
        <v>125553.15185168684</v>
      </c>
      <c r="AG224" s="1467">
        <f>($I224-SUM($L224:AF224))*$J224</f>
        <v>100442.52148135006</v>
      </c>
      <c r="AH224" s="1467">
        <f>($I224-SUM($L224:AG224))*$J224</f>
        <v>80354.017185080054</v>
      </c>
      <c r="AI224" s="1467">
        <f>($I224-SUM($L224:AH224))*$J224</f>
        <v>64283.213748064642</v>
      </c>
      <c r="AJ224" s="1467">
        <f>($I224-SUM($L224:AI224))*$J224</f>
        <v>51426.57099845112</v>
      </c>
      <c r="AK224" s="1467">
        <f>($I224-SUM($L224:AJ224))*$J224</f>
        <v>41141.256798760594</v>
      </c>
      <c r="AL224" s="1467">
        <f>($I224-SUM($L224:AK224))*$J224</f>
        <v>32913.005439008775</v>
      </c>
      <c r="AM224" s="1467">
        <f>($I224-SUM($L224:AL224))*$J224</f>
        <v>26330.404351207617</v>
      </c>
      <c r="AN224" s="1467">
        <f>($I224-SUM($L224:AM224))*$J224</f>
        <v>21064.32348096669</v>
      </c>
      <c r="AO224" s="1467">
        <f>($I224-SUM($L224:AN224))*$J224</f>
        <v>16851.458784773946</v>
      </c>
      <c r="AP224" s="1468">
        <f t="shared" si="986"/>
        <v>54382594.164860912</v>
      </c>
      <c r="AQ224" s="1482"/>
      <c r="AR224" s="1467">
        <f t="shared" si="987"/>
        <v>43560000.000000007</v>
      </c>
      <c r="AS224" s="1467">
        <f t="shared" si="988"/>
        <v>34848000.000000007</v>
      </c>
      <c r="AT224" s="1467">
        <f t="shared" si="953"/>
        <v>27878400.000000007</v>
      </c>
      <c r="AU224" s="1467">
        <f t="shared" si="954"/>
        <v>22302720.000000007</v>
      </c>
      <c r="AV224" s="1467">
        <f t="shared" si="955"/>
        <v>17842176.000000007</v>
      </c>
      <c r="AW224" s="1467">
        <f t="shared" si="956"/>
        <v>14273740.800000008</v>
      </c>
      <c r="AX224" s="1467">
        <f t="shared" si="957"/>
        <v>11418992.640000008</v>
      </c>
      <c r="AY224" s="1467">
        <f t="shared" si="958"/>
        <v>9135194.1120000072</v>
      </c>
      <c r="AZ224" s="1467">
        <f t="shared" si="959"/>
        <v>7308155.2896000063</v>
      </c>
      <c r="BA224" s="1467">
        <f t="shared" si="960"/>
        <v>5846524.2316800058</v>
      </c>
      <c r="BB224" s="1467">
        <f t="shared" si="961"/>
        <v>4677219.3853440061</v>
      </c>
      <c r="BC224" s="1467">
        <f t="shared" si="962"/>
        <v>3741775.5082752062</v>
      </c>
      <c r="BD224" s="1467">
        <f t="shared" si="963"/>
        <v>2993420.4066201672</v>
      </c>
      <c r="BE224" s="1467">
        <f t="shared" si="964"/>
        <v>2394736.3252961352</v>
      </c>
      <c r="BF224" s="1467">
        <f t="shared" si="965"/>
        <v>1915789.0602369099</v>
      </c>
      <c r="BG224" s="1467">
        <f t="shared" si="966"/>
        <v>1532631.2481895296</v>
      </c>
      <c r="BH224" s="1467">
        <f t="shared" si="967"/>
        <v>1226104.9985516248</v>
      </c>
      <c r="BI224" s="1467">
        <f t="shared" si="968"/>
        <v>980883.99884130037</v>
      </c>
      <c r="BJ224" s="1467">
        <f t="shared" si="969"/>
        <v>784707.19907304028</v>
      </c>
      <c r="BK224" s="1467">
        <f t="shared" si="970"/>
        <v>627765.75925843243</v>
      </c>
      <c r="BL224" s="1467">
        <f t="shared" si="971"/>
        <v>502212.60740674561</v>
      </c>
      <c r="BM224" s="1467">
        <f t="shared" si="972"/>
        <v>401770.08592539554</v>
      </c>
      <c r="BN224" s="1467">
        <f t="shared" si="973"/>
        <v>321416.0687403155</v>
      </c>
      <c r="BO224" s="1467">
        <f t="shared" si="974"/>
        <v>257132.85499225085</v>
      </c>
      <c r="BP224" s="1467">
        <f t="shared" si="975"/>
        <v>205706.28399379973</v>
      </c>
      <c r="BQ224" s="1467">
        <f t="shared" si="976"/>
        <v>164565.02719503915</v>
      </c>
      <c r="BR224" s="1467">
        <f t="shared" si="977"/>
        <v>131652.02175603039</v>
      </c>
      <c r="BS224" s="1467">
        <f t="shared" si="978"/>
        <v>105321.61740482277</v>
      </c>
      <c r="BT224" s="1467">
        <f t="shared" si="979"/>
        <v>84257.293923856079</v>
      </c>
      <c r="BU224" s="1467">
        <f t="shared" si="980"/>
        <v>67405.835139082134</v>
      </c>
      <c r="BV224" s="1485"/>
    </row>
    <row r="225" spans="1:74" x14ac:dyDescent="0.2">
      <c r="A225" s="927" t="str">
        <f t="shared" si="981"/>
        <v>Cane trash (Cellulosic).Accelerated</v>
      </c>
      <c r="B225" s="1076"/>
      <c r="C225" s="1076" t="str">
        <f t="shared" si="989"/>
        <v>Cane trash (Cellulosic)</v>
      </c>
      <c r="D225" s="1076" t="str">
        <f>Assumptions!$AH$82</f>
        <v>Accelerated</v>
      </c>
      <c r="E225" s="1076" t="str">
        <f>'Cane trash (Cellulosic)'!H278</f>
        <v>Distillation, Rectification and Dehydration</v>
      </c>
      <c r="F225" s="1467">
        <f>SUM('Cane trash (Cellulosic)'!J278:K278)*1000000</f>
        <v>23000000</v>
      </c>
      <c r="G225" s="1467">
        <f t="shared" si="982"/>
        <v>28462500</v>
      </c>
      <c r="H225" s="1467">
        <f t="shared" si="983"/>
        <v>31308750.000000004</v>
      </c>
      <c r="I225" s="1467">
        <f t="shared" si="984"/>
        <v>31308750.000000004</v>
      </c>
      <c r="J225" s="1076">
        <f t="shared" si="990"/>
        <v>0.2</v>
      </c>
      <c r="K225" s="1107"/>
      <c r="L225" s="1467">
        <f t="shared" si="985"/>
        <v>6261750.0000000009</v>
      </c>
      <c r="M225" s="1467">
        <f>($I225-SUM($L225:L225))*$J225</f>
        <v>5009400.0000000009</v>
      </c>
      <c r="N225" s="1467">
        <f>($I225-SUM($L225:M225))*$J225</f>
        <v>4007520</v>
      </c>
      <c r="O225" s="1467">
        <f>($I225-SUM($L225:N225))*$J225</f>
        <v>3206016.0000000005</v>
      </c>
      <c r="P225" s="1467">
        <f>($I225-SUM($L225:O225))*$J225</f>
        <v>2564812.8000000003</v>
      </c>
      <c r="Q225" s="1467">
        <f>($I225-SUM($L225:P225))*$J225</f>
        <v>2051850.24</v>
      </c>
      <c r="R225" s="1467">
        <f>($I225-SUM($L225:Q225))*$J225</f>
        <v>1641480.1920000003</v>
      </c>
      <c r="S225" s="1467">
        <f>($I225-SUM($L225:R225))*$J225</f>
        <v>1313184.1535999998</v>
      </c>
      <c r="T225" s="1467">
        <f>($I225-SUM($L225:S225))*$J225</f>
        <v>1050547.3228799999</v>
      </c>
      <c r="U225" s="1467">
        <f>($I225-SUM($L225:T225))*$J225</f>
        <v>840437.85830399999</v>
      </c>
      <c r="V225" s="1467">
        <f>($I225-SUM($L225:U225))*$J225</f>
        <v>672350.28664319962</v>
      </c>
      <c r="W225" s="1467">
        <f>($I225-SUM($L225:V225))*$J225</f>
        <v>537880.22931455972</v>
      </c>
      <c r="X225" s="1467">
        <f>($I225-SUM($L225:W225))*$J225</f>
        <v>430304.1834516481</v>
      </c>
      <c r="Y225" s="1467">
        <f>($I225-SUM($L225:X225))*$J225</f>
        <v>344243.34676131833</v>
      </c>
      <c r="Z225" s="1467">
        <f>($I225-SUM($L225:Y225))*$J225</f>
        <v>275394.67740905436</v>
      </c>
      <c r="AA225" s="1467">
        <f>($I225-SUM($L225:Z225))*$J225</f>
        <v>220315.74192724377</v>
      </c>
      <c r="AB225" s="1467">
        <f>($I225-SUM($L225:AA225))*$J225</f>
        <v>176252.59354179504</v>
      </c>
      <c r="AC225" s="1467">
        <f>($I225-SUM($L225:AB225))*$J225</f>
        <v>141002.07483343632</v>
      </c>
      <c r="AD225" s="1467">
        <f>($I225-SUM($L225:AC225))*$J225</f>
        <v>112801.65986674876</v>
      </c>
      <c r="AE225" s="1467">
        <f>($I225-SUM($L225:AD225))*$J225</f>
        <v>90241.327893398702</v>
      </c>
      <c r="AF225" s="1467">
        <f>($I225-SUM($L225:AE225))*$J225</f>
        <v>72193.062314718962</v>
      </c>
      <c r="AG225" s="1467">
        <f>($I225-SUM($L225:AF225))*$J225</f>
        <v>57754.449851775171</v>
      </c>
      <c r="AH225" s="1467">
        <f>($I225-SUM($L225:AG225))*$J225</f>
        <v>46203.559881420435</v>
      </c>
      <c r="AI225" s="1467">
        <f>($I225-SUM($L225:AH225))*$J225</f>
        <v>36962.847905136645</v>
      </c>
      <c r="AJ225" s="1467">
        <f>($I225-SUM($L225:AI225))*$J225</f>
        <v>29570.278324109317</v>
      </c>
      <c r="AK225" s="1467">
        <f>($I225-SUM($L225:AJ225))*$J225</f>
        <v>23656.222659287603</v>
      </c>
      <c r="AL225" s="1467">
        <f>($I225-SUM($L225:AK225))*$J225</f>
        <v>18924.978127430379</v>
      </c>
      <c r="AM225" s="1467">
        <f>($I225-SUM($L225:AL225))*$J225</f>
        <v>15139.982501944156</v>
      </c>
      <c r="AN225" s="1467">
        <f>($I225-SUM($L225:AM225))*$J225</f>
        <v>12111.986001555622</v>
      </c>
      <c r="AO225" s="1467">
        <f>($I225-SUM($L225:AN225))*$J225</f>
        <v>9689.5888012446467</v>
      </c>
      <c r="AP225" s="1468">
        <f t="shared" si="986"/>
        <v>31269991.644795027</v>
      </c>
      <c r="AQ225" s="1482"/>
      <c r="AR225" s="1467">
        <f t="shared" si="987"/>
        <v>25047000.000000004</v>
      </c>
      <c r="AS225" s="1467">
        <f t="shared" si="988"/>
        <v>20037600.000000004</v>
      </c>
      <c r="AT225" s="1467">
        <f t="shared" si="953"/>
        <v>16030080.000000004</v>
      </c>
      <c r="AU225" s="1467">
        <f t="shared" si="954"/>
        <v>12824064.000000004</v>
      </c>
      <c r="AV225" s="1467">
        <f t="shared" si="955"/>
        <v>10259251.200000003</v>
      </c>
      <c r="AW225" s="1467">
        <f t="shared" si="956"/>
        <v>8207400.9600000028</v>
      </c>
      <c r="AX225" s="1467">
        <f t="shared" si="957"/>
        <v>6565920.768000003</v>
      </c>
      <c r="AY225" s="1467">
        <f t="shared" si="958"/>
        <v>5252736.6144000031</v>
      </c>
      <c r="AZ225" s="1467">
        <f t="shared" si="959"/>
        <v>4202189.2915200032</v>
      </c>
      <c r="BA225" s="1467">
        <f t="shared" si="960"/>
        <v>3361751.4332160032</v>
      </c>
      <c r="BB225" s="1467">
        <f t="shared" si="961"/>
        <v>2689401.1465728036</v>
      </c>
      <c r="BC225" s="1467">
        <f t="shared" si="962"/>
        <v>2151520.917258244</v>
      </c>
      <c r="BD225" s="1467">
        <f t="shared" si="963"/>
        <v>1721216.7338065959</v>
      </c>
      <c r="BE225" s="1467">
        <f t="shared" si="964"/>
        <v>1376973.3870452775</v>
      </c>
      <c r="BF225" s="1467">
        <f t="shared" si="965"/>
        <v>1101578.709636223</v>
      </c>
      <c r="BG225" s="1467">
        <f t="shared" si="966"/>
        <v>881262.96770897927</v>
      </c>
      <c r="BH225" s="1467">
        <f t="shared" si="967"/>
        <v>705010.37416718423</v>
      </c>
      <c r="BI225" s="1467">
        <f t="shared" si="968"/>
        <v>564008.29933374794</v>
      </c>
      <c r="BJ225" s="1467">
        <f t="shared" si="969"/>
        <v>451206.63946699922</v>
      </c>
      <c r="BK225" s="1467">
        <f t="shared" si="970"/>
        <v>360965.31157360051</v>
      </c>
      <c r="BL225" s="1467">
        <f t="shared" si="971"/>
        <v>288772.24925888155</v>
      </c>
      <c r="BM225" s="1467">
        <f t="shared" si="972"/>
        <v>231017.79940710639</v>
      </c>
      <c r="BN225" s="1467">
        <f t="shared" si="973"/>
        <v>184814.23952568596</v>
      </c>
      <c r="BO225" s="1467">
        <f t="shared" si="974"/>
        <v>147851.39162054932</v>
      </c>
      <c r="BP225" s="1467">
        <f t="shared" si="975"/>
        <v>118281.11329644</v>
      </c>
      <c r="BQ225" s="1467">
        <f t="shared" si="976"/>
        <v>94624.890637152392</v>
      </c>
      <c r="BR225" s="1467">
        <f t="shared" si="977"/>
        <v>75699.912509722009</v>
      </c>
      <c r="BS225" s="1467">
        <f t="shared" si="978"/>
        <v>60559.930007777853</v>
      </c>
      <c r="BT225" s="1467">
        <f t="shared" si="979"/>
        <v>48447.944006222227</v>
      </c>
      <c r="BU225" s="1467">
        <f t="shared" si="980"/>
        <v>38758.355204977583</v>
      </c>
      <c r="BV225" s="1485"/>
    </row>
    <row r="226" spans="1:74" x14ac:dyDescent="0.2">
      <c r="A226" s="927" t="str">
        <f t="shared" si="981"/>
        <v>Cane trash (Cellulosic).Accelerated</v>
      </c>
      <c r="B226" s="1076"/>
      <c r="C226" s="1076" t="str">
        <f t="shared" si="989"/>
        <v>Cane trash (Cellulosic)</v>
      </c>
      <c r="D226" s="1076" t="str">
        <f>Assumptions!$AH$82</f>
        <v>Accelerated</v>
      </c>
      <c r="E226" s="1076" t="str">
        <f>'Cane trash (Cellulosic)'!H279</f>
        <v>Alcohol Storage</v>
      </c>
      <c r="F226" s="1467">
        <f>SUM('Cane trash (Cellulosic)'!J279:K279)*1000000</f>
        <v>5000000</v>
      </c>
      <c r="G226" s="1467">
        <f t="shared" si="982"/>
        <v>6187500</v>
      </c>
      <c r="H226" s="1467">
        <f t="shared" si="983"/>
        <v>6806250.0000000009</v>
      </c>
      <c r="I226" s="1467">
        <f t="shared" si="984"/>
        <v>6806250.0000000009</v>
      </c>
      <c r="J226" s="1076">
        <f t="shared" si="990"/>
        <v>0.2</v>
      </c>
      <c r="K226" s="1107"/>
      <c r="L226" s="1467">
        <f t="shared" si="985"/>
        <v>1361250.0000000002</v>
      </c>
      <c r="M226" s="1467">
        <f>($I226-SUM($L226:L226))*$J226</f>
        <v>1089000.0000000002</v>
      </c>
      <c r="N226" s="1467">
        <f>($I226-SUM($L226:M226))*$J226</f>
        <v>871200</v>
      </c>
      <c r="O226" s="1467">
        <f>($I226-SUM($L226:N226))*$J226</f>
        <v>696960.00000000012</v>
      </c>
      <c r="P226" s="1467">
        <f>($I226-SUM($L226:O226))*$J226</f>
        <v>557568.00000000012</v>
      </c>
      <c r="Q226" s="1467">
        <f>($I226-SUM($L226:P226))*$J226</f>
        <v>446054.40000000002</v>
      </c>
      <c r="R226" s="1467">
        <f>($I226-SUM($L226:Q226))*$J226</f>
        <v>356843.51999999996</v>
      </c>
      <c r="S226" s="1467">
        <f>($I226-SUM($L226:R226))*$J226</f>
        <v>285474.81600000005</v>
      </c>
      <c r="T226" s="1467">
        <f>($I226-SUM($L226:S226))*$J226</f>
        <v>228379.85280000011</v>
      </c>
      <c r="U226" s="1467">
        <f>($I226-SUM($L226:T226))*$J226</f>
        <v>182703.88224000001</v>
      </c>
      <c r="V226" s="1467">
        <f>($I226-SUM($L226:U226))*$J226</f>
        <v>146163.10579199996</v>
      </c>
      <c r="W226" s="1467">
        <f>($I226-SUM($L226:V226))*$J226</f>
        <v>116930.48463359998</v>
      </c>
      <c r="X226" s="1467">
        <f>($I226-SUM($L226:W226))*$J226</f>
        <v>93544.387706879905</v>
      </c>
      <c r="Y226" s="1467">
        <f>($I226-SUM($L226:X226))*$J226</f>
        <v>74835.510165503991</v>
      </c>
      <c r="Z226" s="1467">
        <f>($I226-SUM($L226:Y226))*$J226</f>
        <v>59868.408132403158</v>
      </c>
      <c r="AA226" s="1467">
        <f>($I226-SUM($L226:Z226))*$J226</f>
        <v>47894.726505922532</v>
      </c>
      <c r="AB226" s="1467">
        <f>($I226-SUM($L226:AA226))*$J226</f>
        <v>38315.781204738094</v>
      </c>
      <c r="AC226" s="1467">
        <f>($I226-SUM($L226:AB226))*$J226</f>
        <v>30652.624963790553</v>
      </c>
      <c r="AD226" s="1467">
        <f>($I226-SUM($L226:AC226))*$J226</f>
        <v>24522.099971032516</v>
      </c>
      <c r="AE226" s="1467">
        <f>($I226-SUM($L226:AD226))*$J226</f>
        <v>19617.679976825977</v>
      </c>
      <c r="AF226" s="1467">
        <f>($I226-SUM($L226:AE226))*$J226</f>
        <v>15694.143981460855</v>
      </c>
      <c r="AG226" s="1467">
        <f>($I226-SUM($L226:AF226))*$J226</f>
        <v>12555.315185168758</v>
      </c>
      <c r="AH226" s="1467">
        <f>($I226-SUM($L226:AG226))*$J226</f>
        <v>10044.252148135007</v>
      </c>
      <c r="AI226" s="1467">
        <f>($I226-SUM($L226:AH226))*$J226</f>
        <v>8035.4017185080802</v>
      </c>
      <c r="AJ226" s="1467">
        <f>($I226-SUM($L226:AI226))*$J226</f>
        <v>6428.3213748063899</v>
      </c>
      <c r="AK226" s="1467">
        <f>($I226-SUM($L226:AJ226))*$J226</f>
        <v>5142.6570998450743</v>
      </c>
      <c r="AL226" s="1467">
        <f>($I226-SUM($L226:AK226))*$J226</f>
        <v>4114.1256798760969</v>
      </c>
      <c r="AM226" s="1467">
        <f>($I226-SUM($L226:AL226))*$J226</f>
        <v>3291.3005439009521</v>
      </c>
      <c r="AN226" s="1467">
        <f>($I226-SUM($L226:AM226))*$J226</f>
        <v>2633.0404351208363</v>
      </c>
      <c r="AO226" s="1467">
        <f>($I226-SUM($L226:AN226))*$J226</f>
        <v>2106.4323480967432</v>
      </c>
      <c r="AP226" s="1468">
        <f t="shared" si="986"/>
        <v>6797824.270607614</v>
      </c>
      <c r="AQ226" s="1482"/>
      <c r="AR226" s="1467">
        <f t="shared" si="987"/>
        <v>5445000.0000000009</v>
      </c>
      <c r="AS226" s="1467">
        <f t="shared" si="988"/>
        <v>4356000.0000000009</v>
      </c>
      <c r="AT226" s="1467">
        <f t="shared" si="953"/>
        <v>3484800.0000000009</v>
      </c>
      <c r="AU226" s="1467">
        <f t="shared" si="954"/>
        <v>2787840.0000000009</v>
      </c>
      <c r="AV226" s="1467">
        <f t="shared" si="955"/>
        <v>2230272.0000000009</v>
      </c>
      <c r="AW226" s="1467">
        <f t="shared" si="956"/>
        <v>1784217.600000001</v>
      </c>
      <c r="AX226" s="1467">
        <f t="shared" si="957"/>
        <v>1427374.080000001</v>
      </c>
      <c r="AY226" s="1467">
        <f t="shared" si="958"/>
        <v>1141899.2640000009</v>
      </c>
      <c r="AZ226" s="1467">
        <f t="shared" si="959"/>
        <v>913519.41120000079</v>
      </c>
      <c r="BA226" s="1467">
        <f t="shared" si="960"/>
        <v>730815.52896000072</v>
      </c>
      <c r="BB226" s="1467">
        <f t="shared" si="961"/>
        <v>584652.42316800077</v>
      </c>
      <c r="BC226" s="1467">
        <f t="shared" si="962"/>
        <v>467721.93853440078</v>
      </c>
      <c r="BD226" s="1467">
        <f t="shared" si="963"/>
        <v>374177.5508275209</v>
      </c>
      <c r="BE226" s="1467">
        <f t="shared" si="964"/>
        <v>299342.04066201689</v>
      </c>
      <c r="BF226" s="1467">
        <f t="shared" si="965"/>
        <v>239473.63252961374</v>
      </c>
      <c r="BG226" s="1467">
        <f t="shared" si="966"/>
        <v>191578.9060236912</v>
      </c>
      <c r="BH226" s="1467">
        <f t="shared" si="967"/>
        <v>153263.1248189531</v>
      </c>
      <c r="BI226" s="1467">
        <f t="shared" si="968"/>
        <v>122610.49985516255</v>
      </c>
      <c r="BJ226" s="1467">
        <f t="shared" si="969"/>
        <v>98088.399884130034</v>
      </c>
      <c r="BK226" s="1467">
        <f t="shared" si="970"/>
        <v>78470.719907304054</v>
      </c>
      <c r="BL226" s="1467">
        <f t="shared" si="971"/>
        <v>62776.575925843201</v>
      </c>
      <c r="BM226" s="1467">
        <f t="shared" si="972"/>
        <v>50221.260740674443</v>
      </c>
      <c r="BN226" s="1467">
        <f t="shared" si="973"/>
        <v>40177.008592539438</v>
      </c>
      <c r="BO226" s="1467">
        <f t="shared" si="974"/>
        <v>32141.606874031357</v>
      </c>
      <c r="BP226" s="1467">
        <f t="shared" si="975"/>
        <v>25713.285499224967</v>
      </c>
      <c r="BQ226" s="1467">
        <f t="shared" si="976"/>
        <v>20570.628399379893</v>
      </c>
      <c r="BR226" s="1467">
        <f t="shared" si="977"/>
        <v>16456.502719503798</v>
      </c>
      <c r="BS226" s="1467">
        <f t="shared" si="978"/>
        <v>13165.202175602846</v>
      </c>
      <c r="BT226" s="1467">
        <f t="shared" si="979"/>
        <v>10532.16174048201</v>
      </c>
      <c r="BU226" s="1467">
        <f t="shared" si="980"/>
        <v>8425.7293923852667</v>
      </c>
      <c r="BV226" s="1485"/>
    </row>
    <row r="227" spans="1:74" x14ac:dyDescent="0.2">
      <c r="A227" s="927" t="str">
        <f t="shared" si="981"/>
        <v>Cane trash (Cellulosic).Accelerated</v>
      </c>
      <c r="B227" s="1076"/>
      <c r="C227" s="1076" t="str">
        <f t="shared" si="989"/>
        <v>Cane trash (Cellulosic)</v>
      </c>
      <c r="D227" s="1076" t="str">
        <f>Assumptions!$AH$82</f>
        <v>Accelerated</v>
      </c>
      <c r="E227" s="1076" t="str">
        <f>'Cane trash (Cellulosic)'!H280</f>
        <v>Biogas Plant</v>
      </c>
      <c r="F227" s="1467">
        <f>SUM('Cane trash (Cellulosic)'!J280:K280)*1000000</f>
        <v>13000000</v>
      </c>
      <c r="G227" s="1467">
        <f t="shared" si="982"/>
        <v>16087500</v>
      </c>
      <c r="H227" s="1467">
        <f t="shared" si="983"/>
        <v>17696250</v>
      </c>
      <c r="I227" s="1467">
        <f t="shared" si="984"/>
        <v>17696250</v>
      </c>
      <c r="J227" s="1076">
        <f t="shared" si="990"/>
        <v>0.2</v>
      </c>
      <c r="K227" s="1107"/>
      <c r="L227" s="1467">
        <f t="shared" si="985"/>
        <v>3539250</v>
      </c>
      <c r="M227" s="1467">
        <f>($I227-SUM($L227:L227))*$J227</f>
        <v>2831400</v>
      </c>
      <c r="N227" s="1467">
        <f>($I227-SUM($L227:M227))*$J227</f>
        <v>2265120</v>
      </c>
      <c r="O227" s="1467">
        <f>($I227-SUM($L227:N227))*$J227</f>
        <v>1812096</v>
      </c>
      <c r="P227" s="1467">
        <f>($I227-SUM($L227:O227))*$J227</f>
        <v>1449676.8</v>
      </c>
      <c r="Q227" s="1467">
        <f>($I227-SUM($L227:P227))*$J227</f>
        <v>1159741.4399999999</v>
      </c>
      <c r="R227" s="1467">
        <f>($I227-SUM($L227:Q227))*$J227</f>
        <v>927793.152</v>
      </c>
      <c r="S227" s="1467">
        <f>($I227-SUM($L227:R227))*$J227</f>
        <v>742234.52159999986</v>
      </c>
      <c r="T227" s="1467">
        <f>($I227-SUM($L227:S227))*$J227</f>
        <v>593787.61727999977</v>
      </c>
      <c r="U227" s="1467">
        <f>($I227-SUM($L227:T227))*$J227</f>
        <v>475030.09382399992</v>
      </c>
      <c r="V227" s="1467">
        <f>($I227-SUM($L227:U227))*$J227</f>
        <v>380024.07505920011</v>
      </c>
      <c r="W227" s="1467">
        <f>($I227-SUM($L227:V227))*$J227</f>
        <v>304019.26004736015</v>
      </c>
      <c r="X227" s="1467">
        <f>($I227-SUM($L227:W227))*$J227</f>
        <v>243215.40803788826</v>
      </c>
      <c r="Y227" s="1467">
        <f>($I227-SUM($L227:X227))*$J227</f>
        <v>194572.3264303107</v>
      </c>
      <c r="Z227" s="1467">
        <f>($I227-SUM($L227:Y227))*$J227</f>
        <v>155657.8611442484</v>
      </c>
      <c r="AA227" s="1467">
        <f>($I227-SUM($L227:Z227))*$J227</f>
        <v>124526.28891539872</v>
      </c>
      <c r="AB227" s="1467">
        <f>($I227-SUM($L227:AA227))*$J227</f>
        <v>99621.031132318836</v>
      </c>
      <c r="AC227" s="1467">
        <f>($I227-SUM($L227:AB227))*$J227</f>
        <v>79696.824905855217</v>
      </c>
      <c r="AD227" s="1467">
        <f>($I227-SUM($L227:AC227))*$J227</f>
        <v>63757.459924684466</v>
      </c>
      <c r="AE227" s="1467">
        <f>($I227-SUM($L227:AD227))*$J227</f>
        <v>51005.967939747876</v>
      </c>
      <c r="AF227" s="1467">
        <f>($I227-SUM($L227:AE227))*$J227</f>
        <v>40804.774351797998</v>
      </c>
      <c r="AG227" s="1467">
        <f>($I227-SUM($L227:AF227))*$J227</f>
        <v>32643.819481438401</v>
      </c>
      <c r="AH227" s="1467">
        <f>($I227-SUM($L227:AG227))*$J227</f>
        <v>26115.055585150421</v>
      </c>
      <c r="AI227" s="1467">
        <f>($I227-SUM($L227:AH227))*$J227</f>
        <v>20892.044468120486</v>
      </c>
      <c r="AJ227" s="1467">
        <f>($I227-SUM($L227:AI227))*$J227</f>
        <v>16713.635574496537</v>
      </c>
      <c r="AK227" s="1467">
        <f>($I227-SUM($L227:AJ227))*$J227</f>
        <v>13370.908459597082</v>
      </c>
      <c r="AL227" s="1467">
        <f>($I227-SUM($L227:AK227))*$J227</f>
        <v>10696.726767677814</v>
      </c>
      <c r="AM227" s="1467">
        <f>($I227-SUM($L227:AL227))*$J227</f>
        <v>8557.3814141422517</v>
      </c>
      <c r="AN227" s="1467">
        <f>($I227-SUM($L227:AM227))*$J227</f>
        <v>6845.9051313139498</v>
      </c>
      <c r="AO227" s="1467">
        <f>($I227-SUM($L227:AN227))*$J227</f>
        <v>5476.7241050511602</v>
      </c>
      <c r="AP227" s="1468">
        <f t="shared" si="986"/>
        <v>17674343.103579797</v>
      </c>
      <c r="AQ227" s="1482"/>
      <c r="AR227" s="1467">
        <f t="shared" si="987"/>
        <v>14157000</v>
      </c>
      <c r="AS227" s="1467">
        <f t="shared" si="988"/>
        <v>11325600</v>
      </c>
      <c r="AT227" s="1467">
        <f t="shared" si="953"/>
        <v>9060480</v>
      </c>
      <c r="AU227" s="1467">
        <f t="shared" si="954"/>
        <v>7248384</v>
      </c>
      <c r="AV227" s="1467">
        <f t="shared" si="955"/>
        <v>5798707.2000000002</v>
      </c>
      <c r="AW227" s="1467">
        <f t="shared" si="956"/>
        <v>4638965.7599999998</v>
      </c>
      <c r="AX227" s="1467">
        <f t="shared" si="957"/>
        <v>3711172.608</v>
      </c>
      <c r="AY227" s="1467">
        <f t="shared" si="958"/>
        <v>2968938.0864000004</v>
      </c>
      <c r="AZ227" s="1467">
        <f t="shared" si="959"/>
        <v>2375150.4691200005</v>
      </c>
      <c r="BA227" s="1467">
        <f t="shared" si="960"/>
        <v>1900120.3752960006</v>
      </c>
      <c r="BB227" s="1467">
        <f t="shared" si="961"/>
        <v>1520096.3002368005</v>
      </c>
      <c r="BC227" s="1467">
        <f t="shared" si="962"/>
        <v>1216077.0401894404</v>
      </c>
      <c r="BD227" s="1467">
        <f t="shared" si="963"/>
        <v>972861.63215155213</v>
      </c>
      <c r="BE227" s="1467">
        <f t="shared" si="964"/>
        <v>778289.3057212414</v>
      </c>
      <c r="BF227" s="1467">
        <f t="shared" si="965"/>
        <v>622631.444576993</v>
      </c>
      <c r="BG227" s="1467">
        <f t="shared" si="966"/>
        <v>498105.1556615943</v>
      </c>
      <c r="BH227" s="1467">
        <f t="shared" si="967"/>
        <v>398484.12452927546</v>
      </c>
      <c r="BI227" s="1467">
        <f t="shared" si="968"/>
        <v>318787.29962342023</v>
      </c>
      <c r="BJ227" s="1467">
        <f t="shared" si="969"/>
        <v>255029.83969873577</v>
      </c>
      <c r="BK227" s="1467">
        <f t="shared" si="970"/>
        <v>204023.87175898789</v>
      </c>
      <c r="BL227" s="1467">
        <f t="shared" si="971"/>
        <v>163219.0974071899</v>
      </c>
      <c r="BM227" s="1467">
        <f t="shared" si="972"/>
        <v>130575.27792575149</v>
      </c>
      <c r="BN227" s="1467">
        <f t="shared" si="973"/>
        <v>104460.22234060107</v>
      </c>
      <c r="BO227" s="1467">
        <f t="shared" si="974"/>
        <v>83568.177872480592</v>
      </c>
      <c r="BP227" s="1467">
        <f t="shared" si="975"/>
        <v>66854.542297984051</v>
      </c>
      <c r="BQ227" s="1467">
        <f t="shared" si="976"/>
        <v>53483.633838386973</v>
      </c>
      <c r="BR227" s="1467">
        <f t="shared" si="977"/>
        <v>42786.90707070916</v>
      </c>
      <c r="BS227" s="1467">
        <f t="shared" si="978"/>
        <v>34229.525656566911</v>
      </c>
      <c r="BT227" s="1467">
        <f t="shared" si="979"/>
        <v>27383.620525252962</v>
      </c>
      <c r="BU227" s="1467">
        <f t="shared" si="980"/>
        <v>21906.896420201803</v>
      </c>
      <c r="BV227" s="1485"/>
    </row>
    <row r="228" spans="1:74" x14ac:dyDescent="0.2">
      <c r="A228" s="927" t="str">
        <f t="shared" si="981"/>
        <v>Cane trash (Cellulosic).Accelerated</v>
      </c>
      <c r="B228" s="1076"/>
      <c r="C228" s="1076" t="str">
        <f t="shared" si="989"/>
        <v>Cane trash (Cellulosic)</v>
      </c>
      <c r="D228" s="1076" t="str">
        <f>Assumptions!$AH$82</f>
        <v>Accelerated</v>
      </c>
      <c r="E228" s="1076" t="str">
        <f>'Cane trash (Cellulosic)'!H281</f>
        <v>Cogeneration Plant</v>
      </c>
      <c r="F228" s="1467">
        <f>SUM('Cane trash (Cellulosic)'!J281:K281)*1000000</f>
        <v>40000000</v>
      </c>
      <c r="G228" s="1467">
        <f t="shared" si="982"/>
        <v>49500000</v>
      </c>
      <c r="H228" s="1467">
        <f t="shared" si="983"/>
        <v>54450000.000000007</v>
      </c>
      <c r="I228" s="1467">
        <f t="shared" si="984"/>
        <v>54450000.000000007</v>
      </c>
      <c r="J228" s="1076">
        <f t="shared" si="990"/>
        <v>0.2</v>
      </c>
      <c r="K228" s="1107"/>
      <c r="L228" s="1467">
        <f t="shared" si="985"/>
        <v>10890000.000000002</v>
      </c>
      <c r="M228" s="1467">
        <f>($I228-SUM($L228:L228))*$J228</f>
        <v>8712000.0000000019</v>
      </c>
      <c r="N228" s="1467">
        <f>($I228-SUM($L228:M228))*$J228</f>
        <v>6969600</v>
      </c>
      <c r="O228" s="1467">
        <f>($I228-SUM($L228:N228))*$J228</f>
        <v>5575680.0000000009</v>
      </c>
      <c r="P228" s="1467">
        <f>($I228-SUM($L228:O228))*$J228</f>
        <v>4460544.0000000009</v>
      </c>
      <c r="Q228" s="1467">
        <f>($I228-SUM($L228:P228))*$J228</f>
        <v>3568435.2000000002</v>
      </c>
      <c r="R228" s="1467">
        <f>($I228-SUM($L228:Q228))*$J228</f>
        <v>2854748.1599999997</v>
      </c>
      <c r="S228" s="1467">
        <f>($I228-SUM($L228:R228))*$J228</f>
        <v>2283798.5280000004</v>
      </c>
      <c r="T228" s="1467">
        <f>($I228-SUM($L228:S228))*$J228</f>
        <v>1827038.8224000009</v>
      </c>
      <c r="U228" s="1467">
        <f>($I228-SUM($L228:T228))*$J228</f>
        <v>1461631.0579200001</v>
      </c>
      <c r="V228" s="1467">
        <f>($I228-SUM($L228:U228))*$J228</f>
        <v>1169304.8463359997</v>
      </c>
      <c r="W228" s="1467">
        <f>($I228-SUM($L228:V228))*$J228</f>
        <v>935443.8770687998</v>
      </c>
      <c r="X228" s="1467">
        <f>($I228-SUM($L228:W228))*$J228</f>
        <v>748355.10165503924</v>
      </c>
      <c r="Y228" s="1467">
        <f>($I228-SUM($L228:X228))*$J228</f>
        <v>598684.08132403193</v>
      </c>
      <c r="Z228" s="1467">
        <f>($I228-SUM($L228:Y228))*$J228</f>
        <v>478947.26505922526</v>
      </c>
      <c r="AA228" s="1467">
        <f>($I228-SUM($L228:Z228))*$J228</f>
        <v>383157.81204738026</v>
      </c>
      <c r="AB228" s="1467">
        <f>($I228-SUM($L228:AA228))*$J228</f>
        <v>306526.24963790475</v>
      </c>
      <c r="AC228" s="1467">
        <f>($I228-SUM($L228:AB228))*$J228</f>
        <v>245220.99971032442</v>
      </c>
      <c r="AD228" s="1467">
        <f>($I228-SUM($L228:AC228))*$J228</f>
        <v>196176.79976826013</v>
      </c>
      <c r="AE228" s="1467">
        <f>($I228-SUM($L228:AD228))*$J228</f>
        <v>156941.43981460782</v>
      </c>
      <c r="AF228" s="1467">
        <f>($I228-SUM($L228:AE228))*$J228</f>
        <v>125553.15185168684</v>
      </c>
      <c r="AG228" s="1467">
        <f>($I228-SUM($L228:AF228))*$J228</f>
        <v>100442.52148135006</v>
      </c>
      <c r="AH228" s="1467">
        <f>($I228-SUM($L228:AG228))*$J228</f>
        <v>80354.017185080054</v>
      </c>
      <c r="AI228" s="1467">
        <f>($I228-SUM($L228:AH228))*$J228</f>
        <v>64283.213748064642</v>
      </c>
      <c r="AJ228" s="1467">
        <f>($I228-SUM($L228:AI228))*$J228</f>
        <v>51426.57099845112</v>
      </c>
      <c r="AK228" s="1467">
        <f>($I228-SUM($L228:AJ228))*$J228</f>
        <v>41141.256798760594</v>
      </c>
      <c r="AL228" s="1467">
        <f>($I228-SUM($L228:AK228))*$J228</f>
        <v>32913.005439008775</v>
      </c>
      <c r="AM228" s="1467">
        <f>($I228-SUM($L228:AL228))*$J228</f>
        <v>26330.404351207617</v>
      </c>
      <c r="AN228" s="1467">
        <f>($I228-SUM($L228:AM228))*$J228</f>
        <v>21064.32348096669</v>
      </c>
      <c r="AO228" s="1467">
        <f>($I228-SUM($L228:AN228))*$J228</f>
        <v>16851.458784773946</v>
      </c>
      <c r="AP228" s="1468">
        <f t="shared" si="986"/>
        <v>54382594.164860912</v>
      </c>
      <c r="AQ228" s="1482"/>
      <c r="AR228" s="1467">
        <f t="shared" si="987"/>
        <v>43560000.000000007</v>
      </c>
      <c r="AS228" s="1467">
        <f t="shared" si="988"/>
        <v>34848000.000000007</v>
      </c>
      <c r="AT228" s="1467">
        <f t="shared" si="953"/>
        <v>27878400.000000007</v>
      </c>
      <c r="AU228" s="1467">
        <f t="shared" si="954"/>
        <v>22302720.000000007</v>
      </c>
      <c r="AV228" s="1467">
        <f t="shared" si="955"/>
        <v>17842176.000000007</v>
      </c>
      <c r="AW228" s="1467">
        <f t="shared" si="956"/>
        <v>14273740.800000008</v>
      </c>
      <c r="AX228" s="1467">
        <f t="shared" si="957"/>
        <v>11418992.640000008</v>
      </c>
      <c r="AY228" s="1467">
        <f t="shared" si="958"/>
        <v>9135194.1120000072</v>
      </c>
      <c r="AZ228" s="1467">
        <f t="shared" si="959"/>
        <v>7308155.2896000063</v>
      </c>
      <c r="BA228" s="1467">
        <f t="shared" si="960"/>
        <v>5846524.2316800058</v>
      </c>
      <c r="BB228" s="1467">
        <f t="shared" si="961"/>
        <v>4677219.3853440061</v>
      </c>
      <c r="BC228" s="1467">
        <f t="shared" si="962"/>
        <v>3741775.5082752062</v>
      </c>
      <c r="BD228" s="1467">
        <f t="shared" si="963"/>
        <v>2993420.4066201672</v>
      </c>
      <c r="BE228" s="1467">
        <f t="shared" si="964"/>
        <v>2394736.3252961352</v>
      </c>
      <c r="BF228" s="1467">
        <f t="shared" si="965"/>
        <v>1915789.0602369099</v>
      </c>
      <c r="BG228" s="1467">
        <f t="shared" si="966"/>
        <v>1532631.2481895296</v>
      </c>
      <c r="BH228" s="1467">
        <f t="shared" si="967"/>
        <v>1226104.9985516248</v>
      </c>
      <c r="BI228" s="1467">
        <f t="shared" si="968"/>
        <v>980883.99884130037</v>
      </c>
      <c r="BJ228" s="1467">
        <f t="shared" si="969"/>
        <v>784707.19907304028</v>
      </c>
      <c r="BK228" s="1467">
        <f t="shared" si="970"/>
        <v>627765.75925843243</v>
      </c>
      <c r="BL228" s="1467">
        <f t="shared" si="971"/>
        <v>502212.60740674561</v>
      </c>
      <c r="BM228" s="1467">
        <f t="shared" si="972"/>
        <v>401770.08592539554</v>
      </c>
      <c r="BN228" s="1467">
        <f t="shared" si="973"/>
        <v>321416.0687403155</v>
      </c>
      <c r="BO228" s="1467">
        <f t="shared" si="974"/>
        <v>257132.85499225085</v>
      </c>
      <c r="BP228" s="1467">
        <f t="shared" si="975"/>
        <v>205706.28399379973</v>
      </c>
      <c r="BQ228" s="1467">
        <f t="shared" si="976"/>
        <v>164565.02719503915</v>
      </c>
      <c r="BR228" s="1467">
        <f t="shared" si="977"/>
        <v>131652.02175603039</v>
      </c>
      <c r="BS228" s="1467">
        <f t="shared" si="978"/>
        <v>105321.61740482277</v>
      </c>
      <c r="BT228" s="1467">
        <f t="shared" si="979"/>
        <v>84257.293923856079</v>
      </c>
      <c r="BU228" s="1467">
        <f t="shared" si="980"/>
        <v>67405.835139082134</v>
      </c>
      <c r="BV228" s="1485"/>
    </row>
    <row r="229" spans="1:74" x14ac:dyDescent="0.2">
      <c r="A229" s="927" t="str">
        <f t="shared" si="981"/>
        <v>Cane trash (Cellulosic).Accelerated</v>
      </c>
      <c r="B229" s="1076"/>
      <c r="C229" s="1076" t="str">
        <f t="shared" si="989"/>
        <v>Cane trash (Cellulosic)</v>
      </c>
      <c r="D229" s="1076" t="str">
        <f>Assumptions!$AH$82</f>
        <v>Accelerated</v>
      </c>
      <c r="E229" s="1076" t="str">
        <f>'Cane trash (Cellulosic)'!H282</f>
        <v>Non-process buildings</v>
      </c>
      <c r="F229" s="1467">
        <f>SUM('Cane trash (Cellulosic)'!J282:K282)*1000000</f>
        <v>5000000</v>
      </c>
      <c r="G229" s="1467">
        <f t="shared" si="982"/>
        <v>6187500</v>
      </c>
      <c r="H229" s="1467">
        <f t="shared" si="983"/>
        <v>6806250.0000000009</v>
      </c>
      <c r="I229" s="1467">
        <f t="shared" si="984"/>
        <v>6806250.0000000009</v>
      </c>
      <c r="J229" s="1076">
        <f t="shared" si="990"/>
        <v>0.2</v>
      </c>
      <c r="K229" s="1107"/>
      <c r="L229" s="1467">
        <f t="shared" si="985"/>
        <v>1361250.0000000002</v>
      </c>
      <c r="M229" s="1467">
        <f>($I229-SUM($L229:L229))*$J229</f>
        <v>1089000.0000000002</v>
      </c>
      <c r="N229" s="1467">
        <f>($I229-SUM($L229:M229))*$J229</f>
        <v>871200</v>
      </c>
      <c r="O229" s="1467">
        <f>($I229-SUM($L229:N229))*$J229</f>
        <v>696960.00000000012</v>
      </c>
      <c r="P229" s="1467">
        <f>($I229-SUM($L229:O229))*$J229</f>
        <v>557568.00000000012</v>
      </c>
      <c r="Q229" s="1467">
        <f>($I229-SUM($L229:P229))*$J229</f>
        <v>446054.40000000002</v>
      </c>
      <c r="R229" s="1467">
        <f>($I229-SUM($L229:Q229))*$J229</f>
        <v>356843.51999999996</v>
      </c>
      <c r="S229" s="1467">
        <f>($I229-SUM($L229:R229))*$J229</f>
        <v>285474.81600000005</v>
      </c>
      <c r="T229" s="1467">
        <f>($I229-SUM($L229:S229))*$J229</f>
        <v>228379.85280000011</v>
      </c>
      <c r="U229" s="1467">
        <f>($I229-SUM($L229:T229))*$J229</f>
        <v>182703.88224000001</v>
      </c>
      <c r="V229" s="1467">
        <f>($I229-SUM($L229:U229))*$J229</f>
        <v>146163.10579199996</v>
      </c>
      <c r="W229" s="1467">
        <f>($I229-SUM($L229:V229))*$J229</f>
        <v>116930.48463359998</v>
      </c>
      <c r="X229" s="1467">
        <f>($I229-SUM($L229:W229))*$J229</f>
        <v>93544.387706879905</v>
      </c>
      <c r="Y229" s="1467">
        <f>($I229-SUM($L229:X229))*$J229</f>
        <v>74835.510165503991</v>
      </c>
      <c r="Z229" s="1467">
        <f>($I229-SUM($L229:Y229))*$J229</f>
        <v>59868.408132403158</v>
      </c>
      <c r="AA229" s="1467">
        <f>($I229-SUM($L229:Z229))*$J229</f>
        <v>47894.726505922532</v>
      </c>
      <c r="AB229" s="1467">
        <f>($I229-SUM($L229:AA229))*$J229</f>
        <v>38315.781204738094</v>
      </c>
      <c r="AC229" s="1467">
        <f>($I229-SUM($L229:AB229))*$J229</f>
        <v>30652.624963790553</v>
      </c>
      <c r="AD229" s="1467">
        <f>($I229-SUM($L229:AC229))*$J229</f>
        <v>24522.099971032516</v>
      </c>
      <c r="AE229" s="1467">
        <f>($I229-SUM($L229:AD229))*$J229</f>
        <v>19617.679976825977</v>
      </c>
      <c r="AF229" s="1467">
        <f>($I229-SUM($L229:AE229))*$J229</f>
        <v>15694.143981460855</v>
      </c>
      <c r="AG229" s="1467">
        <f>($I229-SUM($L229:AF229))*$J229</f>
        <v>12555.315185168758</v>
      </c>
      <c r="AH229" s="1467">
        <f>($I229-SUM($L229:AG229))*$J229</f>
        <v>10044.252148135007</v>
      </c>
      <c r="AI229" s="1467">
        <f>($I229-SUM($L229:AH229))*$J229</f>
        <v>8035.4017185080802</v>
      </c>
      <c r="AJ229" s="1467">
        <f>($I229-SUM($L229:AI229))*$J229</f>
        <v>6428.3213748063899</v>
      </c>
      <c r="AK229" s="1467">
        <f>($I229-SUM($L229:AJ229))*$J229</f>
        <v>5142.6570998450743</v>
      </c>
      <c r="AL229" s="1467">
        <f>($I229-SUM($L229:AK229))*$J229</f>
        <v>4114.1256798760969</v>
      </c>
      <c r="AM229" s="1467">
        <f>($I229-SUM($L229:AL229))*$J229</f>
        <v>3291.3005439009521</v>
      </c>
      <c r="AN229" s="1467">
        <f>($I229-SUM($L229:AM229))*$J229</f>
        <v>2633.0404351208363</v>
      </c>
      <c r="AO229" s="1467">
        <f>($I229-SUM($L229:AN229))*$J229</f>
        <v>2106.4323480967432</v>
      </c>
      <c r="AP229" s="1468">
        <f t="shared" si="986"/>
        <v>6797824.270607614</v>
      </c>
      <c r="AQ229" s="1482"/>
      <c r="AR229" s="1467">
        <f t="shared" si="987"/>
        <v>5445000.0000000009</v>
      </c>
      <c r="AS229" s="1467">
        <f t="shared" si="988"/>
        <v>4356000.0000000009</v>
      </c>
      <c r="AT229" s="1467">
        <f t="shared" si="953"/>
        <v>3484800.0000000009</v>
      </c>
      <c r="AU229" s="1467">
        <f t="shared" si="954"/>
        <v>2787840.0000000009</v>
      </c>
      <c r="AV229" s="1467">
        <f t="shared" si="955"/>
        <v>2230272.0000000009</v>
      </c>
      <c r="AW229" s="1467">
        <f t="shared" si="956"/>
        <v>1784217.600000001</v>
      </c>
      <c r="AX229" s="1467">
        <f t="shared" si="957"/>
        <v>1427374.080000001</v>
      </c>
      <c r="AY229" s="1467">
        <f t="shared" si="958"/>
        <v>1141899.2640000009</v>
      </c>
      <c r="AZ229" s="1467">
        <f t="shared" si="959"/>
        <v>913519.41120000079</v>
      </c>
      <c r="BA229" s="1467">
        <f t="shared" si="960"/>
        <v>730815.52896000072</v>
      </c>
      <c r="BB229" s="1467">
        <f t="shared" si="961"/>
        <v>584652.42316800077</v>
      </c>
      <c r="BC229" s="1467">
        <f t="shared" si="962"/>
        <v>467721.93853440078</v>
      </c>
      <c r="BD229" s="1467">
        <f t="shared" si="963"/>
        <v>374177.5508275209</v>
      </c>
      <c r="BE229" s="1467">
        <f t="shared" si="964"/>
        <v>299342.04066201689</v>
      </c>
      <c r="BF229" s="1467">
        <f t="shared" si="965"/>
        <v>239473.63252961374</v>
      </c>
      <c r="BG229" s="1467">
        <f t="shared" si="966"/>
        <v>191578.9060236912</v>
      </c>
      <c r="BH229" s="1467">
        <f t="shared" si="967"/>
        <v>153263.1248189531</v>
      </c>
      <c r="BI229" s="1467">
        <f t="shared" si="968"/>
        <v>122610.49985516255</v>
      </c>
      <c r="BJ229" s="1467">
        <f t="shared" si="969"/>
        <v>98088.399884130034</v>
      </c>
      <c r="BK229" s="1467">
        <f t="shared" si="970"/>
        <v>78470.719907304054</v>
      </c>
      <c r="BL229" s="1467">
        <f t="shared" si="971"/>
        <v>62776.575925843201</v>
      </c>
      <c r="BM229" s="1467">
        <f t="shared" si="972"/>
        <v>50221.260740674443</v>
      </c>
      <c r="BN229" s="1467">
        <f t="shared" si="973"/>
        <v>40177.008592539438</v>
      </c>
      <c r="BO229" s="1467">
        <f t="shared" si="974"/>
        <v>32141.606874031357</v>
      </c>
      <c r="BP229" s="1467">
        <f t="shared" si="975"/>
        <v>25713.285499224967</v>
      </c>
      <c r="BQ229" s="1467">
        <f t="shared" si="976"/>
        <v>20570.628399379893</v>
      </c>
      <c r="BR229" s="1467">
        <f t="shared" si="977"/>
        <v>16456.502719503798</v>
      </c>
      <c r="BS229" s="1467">
        <f t="shared" si="978"/>
        <v>13165.202175602846</v>
      </c>
      <c r="BT229" s="1467">
        <f t="shared" si="979"/>
        <v>10532.16174048201</v>
      </c>
      <c r="BU229" s="1467">
        <f t="shared" si="980"/>
        <v>8425.7293923852667</v>
      </c>
      <c r="BV229" s="1485"/>
    </row>
    <row r="230" spans="1:74" x14ac:dyDescent="0.2">
      <c r="A230" s="927" t="str">
        <f t="shared" si="981"/>
        <v>Cane trash (Cellulosic).Accelerated</v>
      </c>
      <c r="C230" s="1076" t="str">
        <f t="shared" si="989"/>
        <v>Cane trash (Cellulosic)</v>
      </c>
      <c r="D230" s="1076" t="str">
        <f>Assumptions!$AH$82</f>
        <v>Accelerated</v>
      </c>
      <c r="E230" s="926" t="s">
        <v>995</v>
      </c>
      <c r="F230" s="1467"/>
      <c r="G230" s="1467">
        <f>SUM('Cane trash (Cellulosic)'!$J$285:$K$286)*10^6</f>
        <v>24500000</v>
      </c>
      <c r="H230" s="1467">
        <f t="shared" ref="H230" si="991">G230*(1+$F$5)</f>
        <v>26950000.000000004</v>
      </c>
      <c r="I230" s="1467">
        <f t="shared" ref="I230" si="992">H230*(1+$F$6)</f>
        <v>26950000.000000004</v>
      </c>
      <c r="J230" s="1076">
        <f t="shared" si="990"/>
        <v>0.2</v>
      </c>
      <c r="K230" s="1107"/>
      <c r="L230" s="1467">
        <f t="shared" si="985"/>
        <v>5390000.0000000009</v>
      </c>
      <c r="M230" s="1467">
        <f>($I230-SUM($L230:L230))*$J230</f>
        <v>4312000.0000000009</v>
      </c>
      <c r="N230" s="1467">
        <f>($I230-SUM($L230:M230))*$J230</f>
        <v>3449600</v>
      </c>
      <c r="O230" s="1467">
        <f>($I230-SUM($L230:N230))*$J230</f>
        <v>2759680.0000000005</v>
      </c>
      <c r="P230" s="1467">
        <f>($I230-SUM($L230:O230))*$J230</f>
        <v>2207744.0000000005</v>
      </c>
      <c r="Q230" s="1467">
        <f>($I230-SUM($L230:P230))*$J230</f>
        <v>1766195.2000000002</v>
      </c>
      <c r="R230" s="1467">
        <f>($I230-SUM($L230:Q230))*$J230</f>
        <v>1412956.1600000001</v>
      </c>
      <c r="S230" s="1467">
        <f>($I230-SUM($L230:R230))*$J230</f>
        <v>1130364.9280000001</v>
      </c>
      <c r="T230" s="1467">
        <f>($I230-SUM($L230:S230))*$J230</f>
        <v>904291.94240000029</v>
      </c>
      <c r="U230" s="1467">
        <f>($I230-SUM($L230:T230))*$J230</f>
        <v>723433.55392000009</v>
      </c>
      <c r="V230" s="1467">
        <f>($I230-SUM($L230:U230))*$J230</f>
        <v>578746.84313599986</v>
      </c>
      <c r="W230" s="1467">
        <f>($I230-SUM($L230:V230))*$J230</f>
        <v>462997.47450879961</v>
      </c>
      <c r="X230" s="1467">
        <f>($I230-SUM($L230:W230))*$J230</f>
        <v>370397.97960703971</v>
      </c>
      <c r="Y230" s="1467">
        <f>($I230-SUM($L230:X230))*$J230</f>
        <v>296318.38368563208</v>
      </c>
      <c r="Z230" s="1467">
        <f>($I230-SUM($L230:Y230))*$J230</f>
        <v>237054.70694850537</v>
      </c>
      <c r="AA230" s="1467">
        <f>($I230-SUM($L230:Z230))*$J230</f>
        <v>189643.76555880459</v>
      </c>
      <c r="AB230" s="1467">
        <f>($I230-SUM($L230:AA230))*$J230</f>
        <v>151715.01244704353</v>
      </c>
      <c r="AC230" s="1467">
        <f>($I230-SUM($L230:AB230))*$J230</f>
        <v>121372.00995763467</v>
      </c>
      <c r="AD230" s="1467">
        <f>($I230-SUM($L230:AC230))*$J230</f>
        <v>97097.607966107884</v>
      </c>
      <c r="AE230" s="1467">
        <f>($I230-SUM($L230:AD230))*$J230</f>
        <v>77678.086372886595</v>
      </c>
      <c r="AF230" s="1467">
        <f>($I230-SUM($L230:AE230))*$J230</f>
        <v>62142.469098309433</v>
      </c>
      <c r="AG230" s="1467">
        <f>($I230-SUM($L230:AF230))*$J230</f>
        <v>49713.975278647245</v>
      </c>
      <c r="AH230" s="1467">
        <f>($I230-SUM($L230:AG230))*$J230</f>
        <v>39771.180222918098</v>
      </c>
      <c r="AI230" s="1467">
        <f>($I230-SUM($L230:AH230))*$J230</f>
        <v>31816.944178334626</v>
      </c>
      <c r="AJ230" s="1467">
        <f>($I230-SUM($L230:AI230))*$J230</f>
        <v>25453.555342667551</v>
      </c>
      <c r="AK230" s="1467">
        <f>($I230-SUM($L230:AJ230))*$J230</f>
        <v>20362.84427413419</v>
      </c>
      <c r="AL230" s="1467">
        <f>($I230-SUM($L230:AK230))*$J230</f>
        <v>16290.275419307502</v>
      </c>
      <c r="AM230" s="1467">
        <f>($I230-SUM($L230:AL230))*$J230</f>
        <v>13032.220335446298</v>
      </c>
      <c r="AN230" s="1467">
        <f>($I230-SUM($L230:AM230))*$J230</f>
        <v>10425.77626835704</v>
      </c>
      <c r="AO230" s="1467">
        <f>($I230-SUM($L230:AN230))*$J230</f>
        <v>8340.6210146859285</v>
      </c>
      <c r="AP230" s="1468">
        <f t="shared" ref="AP230" si="993">SUM(L230:AO230)</f>
        <v>26916637.515941259</v>
      </c>
      <c r="AQ230" s="1482"/>
      <c r="AR230" s="1467">
        <f t="shared" ref="AR230" si="994">I230-L230</f>
        <v>21560000.000000004</v>
      </c>
      <c r="AS230" s="1467">
        <f t="shared" ref="AS230" si="995">AR230-M230</f>
        <v>17248000.000000004</v>
      </c>
      <c r="AT230" s="1467">
        <f t="shared" ref="AT230" si="996">AS230-N230</f>
        <v>13798400.000000004</v>
      </c>
      <c r="AU230" s="1467">
        <f t="shared" ref="AU230" si="997">AT230-O230</f>
        <v>11038720.000000004</v>
      </c>
      <c r="AV230" s="1467">
        <f t="shared" ref="AV230" si="998">AU230-P230</f>
        <v>8830976.0000000037</v>
      </c>
      <c r="AW230" s="1467">
        <f t="shared" ref="AW230" si="999">AV230-Q230</f>
        <v>7064780.8000000035</v>
      </c>
      <c r="AX230" s="1467">
        <f t="shared" ref="AX230" si="1000">AW230-R230</f>
        <v>5651824.6400000034</v>
      </c>
      <c r="AY230" s="1467">
        <f t="shared" ref="AY230" si="1001">AX230-S230</f>
        <v>4521459.7120000031</v>
      </c>
      <c r="AZ230" s="1467">
        <f t="shared" ref="AZ230" si="1002">AY230-T230</f>
        <v>3617167.769600003</v>
      </c>
      <c r="BA230" s="1467">
        <f t="shared" ref="BA230" si="1003">AZ230-U230</f>
        <v>2893734.2156800032</v>
      </c>
      <c r="BB230" s="1467">
        <f t="shared" ref="BB230" si="1004">BA230-V230</f>
        <v>2314987.3725440032</v>
      </c>
      <c r="BC230" s="1467">
        <f t="shared" ref="BC230" si="1005">BB230-W230</f>
        <v>1851989.8980352036</v>
      </c>
      <c r="BD230" s="1467">
        <f t="shared" ref="BD230" si="1006">BC230-X230</f>
        <v>1481591.918428164</v>
      </c>
      <c r="BE230" s="1467">
        <f t="shared" ref="BE230" si="1007">BD230-Y230</f>
        <v>1185273.5347425318</v>
      </c>
      <c r="BF230" s="1467">
        <f t="shared" ref="BF230" si="1008">BE230-Z230</f>
        <v>948218.82779402647</v>
      </c>
      <c r="BG230" s="1467">
        <f t="shared" ref="BG230" si="1009">BF230-AA230</f>
        <v>758575.06223522185</v>
      </c>
      <c r="BH230" s="1467">
        <f t="shared" ref="BH230" si="1010">BG230-AB230</f>
        <v>606860.04978817829</v>
      </c>
      <c r="BI230" s="1467">
        <f t="shared" ref="BI230" si="1011">BH230-AC230</f>
        <v>485488.03983054362</v>
      </c>
      <c r="BJ230" s="1467">
        <f t="shared" ref="BJ230" si="1012">BI230-AD230</f>
        <v>388390.43186443573</v>
      </c>
      <c r="BK230" s="1467">
        <f t="shared" ref="BK230" si="1013">BJ230-AE230</f>
        <v>310712.34549154912</v>
      </c>
      <c r="BL230" s="1467">
        <f t="shared" ref="BL230" si="1014">BK230-AF230</f>
        <v>248569.87639323968</v>
      </c>
      <c r="BM230" s="1467">
        <f t="shared" ref="BM230" si="1015">BL230-AG230</f>
        <v>198855.90111459245</v>
      </c>
      <c r="BN230" s="1467">
        <f t="shared" ref="BN230" si="1016">BM230-AH230</f>
        <v>159084.72089167434</v>
      </c>
      <c r="BO230" s="1467">
        <f t="shared" ref="BO230" si="1017">BN230-AI230</f>
        <v>127267.77671333971</v>
      </c>
      <c r="BP230" s="1467">
        <f t="shared" ref="BP230" si="1018">BO230-AJ230</f>
        <v>101814.22137067217</v>
      </c>
      <c r="BQ230" s="1467">
        <f t="shared" ref="BQ230" si="1019">BP230-AK230</f>
        <v>81451.377096537981</v>
      </c>
      <c r="BR230" s="1467">
        <f t="shared" ref="BR230" si="1020">BQ230-AL230</f>
        <v>65161.101677230479</v>
      </c>
      <c r="BS230" s="1467">
        <f t="shared" ref="BS230" si="1021">BR230-AM230</f>
        <v>52128.881341784181</v>
      </c>
      <c r="BT230" s="1467">
        <f t="shared" ref="BT230" si="1022">BS230-AN230</f>
        <v>41703.105073427141</v>
      </c>
      <c r="BU230" s="1467">
        <f t="shared" ref="BU230" si="1023">BT230-AO230</f>
        <v>33362.484058741211</v>
      </c>
      <c r="BV230" s="1485"/>
    </row>
    <row r="231" spans="1:74" x14ac:dyDescent="0.2">
      <c r="A231" s="927" t="str">
        <f t="shared" si="981"/>
        <v>.</v>
      </c>
      <c r="B231" s="1297" t="str">
        <f>Assumptions!$AH$81</f>
        <v>Straight-Line</v>
      </c>
      <c r="C231" s="1107"/>
      <c r="D231" s="1107"/>
      <c r="E231" s="1107"/>
      <c r="F231" s="1107"/>
      <c r="G231" s="1107">
        <f t="shared" si="982"/>
        <v>0</v>
      </c>
      <c r="H231" s="1107">
        <f t="shared" si="983"/>
        <v>0</v>
      </c>
      <c r="I231" s="1107">
        <f t="shared" si="984"/>
        <v>0</v>
      </c>
      <c r="J231" s="1472">
        <f>IFERROR(INDEX(Assumptions!$AI$82:$AI$164,MATCH(Depreciation!$D231,Assumptions!$AH$81:$AH$163,0)),0)</f>
        <v>0</v>
      </c>
      <c r="K231" s="1107"/>
      <c r="L231" s="1107">
        <f t="shared" si="985"/>
        <v>0</v>
      </c>
      <c r="M231" s="1107">
        <f t="shared" ref="M231" si="1024">L231*$J231</f>
        <v>0</v>
      </c>
      <c r="N231" s="1107"/>
      <c r="O231" s="1107"/>
      <c r="P231" s="1107"/>
      <c r="Q231" s="1107"/>
      <c r="R231" s="1107"/>
      <c r="S231" s="1107"/>
      <c r="T231" s="1107"/>
      <c r="U231" s="1107"/>
      <c r="V231" s="1107"/>
      <c r="W231" s="1107"/>
      <c r="X231" s="1107"/>
      <c r="Y231" s="1107"/>
      <c r="Z231" s="1107"/>
      <c r="AA231" s="1107"/>
      <c r="AB231" s="1107"/>
      <c r="AC231" s="1107"/>
      <c r="AD231" s="1107"/>
      <c r="AE231" s="1107"/>
      <c r="AF231" s="1107"/>
      <c r="AG231" s="1107"/>
      <c r="AH231" s="1107"/>
      <c r="AI231" s="1107"/>
      <c r="AJ231" s="1107"/>
      <c r="AK231" s="1107"/>
      <c r="AL231" s="1107"/>
      <c r="AM231" s="1107"/>
      <c r="AN231" s="1107"/>
      <c r="AO231" s="1107"/>
      <c r="AP231" s="1107">
        <f t="shared" si="986"/>
        <v>0</v>
      </c>
      <c r="AQ231" s="1482"/>
      <c r="AR231" s="1297">
        <f t="shared" si="987"/>
        <v>0</v>
      </c>
      <c r="AS231" s="1297">
        <f t="shared" si="988"/>
        <v>0</v>
      </c>
      <c r="AT231" s="1297">
        <f t="shared" si="953"/>
        <v>0</v>
      </c>
      <c r="AU231" s="1297">
        <f t="shared" si="954"/>
        <v>0</v>
      </c>
      <c r="AV231" s="1297">
        <f t="shared" si="955"/>
        <v>0</v>
      </c>
      <c r="AW231" s="1297">
        <f t="shared" si="956"/>
        <v>0</v>
      </c>
      <c r="AX231" s="1297">
        <f t="shared" si="957"/>
        <v>0</v>
      </c>
      <c r="AY231" s="1297">
        <f t="shared" si="958"/>
        <v>0</v>
      </c>
      <c r="AZ231" s="1297">
        <f t="shared" si="959"/>
        <v>0</v>
      </c>
      <c r="BA231" s="1297">
        <f t="shared" si="960"/>
        <v>0</v>
      </c>
      <c r="BB231" s="1297">
        <f t="shared" si="961"/>
        <v>0</v>
      </c>
      <c r="BC231" s="1297">
        <f t="shared" si="962"/>
        <v>0</v>
      </c>
      <c r="BD231" s="1297">
        <f t="shared" si="963"/>
        <v>0</v>
      </c>
      <c r="BE231" s="1297">
        <f t="shared" si="964"/>
        <v>0</v>
      </c>
      <c r="BF231" s="1297">
        <f t="shared" si="965"/>
        <v>0</v>
      </c>
      <c r="BG231" s="1297">
        <f t="shared" si="966"/>
        <v>0</v>
      </c>
      <c r="BH231" s="1297">
        <f t="shared" si="967"/>
        <v>0</v>
      </c>
      <c r="BI231" s="1297">
        <f t="shared" si="968"/>
        <v>0</v>
      </c>
      <c r="BJ231" s="1297">
        <f t="shared" si="969"/>
        <v>0</v>
      </c>
      <c r="BK231" s="1297">
        <f t="shared" si="970"/>
        <v>0</v>
      </c>
      <c r="BL231" s="1297">
        <f t="shared" si="971"/>
        <v>0</v>
      </c>
      <c r="BM231" s="1297">
        <f t="shared" si="972"/>
        <v>0</v>
      </c>
      <c r="BN231" s="1297">
        <f t="shared" si="973"/>
        <v>0</v>
      </c>
      <c r="BO231" s="1297">
        <f t="shared" si="974"/>
        <v>0</v>
      </c>
      <c r="BP231" s="1297">
        <f t="shared" si="975"/>
        <v>0</v>
      </c>
      <c r="BQ231" s="1297">
        <f t="shared" si="976"/>
        <v>0</v>
      </c>
      <c r="BR231" s="1297">
        <f t="shared" si="977"/>
        <v>0</v>
      </c>
      <c r="BS231" s="1297">
        <f t="shared" si="978"/>
        <v>0</v>
      </c>
      <c r="BT231" s="1297">
        <f t="shared" si="979"/>
        <v>0</v>
      </c>
      <c r="BU231" s="1297">
        <f t="shared" si="980"/>
        <v>0</v>
      </c>
      <c r="BV231" s="1485"/>
    </row>
    <row r="232" spans="1:74" x14ac:dyDescent="0.2">
      <c r="A232" s="927" t="str">
        <f t="shared" si="981"/>
        <v>Cane trash (Cellulosic).Straight-Line</v>
      </c>
      <c r="B232" s="1076"/>
      <c r="C232" s="1076" t="str">
        <f t="shared" ref="C232:C241" si="1025">C221</f>
        <v>Cane trash (Cellulosic)</v>
      </c>
      <c r="D232" s="1076" t="str">
        <f>Assumptions!$AH$81</f>
        <v>Straight-Line</v>
      </c>
      <c r="E232" s="1076" t="str">
        <f t="shared" ref="E232:F232" si="1026">E221</f>
        <v>Cane trash stockpile</v>
      </c>
      <c r="F232" s="1467">
        <f t="shared" si="1026"/>
        <v>18500000</v>
      </c>
      <c r="G232" s="1467">
        <f t="shared" si="982"/>
        <v>22893750</v>
      </c>
      <c r="H232" s="1467">
        <f t="shared" si="983"/>
        <v>25183125.000000004</v>
      </c>
      <c r="I232" s="1467">
        <f t="shared" si="984"/>
        <v>25183125.000000004</v>
      </c>
      <c r="J232" s="1161">
        <f>Assumptions!$N$53</f>
        <v>3.3333333333333333E-2</v>
      </c>
      <c r="K232" s="1107"/>
      <c r="L232" s="1467">
        <f t="shared" si="985"/>
        <v>839437.50000000012</v>
      </c>
      <c r="M232" s="1467">
        <f t="shared" si="985"/>
        <v>839437.50000000012</v>
      </c>
      <c r="N232" s="1467">
        <f t="shared" si="985"/>
        <v>839437.50000000012</v>
      </c>
      <c r="O232" s="1467">
        <f t="shared" si="985"/>
        <v>839437.50000000012</v>
      </c>
      <c r="P232" s="1467">
        <f t="shared" si="985"/>
        <v>839437.50000000012</v>
      </c>
      <c r="Q232" s="1467">
        <f t="shared" si="985"/>
        <v>839437.50000000012</v>
      </c>
      <c r="R232" s="1467">
        <f t="shared" si="985"/>
        <v>839437.50000000012</v>
      </c>
      <c r="S232" s="1467">
        <f t="shared" si="985"/>
        <v>839437.50000000012</v>
      </c>
      <c r="T232" s="1467">
        <f t="shared" si="985"/>
        <v>839437.50000000012</v>
      </c>
      <c r="U232" s="1467">
        <f t="shared" si="985"/>
        <v>839437.50000000012</v>
      </c>
      <c r="V232" s="1467">
        <f t="shared" si="985"/>
        <v>839437.50000000012</v>
      </c>
      <c r="W232" s="1467">
        <f t="shared" si="985"/>
        <v>839437.50000000012</v>
      </c>
      <c r="X232" s="1467">
        <f t="shared" si="985"/>
        <v>839437.50000000012</v>
      </c>
      <c r="Y232" s="1467">
        <f t="shared" si="985"/>
        <v>839437.50000000012</v>
      </c>
      <c r="Z232" s="1467">
        <f t="shared" si="985"/>
        <v>839437.50000000012</v>
      </c>
      <c r="AA232" s="1467">
        <f t="shared" si="985"/>
        <v>839437.50000000012</v>
      </c>
      <c r="AB232" s="1467">
        <f t="shared" ref="AB232:AO241" si="1027">$I232*$J232</f>
        <v>839437.50000000012</v>
      </c>
      <c r="AC232" s="1467">
        <f t="shared" si="1027"/>
        <v>839437.50000000012</v>
      </c>
      <c r="AD232" s="1467">
        <f t="shared" si="1027"/>
        <v>839437.50000000012</v>
      </c>
      <c r="AE232" s="1467">
        <f t="shared" si="1027"/>
        <v>839437.50000000012</v>
      </c>
      <c r="AF232" s="1467">
        <f t="shared" si="1027"/>
        <v>839437.50000000012</v>
      </c>
      <c r="AG232" s="1467">
        <f t="shared" si="1027"/>
        <v>839437.50000000012</v>
      </c>
      <c r="AH232" s="1467">
        <f t="shared" si="1027"/>
        <v>839437.50000000012</v>
      </c>
      <c r="AI232" s="1467">
        <f t="shared" si="1027"/>
        <v>839437.50000000012</v>
      </c>
      <c r="AJ232" s="1467">
        <f t="shared" si="1027"/>
        <v>839437.50000000012</v>
      </c>
      <c r="AK232" s="1467">
        <f t="shared" si="1027"/>
        <v>839437.50000000012</v>
      </c>
      <c r="AL232" s="1467">
        <f t="shared" si="1027"/>
        <v>839437.50000000012</v>
      </c>
      <c r="AM232" s="1467">
        <f t="shared" si="1027"/>
        <v>839437.50000000012</v>
      </c>
      <c r="AN232" s="1467">
        <f t="shared" si="1027"/>
        <v>839437.50000000012</v>
      </c>
      <c r="AO232" s="1467">
        <f t="shared" si="1027"/>
        <v>839437.50000000012</v>
      </c>
      <c r="AP232" s="1468">
        <f t="shared" si="986"/>
        <v>25183125.000000004</v>
      </c>
      <c r="AQ232" s="1482"/>
      <c r="AR232" s="1467">
        <f t="shared" si="987"/>
        <v>24343687.500000004</v>
      </c>
      <c r="AS232" s="1467">
        <f t="shared" si="988"/>
        <v>23504250.000000004</v>
      </c>
      <c r="AT232" s="1467">
        <f t="shared" si="953"/>
        <v>22664812.500000004</v>
      </c>
      <c r="AU232" s="1467">
        <f t="shared" si="954"/>
        <v>21825375.000000004</v>
      </c>
      <c r="AV232" s="1467">
        <f t="shared" si="955"/>
        <v>20985937.500000004</v>
      </c>
      <c r="AW232" s="1467">
        <f t="shared" si="956"/>
        <v>20146500.000000004</v>
      </c>
      <c r="AX232" s="1467">
        <f t="shared" si="957"/>
        <v>19307062.500000004</v>
      </c>
      <c r="AY232" s="1467">
        <f t="shared" si="958"/>
        <v>18467625.000000004</v>
      </c>
      <c r="AZ232" s="1467">
        <f t="shared" si="959"/>
        <v>17628187.500000004</v>
      </c>
      <c r="BA232" s="1467">
        <f t="shared" si="960"/>
        <v>16788750.000000004</v>
      </c>
      <c r="BB232" s="1467">
        <f t="shared" si="961"/>
        <v>15949312.500000004</v>
      </c>
      <c r="BC232" s="1467">
        <f t="shared" si="962"/>
        <v>15109875.000000004</v>
      </c>
      <c r="BD232" s="1467">
        <f t="shared" si="963"/>
        <v>14270437.500000004</v>
      </c>
      <c r="BE232" s="1467">
        <f t="shared" si="964"/>
        <v>13431000.000000004</v>
      </c>
      <c r="BF232" s="1467">
        <f t="shared" si="965"/>
        <v>12591562.500000004</v>
      </c>
      <c r="BG232" s="1467">
        <f t="shared" si="966"/>
        <v>11752125.000000004</v>
      </c>
      <c r="BH232" s="1467">
        <f t="shared" si="967"/>
        <v>10912687.500000004</v>
      </c>
      <c r="BI232" s="1467">
        <f t="shared" si="968"/>
        <v>10073250.000000004</v>
      </c>
      <c r="BJ232" s="1467">
        <f t="shared" si="969"/>
        <v>9233812.5000000037</v>
      </c>
      <c r="BK232" s="1467">
        <f t="shared" si="970"/>
        <v>8394375.0000000037</v>
      </c>
      <c r="BL232" s="1467">
        <f t="shared" si="971"/>
        <v>7554937.5000000037</v>
      </c>
      <c r="BM232" s="1467">
        <f t="shared" si="972"/>
        <v>6715500.0000000037</v>
      </c>
      <c r="BN232" s="1467">
        <f t="shared" si="973"/>
        <v>5876062.5000000037</v>
      </c>
      <c r="BO232" s="1467">
        <f t="shared" si="974"/>
        <v>5036625.0000000037</v>
      </c>
      <c r="BP232" s="1467">
        <f t="shared" si="975"/>
        <v>4197187.5000000037</v>
      </c>
      <c r="BQ232" s="1467">
        <f t="shared" si="976"/>
        <v>3357750.0000000037</v>
      </c>
      <c r="BR232" s="1467">
        <f t="shared" si="977"/>
        <v>2518312.5000000037</v>
      </c>
      <c r="BS232" s="1467">
        <f t="shared" si="978"/>
        <v>1678875.0000000037</v>
      </c>
      <c r="BT232" s="1467">
        <f t="shared" si="979"/>
        <v>839437.50000000361</v>
      </c>
      <c r="BU232" s="1467">
        <f t="shared" si="980"/>
        <v>3.4924596548080444E-9</v>
      </c>
      <c r="BV232" s="1485"/>
    </row>
    <row r="233" spans="1:74" x14ac:dyDescent="0.2">
      <c r="A233" s="927" t="str">
        <f t="shared" si="981"/>
        <v>Cane trash (Cellulosic).Straight-Line</v>
      </c>
      <c r="B233" s="1076"/>
      <c r="C233" s="1076" t="str">
        <f t="shared" si="1025"/>
        <v>Cane trash (Cellulosic)</v>
      </c>
      <c r="D233" s="1076" t="str">
        <f>Assumptions!$AH$81</f>
        <v>Straight-Line</v>
      </c>
      <c r="E233" s="1076" t="str">
        <f t="shared" ref="E233:F233" si="1028">E222</f>
        <v>Pretreatment</v>
      </c>
      <c r="F233" s="1467">
        <f t="shared" si="1028"/>
        <v>25000000</v>
      </c>
      <c r="G233" s="1467">
        <f t="shared" si="982"/>
        <v>30937500</v>
      </c>
      <c r="H233" s="1467">
        <f t="shared" si="983"/>
        <v>34031250</v>
      </c>
      <c r="I233" s="1467">
        <f t="shared" si="984"/>
        <v>34031250</v>
      </c>
      <c r="J233" s="1161">
        <f>J232</f>
        <v>3.3333333333333333E-2</v>
      </c>
      <c r="K233" s="1107"/>
      <c r="L233" s="1467">
        <f t="shared" si="985"/>
        <v>1134375</v>
      </c>
      <c r="M233" s="1467">
        <f t="shared" si="985"/>
        <v>1134375</v>
      </c>
      <c r="N233" s="1467">
        <f t="shared" si="985"/>
        <v>1134375</v>
      </c>
      <c r="O233" s="1467">
        <f t="shared" si="985"/>
        <v>1134375</v>
      </c>
      <c r="P233" s="1467">
        <f t="shared" si="985"/>
        <v>1134375</v>
      </c>
      <c r="Q233" s="1467">
        <f t="shared" si="985"/>
        <v>1134375</v>
      </c>
      <c r="R233" s="1467">
        <f t="shared" si="985"/>
        <v>1134375</v>
      </c>
      <c r="S233" s="1467">
        <f t="shared" si="985"/>
        <v>1134375</v>
      </c>
      <c r="T233" s="1467">
        <f t="shared" si="985"/>
        <v>1134375</v>
      </c>
      <c r="U233" s="1467">
        <f t="shared" si="985"/>
        <v>1134375</v>
      </c>
      <c r="V233" s="1467">
        <f t="shared" si="985"/>
        <v>1134375</v>
      </c>
      <c r="W233" s="1467">
        <f t="shared" si="985"/>
        <v>1134375</v>
      </c>
      <c r="X233" s="1467">
        <f t="shared" si="985"/>
        <v>1134375</v>
      </c>
      <c r="Y233" s="1467">
        <f t="shared" si="985"/>
        <v>1134375</v>
      </c>
      <c r="Z233" s="1467">
        <f t="shared" si="985"/>
        <v>1134375</v>
      </c>
      <c r="AA233" s="1467">
        <f t="shared" si="985"/>
        <v>1134375</v>
      </c>
      <c r="AB233" s="1467">
        <f t="shared" si="1027"/>
        <v>1134375</v>
      </c>
      <c r="AC233" s="1467">
        <f t="shared" si="1027"/>
        <v>1134375</v>
      </c>
      <c r="AD233" s="1467">
        <f t="shared" si="1027"/>
        <v>1134375</v>
      </c>
      <c r="AE233" s="1467">
        <f t="shared" si="1027"/>
        <v>1134375</v>
      </c>
      <c r="AF233" s="1467">
        <f t="shared" si="1027"/>
        <v>1134375</v>
      </c>
      <c r="AG233" s="1467">
        <f t="shared" si="1027"/>
        <v>1134375</v>
      </c>
      <c r="AH233" s="1467">
        <f t="shared" si="1027"/>
        <v>1134375</v>
      </c>
      <c r="AI233" s="1467">
        <f t="shared" si="1027"/>
        <v>1134375</v>
      </c>
      <c r="AJ233" s="1467">
        <f t="shared" si="1027"/>
        <v>1134375</v>
      </c>
      <c r="AK233" s="1467">
        <f t="shared" si="1027"/>
        <v>1134375</v>
      </c>
      <c r="AL233" s="1467">
        <f t="shared" si="1027"/>
        <v>1134375</v>
      </c>
      <c r="AM233" s="1467">
        <f t="shared" si="1027"/>
        <v>1134375</v>
      </c>
      <c r="AN233" s="1467">
        <f t="shared" si="1027"/>
        <v>1134375</v>
      </c>
      <c r="AO233" s="1467">
        <f t="shared" si="1027"/>
        <v>1134375</v>
      </c>
      <c r="AP233" s="1468">
        <f t="shared" si="986"/>
        <v>34031250</v>
      </c>
      <c r="AQ233" s="1482"/>
      <c r="AR233" s="1467">
        <f t="shared" si="987"/>
        <v>32896875</v>
      </c>
      <c r="AS233" s="1467">
        <f t="shared" si="988"/>
        <v>31762500</v>
      </c>
      <c r="AT233" s="1467">
        <f t="shared" si="953"/>
        <v>30628125</v>
      </c>
      <c r="AU233" s="1467">
        <f t="shared" si="954"/>
        <v>29493750</v>
      </c>
      <c r="AV233" s="1467">
        <f t="shared" si="955"/>
        <v>28359375</v>
      </c>
      <c r="AW233" s="1467">
        <f t="shared" si="956"/>
        <v>27225000</v>
      </c>
      <c r="AX233" s="1467">
        <f t="shared" si="957"/>
        <v>26090625</v>
      </c>
      <c r="AY233" s="1467">
        <f t="shared" si="958"/>
        <v>24956250</v>
      </c>
      <c r="AZ233" s="1467">
        <f t="shared" si="959"/>
        <v>23821875</v>
      </c>
      <c r="BA233" s="1467">
        <f t="shared" si="960"/>
        <v>22687500</v>
      </c>
      <c r="BB233" s="1467">
        <f t="shared" si="961"/>
        <v>21553125</v>
      </c>
      <c r="BC233" s="1467">
        <f t="shared" si="962"/>
        <v>20418750</v>
      </c>
      <c r="BD233" s="1467">
        <f t="shared" si="963"/>
        <v>19284375</v>
      </c>
      <c r="BE233" s="1467">
        <f t="shared" si="964"/>
        <v>18150000</v>
      </c>
      <c r="BF233" s="1467">
        <f t="shared" si="965"/>
        <v>17015625</v>
      </c>
      <c r="BG233" s="1467">
        <f t="shared" si="966"/>
        <v>15881250</v>
      </c>
      <c r="BH233" s="1467">
        <f t="shared" si="967"/>
        <v>14746875</v>
      </c>
      <c r="BI233" s="1467">
        <f t="shared" si="968"/>
        <v>13612500</v>
      </c>
      <c r="BJ233" s="1467">
        <f t="shared" si="969"/>
        <v>12478125</v>
      </c>
      <c r="BK233" s="1467">
        <f t="shared" si="970"/>
        <v>11343750</v>
      </c>
      <c r="BL233" s="1467">
        <f t="shared" si="971"/>
        <v>10209375</v>
      </c>
      <c r="BM233" s="1467">
        <f t="shared" si="972"/>
        <v>9075000</v>
      </c>
      <c r="BN233" s="1467">
        <f t="shared" si="973"/>
        <v>7940625</v>
      </c>
      <c r="BO233" s="1467">
        <f t="shared" si="974"/>
        <v>6806250</v>
      </c>
      <c r="BP233" s="1467">
        <f t="shared" si="975"/>
        <v>5671875</v>
      </c>
      <c r="BQ233" s="1467">
        <f t="shared" si="976"/>
        <v>4537500</v>
      </c>
      <c r="BR233" s="1467">
        <f t="shared" si="977"/>
        <v>3403125</v>
      </c>
      <c r="BS233" s="1467">
        <f t="shared" si="978"/>
        <v>2268750</v>
      </c>
      <c r="BT233" s="1467">
        <f t="shared" si="979"/>
        <v>1134375</v>
      </c>
      <c r="BU233" s="1467">
        <f t="shared" si="980"/>
        <v>0</v>
      </c>
      <c r="BV233" s="1485"/>
    </row>
    <row r="234" spans="1:74" x14ac:dyDescent="0.2">
      <c r="A234" s="927" t="str">
        <f t="shared" si="981"/>
        <v>Cane trash (Cellulosic).Straight-Line</v>
      </c>
      <c r="B234" s="1076"/>
      <c r="C234" s="1076" t="str">
        <f t="shared" si="1025"/>
        <v>Cane trash (Cellulosic)</v>
      </c>
      <c r="D234" s="1076" t="str">
        <f>Assumptions!$AH$81</f>
        <v>Straight-Line</v>
      </c>
      <c r="E234" s="1076" t="str">
        <f t="shared" ref="E234:F234" si="1029">E223</f>
        <v>Enzyme production</v>
      </c>
      <c r="F234" s="1467">
        <f t="shared" si="1029"/>
        <v>25000000</v>
      </c>
      <c r="G234" s="1467">
        <f t="shared" si="982"/>
        <v>30937500</v>
      </c>
      <c r="H234" s="1467">
        <f t="shared" si="983"/>
        <v>34031250</v>
      </c>
      <c r="I234" s="1467">
        <f t="shared" si="984"/>
        <v>34031250</v>
      </c>
      <c r="J234" s="1161">
        <f t="shared" ref="J234:J241" si="1030">J233</f>
        <v>3.3333333333333333E-2</v>
      </c>
      <c r="K234" s="1107"/>
      <c r="L234" s="1467">
        <f t="shared" si="985"/>
        <v>1134375</v>
      </c>
      <c r="M234" s="1467">
        <f t="shared" si="985"/>
        <v>1134375</v>
      </c>
      <c r="N234" s="1467">
        <f t="shared" si="985"/>
        <v>1134375</v>
      </c>
      <c r="O234" s="1467">
        <f t="shared" si="985"/>
        <v>1134375</v>
      </c>
      <c r="P234" s="1467">
        <f t="shared" si="985"/>
        <v>1134375</v>
      </c>
      <c r="Q234" s="1467">
        <f t="shared" si="985"/>
        <v>1134375</v>
      </c>
      <c r="R234" s="1467">
        <f t="shared" si="985"/>
        <v>1134375</v>
      </c>
      <c r="S234" s="1467">
        <f t="shared" si="985"/>
        <v>1134375</v>
      </c>
      <c r="T234" s="1467">
        <f t="shared" si="985"/>
        <v>1134375</v>
      </c>
      <c r="U234" s="1467">
        <f t="shared" si="985"/>
        <v>1134375</v>
      </c>
      <c r="V234" s="1467">
        <f t="shared" si="985"/>
        <v>1134375</v>
      </c>
      <c r="W234" s="1467">
        <f t="shared" si="985"/>
        <v>1134375</v>
      </c>
      <c r="X234" s="1467">
        <f t="shared" si="985"/>
        <v>1134375</v>
      </c>
      <c r="Y234" s="1467">
        <f t="shared" si="985"/>
        <v>1134375</v>
      </c>
      <c r="Z234" s="1467">
        <f t="shared" si="985"/>
        <v>1134375</v>
      </c>
      <c r="AA234" s="1467">
        <f t="shared" si="985"/>
        <v>1134375</v>
      </c>
      <c r="AB234" s="1467">
        <f t="shared" si="1027"/>
        <v>1134375</v>
      </c>
      <c r="AC234" s="1467">
        <f t="shared" si="1027"/>
        <v>1134375</v>
      </c>
      <c r="AD234" s="1467">
        <f t="shared" si="1027"/>
        <v>1134375</v>
      </c>
      <c r="AE234" s="1467">
        <f t="shared" si="1027"/>
        <v>1134375</v>
      </c>
      <c r="AF234" s="1467">
        <f t="shared" si="1027"/>
        <v>1134375</v>
      </c>
      <c r="AG234" s="1467">
        <f t="shared" si="1027"/>
        <v>1134375</v>
      </c>
      <c r="AH234" s="1467">
        <f t="shared" si="1027"/>
        <v>1134375</v>
      </c>
      <c r="AI234" s="1467">
        <f t="shared" si="1027"/>
        <v>1134375</v>
      </c>
      <c r="AJ234" s="1467">
        <f t="shared" si="1027"/>
        <v>1134375</v>
      </c>
      <c r="AK234" s="1467">
        <f t="shared" si="1027"/>
        <v>1134375</v>
      </c>
      <c r="AL234" s="1467">
        <f t="shared" si="1027"/>
        <v>1134375</v>
      </c>
      <c r="AM234" s="1467">
        <f t="shared" si="1027"/>
        <v>1134375</v>
      </c>
      <c r="AN234" s="1467">
        <f t="shared" si="1027"/>
        <v>1134375</v>
      </c>
      <c r="AO234" s="1467">
        <f t="shared" si="1027"/>
        <v>1134375</v>
      </c>
      <c r="AP234" s="1468">
        <f t="shared" si="986"/>
        <v>34031250</v>
      </c>
      <c r="AQ234" s="1482"/>
      <c r="AR234" s="1467">
        <f t="shared" si="987"/>
        <v>32896875</v>
      </c>
      <c r="AS234" s="1467">
        <f t="shared" si="988"/>
        <v>31762500</v>
      </c>
      <c r="AT234" s="1467">
        <f t="shared" si="953"/>
        <v>30628125</v>
      </c>
      <c r="AU234" s="1467">
        <f t="shared" si="954"/>
        <v>29493750</v>
      </c>
      <c r="AV234" s="1467">
        <f t="shared" si="955"/>
        <v>28359375</v>
      </c>
      <c r="AW234" s="1467">
        <f t="shared" si="956"/>
        <v>27225000</v>
      </c>
      <c r="AX234" s="1467">
        <f t="shared" si="957"/>
        <v>26090625</v>
      </c>
      <c r="AY234" s="1467">
        <f t="shared" si="958"/>
        <v>24956250</v>
      </c>
      <c r="AZ234" s="1467">
        <f t="shared" si="959"/>
        <v>23821875</v>
      </c>
      <c r="BA234" s="1467">
        <f t="shared" si="960"/>
        <v>22687500</v>
      </c>
      <c r="BB234" s="1467">
        <f t="shared" si="961"/>
        <v>21553125</v>
      </c>
      <c r="BC234" s="1467">
        <f t="shared" si="962"/>
        <v>20418750</v>
      </c>
      <c r="BD234" s="1467">
        <f t="shared" si="963"/>
        <v>19284375</v>
      </c>
      <c r="BE234" s="1467">
        <f t="shared" si="964"/>
        <v>18150000</v>
      </c>
      <c r="BF234" s="1467">
        <f t="shared" si="965"/>
        <v>17015625</v>
      </c>
      <c r="BG234" s="1467">
        <f t="shared" si="966"/>
        <v>15881250</v>
      </c>
      <c r="BH234" s="1467">
        <f t="shared" si="967"/>
        <v>14746875</v>
      </c>
      <c r="BI234" s="1467">
        <f t="shared" si="968"/>
        <v>13612500</v>
      </c>
      <c r="BJ234" s="1467">
        <f t="shared" si="969"/>
        <v>12478125</v>
      </c>
      <c r="BK234" s="1467">
        <f t="shared" si="970"/>
        <v>11343750</v>
      </c>
      <c r="BL234" s="1467">
        <f t="shared" si="971"/>
        <v>10209375</v>
      </c>
      <c r="BM234" s="1467">
        <f t="shared" si="972"/>
        <v>9075000</v>
      </c>
      <c r="BN234" s="1467">
        <f t="shared" si="973"/>
        <v>7940625</v>
      </c>
      <c r="BO234" s="1467">
        <f t="shared" si="974"/>
        <v>6806250</v>
      </c>
      <c r="BP234" s="1467">
        <f t="shared" si="975"/>
        <v>5671875</v>
      </c>
      <c r="BQ234" s="1467">
        <f t="shared" si="976"/>
        <v>4537500</v>
      </c>
      <c r="BR234" s="1467">
        <f t="shared" si="977"/>
        <v>3403125</v>
      </c>
      <c r="BS234" s="1467">
        <f t="shared" si="978"/>
        <v>2268750</v>
      </c>
      <c r="BT234" s="1467">
        <f t="shared" si="979"/>
        <v>1134375</v>
      </c>
      <c r="BU234" s="1467">
        <f t="shared" si="980"/>
        <v>0</v>
      </c>
      <c r="BV234" s="1485"/>
    </row>
    <row r="235" spans="1:74" x14ac:dyDescent="0.2">
      <c r="A235" s="927" t="str">
        <f t="shared" si="981"/>
        <v>Cane trash (Cellulosic).Straight-Line</v>
      </c>
      <c r="B235" s="1076"/>
      <c r="C235" s="1076" t="str">
        <f t="shared" si="1025"/>
        <v>Cane trash (Cellulosic)</v>
      </c>
      <c r="D235" s="1076" t="str">
        <f>Assumptions!$AH$81</f>
        <v>Straight-Line</v>
      </c>
      <c r="E235" s="1076" t="str">
        <f t="shared" ref="E235:F235" si="1031">E224</f>
        <v>Enzymtic hydrolysis and Fermentation Plant</v>
      </c>
      <c r="F235" s="1467">
        <f t="shared" si="1031"/>
        <v>40000000</v>
      </c>
      <c r="G235" s="1467">
        <f t="shared" si="982"/>
        <v>49500000</v>
      </c>
      <c r="H235" s="1467">
        <f t="shared" si="983"/>
        <v>54450000.000000007</v>
      </c>
      <c r="I235" s="1467">
        <f t="shared" si="984"/>
        <v>54450000.000000007</v>
      </c>
      <c r="J235" s="1161">
        <f t="shared" si="1030"/>
        <v>3.3333333333333333E-2</v>
      </c>
      <c r="K235" s="1107"/>
      <c r="L235" s="1467">
        <f t="shared" si="985"/>
        <v>1815000.0000000002</v>
      </c>
      <c r="M235" s="1467">
        <f t="shared" si="985"/>
        <v>1815000.0000000002</v>
      </c>
      <c r="N235" s="1467">
        <f t="shared" si="985"/>
        <v>1815000.0000000002</v>
      </c>
      <c r="O235" s="1467">
        <f t="shared" si="985"/>
        <v>1815000.0000000002</v>
      </c>
      <c r="P235" s="1467">
        <f t="shared" si="985"/>
        <v>1815000.0000000002</v>
      </c>
      <c r="Q235" s="1467">
        <f t="shared" si="985"/>
        <v>1815000.0000000002</v>
      </c>
      <c r="R235" s="1467">
        <f t="shared" si="985"/>
        <v>1815000.0000000002</v>
      </c>
      <c r="S235" s="1467">
        <f t="shared" si="985"/>
        <v>1815000.0000000002</v>
      </c>
      <c r="T235" s="1467">
        <f t="shared" si="985"/>
        <v>1815000.0000000002</v>
      </c>
      <c r="U235" s="1467">
        <f t="shared" si="985"/>
        <v>1815000.0000000002</v>
      </c>
      <c r="V235" s="1467">
        <f t="shared" si="985"/>
        <v>1815000.0000000002</v>
      </c>
      <c r="W235" s="1467">
        <f t="shared" si="985"/>
        <v>1815000.0000000002</v>
      </c>
      <c r="X235" s="1467">
        <f t="shared" si="985"/>
        <v>1815000.0000000002</v>
      </c>
      <c r="Y235" s="1467">
        <f t="shared" si="985"/>
        <v>1815000.0000000002</v>
      </c>
      <c r="Z235" s="1467">
        <f t="shared" si="985"/>
        <v>1815000.0000000002</v>
      </c>
      <c r="AA235" s="1467">
        <f t="shared" si="985"/>
        <v>1815000.0000000002</v>
      </c>
      <c r="AB235" s="1467">
        <f t="shared" si="1027"/>
        <v>1815000.0000000002</v>
      </c>
      <c r="AC235" s="1467">
        <f t="shared" si="1027"/>
        <v>1815000.0000000002</v>
      </c>
      <c r="AD235" s="1467">
        <f t="shared" si="1027"/>
        <v>1815000.0000000002</v>
      </c>
      <c r="AE235" s="1467">
        <f t="shared" si="1027"/>
        <v>1815000.0000000002</v>
      </c>
      <c r="AF235" s="1467">
        <f t="shared" si="1027"/>
        <v>1815000.0000000002</v>
      </c>
      <c r="AG235" s="1467">
        <f t="shared" si="1027"/>
        <v>1815000.0000000002</v>
      </c>
      <c r="AH235" s="1467">
        <f t="shared" si="1027"/>
        <v>1815000.0000000002</v>
      </c>
      <c r="AI235" s="1467">
        <f t="shared" si="1027"/>
        <v>1815000.0000000002</v>
      </c>
      <c r="AJ235" s="1467">
        <f t="shared" si="1027"/>
        <v>1815000.0000000002</v>
      </c>
      <c r="AK235" s="1467">
        <f t="shared" si="1027"/>
        <v>1815000.0000000002</v>
      </c>
      <c r="AL235" s="1467">
        <f t="shared" si="1027"/>
        <v>1815000.0000000002</v>
      </c>
      <c r="AM235" s="1467">
        <f t="shared" si="1027"/>
        <v>1815000.0000000002</v>
      </c>
      <c r="AN235" s="1467">
        <f t="shared" si="1027"/>
        <v>1815000.0000000002</v>
      </c>
      <c r="AO235" s="1467">
        <f t="shared" si="1027"/>
        <v>1815000.0000000002</v>
      </c>
      <c r="AP235" s="1468">
        <f t="shared" si="986"/>
        <v>54450000.000000007</v>
      </c>
      <c r="AQ235" s="1482"/>
      <c r="AR235" s="1467">
        <f t="shared" si="987"/>
        <v>52635000.000000007</v>
      </c>
      <c r="AS235" s="1467">
        <f t="shared" si="988"/>
        <v>50820000.000000007</v>
      </c>
      <c r="AT235" s="1467">
        <f t="shared" si="953"/>
        <v>49005000.000000007</v>
      </c>
      <c r="AU235" s="1467">
        <f t="shared" si="954"/>
        <v>47190000.000000007</v>
      </c>
      <c r="AV235" s="1467">
        <f t="shared" si="955"/>
        <v>45375000.000000007</v>
      </c>
      <c r="AW235" s="1467">
        <f t="shared" si="956"/>
        <v>43560000.000000007</v>
      </c>
      <c r="AX235" s="1467">
        <f t="shared" si="957"/>
        <v>41745000.000000007</v>
      </c>
      <c r="AY235" s="1467">
        <f t="shared" si="958"/>
        <v>39930000.000000007</v>
      </c>
      <c r="AZ235" s="1467">
        <f t="shared" si="959"/>
        <v>38115000.000000007</v>
      </c>
      <c r="BA235" s="1467">
        <f t="shared" si="960"/>
        <v>36300000.000000007</v>
      </c>
      <c r="BB235" s="1467">
        <f t="shared" si="961"/>
        <v>34485000.000000007</v>
      </c>
      <c r="BC235" s="1467">
        <f t="shared" si="962"/>
        <v>32670000.000000007</v>
      </c>
      <c r="BD235" s="1467">
        <f t="shared" si="963"/>
        <v>30855000.000000007</v>
      </c>
      <c r="BE235" s="1467">
        <f t="shared" si="964"/>
        <v>29040000.000000007</v>
      </c>
      <c r="BF235" s="1467">
        <f t="shared" si="965"/>
        <v>27225000.000000007</v>
      </c>
      <c r="BG235" s="1467">
        <f t="shared" si="966"/>
        <v>25410000.000000007</v>
      </c>
      <c r="BH235" s="1467">
        <f t="shared" si="967"/>
        <v>23595000.000000007</v>
      </c>
      <c r="BI235" s="1467">
        <f t="shared" si="968"/>
        <v>21780000.000000007</v>
      </c>
      <c r="BJ235" s="1467">
        <f t="shared" si="969"/>
        <v>19965000.000000007</v>
      </c>
      <c r="BK235" s="1467">
        <f t="shared" si="970"/>
        <v>18150000.000000007</v>
      </c>
      <c r="BL235" s="1467">
        <f t="shared" si="971"/>
        <v>16335000.000000007</v>
      </c>
      <c r="BM235" s="1467">
        <f t="shared" si="972"/>
        <v>14520000.000000007</v>
      </c>
      <c r="BN235" s="1467">
        <f t="shared" si="973"/>
        <v>12705000.000000007</v>
      </c>
      <c r="BO235" s="1467">
        <f t="shared" si="974"/>
        <v>10890000.000000007</v>
      </c>
      <c r="BP235" s="1467">
        <f t="shared" si="975"/>
        <v>9075000.0000000075</v>
      </c>
      <c r="BQ235" s="1467">
        <f t="shared" si="976"/>
        <v>7260000.0000000075</v>
      </c>
      <c r="BR235" s="1467">
        <f t="shared" si="977"/>
        <v>5445000.0000000075</v>
      </c>
      <c r="BS235" s="1467">
        <f t="shared" si="978"/>
        <v>3630000.0000000075</v>
      </c>
      <c r="BT235" s="1467">
        <f t="shared" si="979"/>
        <v>1815000.0000000072</v>
      </c>
      <c r="BU235" s="1467">
        <f t="shared" si="980"/>
        <v>6.9849193096160889E-9</v>
      </c>
      <c r="BV235" s="1485"/>
    </row>
    <row r="236" spans="1:74" x14ac:dyDescent="0.2">
      <c r="A236" s="927" t="str">
        <f t="shared" si="981"/>
        <v>Cane trash (Cellulosic).Straight-Line</v>
      </c>
      <c r="B236" s="1076"/>
      <c r="C236" s="1076" t="str">
        <f t="shared" si="1025"/>
        <v>Cane trash (Cellulosic)</v>
      </c>
      <c r="D236" s="1076" t="str">
        <f>Assumptions!$AH$81</f>
        <v>Straight-Line</v>
      </c>
      <c r="E236" s="1076" t="str">
        <f t="shared" ref="E236:F236" si="1032">E225</f>
        <v>Distillation, Rectification and Dehydration</v>
      </c>
      <c r="F236" s="1467">
        <f t="shared" si="1032"/>
        <v>23000000</v>
      </c>
      <c r="G236" s="1467">
        <f t="shared" si="982"/>
        <v>28462500</v>
      </c>
      <c r="H236" s="1467">
        <f t="shared" si="983"/>
        <v>31308750.000000004</v>
      </c>
      <c r="I236" s="1467">
        <f t="shared" si="984"/>
        <v>31308750.000000004</v>
      </c>
      <c r="J236" s="1161">
        <f t="shared" si="1030"/>
        <v>3.3333333333333333E-2</v>
      </c>
      <c r="K236" s="1107"/>
      <c r="L236" s="1467">
        <f t="shared" si="985"/>
        <v>1043625.0000000001</v>
      </c>
      <c r="M236" s="1467">
        <f t="shared" si="985"/>
        <v>1043625.0000000001</v>
      </c>
      <c r="N236" s="1467">
        <f t="shared" si="985"/>
        <v>1043625.0000000001</v>
      </c>
      <c r="O236" s="1467">
        <f t="shared" si="985"/>
        <v>1043625.0000000001</v>
      </c>
      <c r="P236" s="1467">
        <f t="shared" si="985"/>
        <v>1043625.0000000001</v>
      </c>
      <c r="Q236" s="1467">
        <f t="shared" si="985"/>
        <v>1043625.0000000001</v>
      </c>
      <c r="R236" s="1467">
        <f t="shared" si="985"/>
        <v>1043625.0000000001</v>
      </c>
      <c r="S236" s="1467">
        <f t="shared" si="985"/>
        <v>1043625.0000000001</v>
      </c>
      <c r="T236" s="1467">
        <f t="shared" si="985"/>
        <v>1043625.0000000001</v>
      </c>
      <c r="U236" s="1467">
        <f t="shared" si="985"/>
        <v>1043625.0000000001</v>
      </c>
      <c r="V236" s="1467">
        <f t="shared" si="985"/>
        <v>1043625.0000000001</v>
      </c>
      <c r="W236" s="1467">
        <f t="shared" si="985"/>
        <v>1043625.0000000001</v>
      </c>
      <c r="X236" s="1467">
        <f t="shared" si="985"/>
        <v>1043625.0000000001</v>
      </c>
      <c r="Y236" s="1467">
        <f t="shared" si="985"/>
        <v>1043625.0000000001</v>
      </c>
      <c r="Z236" s="1467">
        <f t="shared" si="985"/>
        <v>1043625.0000000001</v>
      </c>
      <c r="AA236" s="1467">
        <f t="shared" si="985"/>
        <v>1043625.0000000001</v>
      </c>
      <c r="AB236" s="1467">
        <f t="shared" si="1027"/>
        <v>1043625.0000000001</v>
      </c>
      <c r="AC236" s="1467">
        <f t="shared" si="1027"/>
        <v>1043625.0000000001</v>
      </c>
      <c r="AD236" s="1467">
        <f t="shared" si="1027"/>
        <v>1043625.0000000001</v>
      </c>
      <c r="AE236" s="1467">
        <f t="shared" si="1027"/>
        <v>1043625.0000000001</v>
      </c>
      <c r="AF236" s="1467">
        <f t="shared" si="1027"/>
        <v>1043625.0000000001</v>
      </c>
      <c r="AG236" s="1467">
        <f t="shared" si="1027"/>
        <v>1043625.0000000001</v>
      </c>
      <c r="AH236" s="1467">
        <f t="shared" si="1027"/>
        <v>1043625.0000000001</v>
      </c>
      <c r="AI236" s="1467">
        <f t="shared" si="1027"/>
        <v>1043625.0000000001</v>
      </c>
      <c r="AJ236" s="1467">
        <f t="shared" si="1027"/>
        <v>1043625.0000000001</v>
      </c>
      <c r="AK236" s="1467">
        <f t="shared" si="1027"/>
        <v>1043625.0000000001</v>
      </c>
      <c r="AL236" s="1467">
        <f t="shared" si="1027"/>
        <v>1043625.0000000001</v>
      </c>
      <c r="AM236" s="1467">
        <f t="shared" si="1027"/>
        <v>1043625.0000000001</v>
      </c>
      <c r="AN236" s="1467">
        <f t="shared" si="1027"/>
        <v>1043625.0000000001</v>
      </c>
      <c r="AO236" s="1467">
        <f t="shared" si="1027"/>
        <v>1043625.0000000001</v>
      </c>
      <c r="AP236" s="1468">
        <f t="shared" si="986"/>
        <v>31308750.000000004</v>
      </c>
      <c r="AQ236" s="1482"/>
      <c r="AR236" s="1467">
        <f t="shared" si="987"/>
        <v>30265125.000000004</v>
      </c>
      <c r="AS236" s="1467">
        <f t="shared" si="988"/>
        <v>29221500.000000004</v>
      </c>
      <c r="AT236" s="1467">
        <f t="shared" si="953"/>
        <v>28177875.000000004</v>
      </c>
      <c r="AU236" s="1467">
        <f t="shared" si="954"/>
        <v>27134250.000000004</v>
      </c>
      <c r="AV236" s="1467">
        <f t="shared" si="955"/>
        <v>26090625.000000004</v>
      </c>
      <c r="AW236" s="1467">
        <f t="shared" si="956"/>
        <v>25047000.000000004</v>
      </c>
      <c r="AX236" s="1467">
        <f t="shared" si="957"/>
        <v>24003375.000000004</v>
      </c>
      <c r="AY236" s="1467">
        <f t="shared" si="958"/>
        <v>22959750.000000004</v>
      </c>
      <c r="AZ236" s="1467">
        <f t="shared" si="959"/>
        <v>21916125.000000004</v>
      </c>
      <c r="BA236" s="1467">
        <f t="shared" si="960"/>
        <v>20872500.000000004</v>
      </c>
      <c r="BB236" s="1467">
        <f t="shared" si="961"/>
        <v>19828875.000000004</v>
      </c>
      <c r="BC236" s="1467">
        <f t="shared" si="962"/>
        <v>18785250.000000004</v>
      </c>
      <c r="BD236" s="1467">
        <f t="shared" si="963"/>
        <v>17741625.000000004</v>
      </c>
      <c r="BE236" s="1467">
        <f t="shared" si="964"/>
        <v>16698000.000000004</v>
      </c>
      <c r="BF236" s="1467">
        <f t="shared" si="965"/>
        <v>15654375.000000004</v>
      </c>
      <c r="BG236" s="1467">
        <f t="shared" si="966"/>
        <v>14610750.000000004</v>
      </c>
      <c r="BH236" s="1467">
        <f t="shared" si="967"/>
        <v>13567125.000000004</v>
      </c>
      <c r="BI236" s="1467">
        <f t="shared" si="968"/>
        <v>12523500.000000004</v>
      </c>
      <c r="BJ236" s="1467">
        <f t="shared" si="969"/>
        <v>11479875.000000004</v>
      </c>
      <c r="BK236" s="1467">
        <f t="shared" si="970"/>
        <v>10436250.000000004</v>
      </c>
      <c r="BL236" s="1467">
        <f t="shared" si="971"/>
        <v>9392625.0000000037</v>
      </c>
      <c r="BM236" s="1467">
        <f t="shared" si="972"/>
        <v>8349000.0000000037</v>
      </c>
      <c r="BN236" s="1467">
        <f t="shared" si="973"/>
        <v>7305375.0000000037</v>
      </c>
      <c r="BO236" s="1467">
        <f t="shared" si="974"/>
        <v>6261750.0000000037</v>
      </c>
      <c r="BP236" s="1467">
        <f t="shared" si="975"/>
        <v>5218125.0000000037</v>
      </c>
      <c r="BQ236" s="1467">
        <f t="shared" si="976"/>
        <v>4174500.0000000037</v>
      </c>
      <c r="BR236" s="1467">
        <f t="shared" si="977"/>
        <v>3130875.0000000037</v>
      </c>
      <c r="BS236" s="1467">
        <f t="shared" si="978"/>
        <v>2087250.0000000037</v>
      </c>
      <c r="BT236" s="1467">
        <f t="shared" si="979"/>
        <v>1043625.0000000036</v>
      </c>
      <c r="BU236" s="1467">
        <f t="shared" si="980"/>
        <v>3.4924596548080444E-9</v>
      </c>
      <c r="BV236" s="1485"/>
    </row>
    <row r="237" spans="1:74" x14ac:dyDescent="0.2">
      <c r="A237" s="927" t="str">
        <f t="shared" si="981"/>
        <v>Cane trash (Cellulosic).Straight-Line</v>
      </c>
      <c r="B237" s="1076"/>
      <c r="C237" s="1076" t="str">
        <f t="shared" si="1025"/>
        <v>Cane trash (Cellulosic)</v>
      </c>
      <c r="D237" s="1076" t="str">
        <f>Assumptions!$AH$81</f>
        <v>Straight-Line</v>
      </c>
      <c r="E237" s="1076" t="str">
        <f t="shared" ref="E237:F237" si="1033">E226</f>
        <v>Alcohol Storage</v>
      </c>
      <c r="F237" s="1467">
        <f t="shared" si="1033"/>
        <v>5000000</v>
      </c>
      <c r="G237" s="1467">
        <f t="shared" si="982"/>
        <v>6187500</v>
      </c>
      <c r="H237" s="1467">
        <f t="shared" si="983"/>
        <v>6806250.0000000009</v>
      </c>
      <c r="I237" s="1467">
        <f t="shared" si="984"/>
        <v>6806250.0000000009</v>
      </c>
      <c r="J237" s="1161">
        <f t="shared" si="1030"/>
        <v>3.3333333333333333E-2</v>
      </c>
      <c r="K237" s="1107"/>
      <c r="L237" s="1467">
        <f t="shared" si="985"/>
        <v>226875.00000000003</v>
      </c>
      <c r="M237" s="1467">
        <f t="shared" si="985"/>
        <v>226875.00000000003</v>
      </c>
      <c r="N237" s="1467">
        <f t="shared" si="985"/>
        <v>226875.00000000003</v>
      </c>
      <c r="O237" s="1467">
        <f t="shared" si="985"/>
        <v>226875.00000000003</v>
      </c>
      <c r="P237" s="1467">
        <f t="shared" si="985"/>
        <v>226875.00000000003</v>
      </c>
      <c r="Q237" s="1467">
        <f t="shared" si="985"/>
        <v>226875.00000000003</v>
      </c>
      <c r="R237" s="1467">
        <f t="shared" si="985"/>
        <v>226875.00000000003</v>
      </c>
      <c r="S237" s="1467">
        <f t="shared" si="985"/>
        <v>226875.00000000003</v>
      </c>
      <c r="T237" s="1467">
        <f t="shared" si="985"/>
        <v>226875.00000000003</v>
      </c>
      <c r="U237" s="1467">
        <f t="shared" si="985"/>
        <v>226875.00000000003</v>
      </c>
      <c r="V237" s="1467">
        <f t="shared" si="985"/>
        <v>226875.00000000003</v>
      </c>
      <c r="W237" s="1467">
        <f t="shared" si="985"/>
        <v>226875.00000000003</v>
      </c>
      <c r="X237" s="1467">
        <f t="shared" si="985"/>
        <v>226875.00000000003</v>
      </c>
      <c r="Y237" s="1467">
        <f t="shared" si="985"/>
        <v>226875.00000000003</v>
      </c>
      <c r="Z237" s="1467">
        <f t="shared" si="985"/>
        <v>226875.00000000003</v>
      </c>
      <c r="AA237" s="1467">
        <f t="shared" si="985"/>
        <v>226875.00000000003</v>
      </c>
      <c r="AB237" s="1467">
        <f t="shared" si="1027"/>
        <v>226875.00000000003</v>
      </c>
      <c r="AC237" s="1467">
        <f t="shared" si="1027"/>
        <v>226875.00000000003</v>
      </c>
      <c r="AD237" s="1467">
        <f t="shared" si="1027"/>
        <v>226875.00000000003</v>
      </c>
      <c r="AE237" s="1467">
        <f t="shared" si="1027"/>
        <v>226875.00000000003</v>
      </c>
      <c r="AF237" s="1467">
        <f t="shared" si="1027"/>
        <v>226875.00000000003</v>
      </c>
      <c r="AG237" s="1467">
        <f t="shared" si="1027"/>
        <v>226875.00000000003</v>
      </c>
      <c r="AH237" s="1467">
        <f t="shared" si="1027"/>
        <v>226875.00000000003</v>
      </c>
      <c r="AI237" s="1467">
        <f t="shared" si="1027"/>
        <v>226875.00000000003</v>
      </c>
      <c r="AJ237" s="1467">
        <f t="shared" si="1027"/>
        <v>226875.00000000003</v>
      </c>
      <c r="AK237" s="1467">
        <f t="shared" si="1027"/>
        <v>226875.00000000003</v>
      </c>
      <c r="AL237" s="1467">
        <f t="shared" si="1027"/>
        <v>226875.00000000003</v>
      </c>
      <c r="AM237" s="1467">
        <f t="shared" si="1027"/>
        <v>226875.00000000003</v>
      </c>
      <c r="AN237" s="1467">
        <f t="shared" si="1027"/>
        <v>226875.00000000003</v>
      </c>
      <c r="AO237" s="1467">
        <f t="shared" si="1027"/>
        <v>226875.00000000003</v>
      </c>
      <c r="AP237" s="1468">
        <f t="shared" si="986"/>
        <v>6806250.0000000009</v>
      </c>
      <c r="AQ237" s="1482"/>
      <c r="AR237" s="1467">
        <f t="shared" si="987"/>
        <v>6579375.0000000009</v>
      </c>
      <c r="AS237" s="1467">
        <f t="shared" si="988"/>
        <v>6352500.0000000009</v>
      </c>
      <c r="AT237" s="1467">
        <f t="shared" si="953"/>
        <v>6125625.0000000009</v>
      </c>
      <c r="AU237" s="1467">
        <f t="shared" si="954"/>
        <v>5898750.0000000009</v>
      </c>
      <c r="AV237" s="1467">
        <f t="shared" si="955"/>
        <v>5671875.0000000009</v>
      </c>
      <c r="AW237" s="1467">
        <f t="shared" si="956"/>
        <v>5445000.0000000009</v>
      </c>
      <c r="AX237" s="1467">
        <f t="shared" si="957"/>
        <v>5218125.0000000009</v>
      </c>
      <c r="AY237" s="1467">
        <f t="shared" si="958"/>
        <v>4991250.0000000009</v>
      </c>
      <c r="AZ237" s="1467">
        <f t="shared" si="959"/>
        <v>4764375.0000000009</v>
      </c>
      <c r="BA237" s="1467">
        <f t="shared" si="960"/>
        <v>4537500.0000000009</v>
      </c>
      <c r="BB237" s="1467">
        <f t="shared" si="961"/>
        <v>4310625.0000000009</v>
      </c>
      <c r="BC237" s="1467">
        <f t="shared" si="962"/>
        <v>4083750.0000000009</v>
      </c>
      <c r="BD237" s="1467">
        <f t="shared" si="963"/>
        <v>3856875.0000000009</v>
      </c>
      <c r="BE237" s="1467">
        <f t="shared" si="964"/>
        <v>3630000.0000000009</v>
      </c>
      <c r="BF237" s="1467">
        <f t="shared" si="965"/>
        <v>3403125.0000000009</v>
      </c>
      <c r="BG237" s="1467">
        <f t="shared" si="966"/>
        <v>3176250.0000000009</v>
      </c>
      <c r="BH237" s="1467">
        <f t="shared" si="967"/>
        <v>2949375.0000000009</v>
      </c>
      <c r="BI237" s="1467">
        <f t="shared" si="968"/>
        <v>2722500.0000000009</v>
      </c>
      <c r="BJ237" s="1467">
        <f t="shared" si="969"/>
        <v>2495625.0000000009</v>
      </c>
      <c r="BK237" s="1467">
        <f t="shared" si="970"/>
        <v>2268750.0000000009</v>
      </c>
      <c r="BL237" s="1467">
        <f t="shared" si="971"/>
        <v>2041875.0000000009</v>
      </c>
      <c r="BM237" s="1467">
        <f t="shared" si="972"/>
        <v>1815000.0000000009</v>
      </c>
      <c r="BN237" s="1467">
        <f t="shared" si="973"/>
        <v>1588125.0000000009</v>
      </c>
      <c r="BO237" s="1467">
        <f t="shared" si="974"/>
        <v>1361250.0000000009</v>
      </c>
      <c r="BP237" s="1467">
        <f t="shared" si="975"/>
        <v>1134375.0000000009</v>
      </c>
      <c r="BQ237" s="1467">
        <f t="shared" si="976"/>
        <v>907500.00000000093</v>
      </c>
      <c r="BR237" s="1467">
        <f t="shared" si="977"/>
        <v>680625.00000000093</v>
      </c>
      <c r="BS237" s="1467">
        <f t="shared" si="978"/>
        <v>453750.00000000093</v>
      </c>
      <c r="BT237" s="1467">
        <f t="shared" si="979"/>
        <v>226875.0000000009</v>
      </c>
      <c r="BU237" s="1467">
        <f t="shared" si="980"/>
        <v>8.7311491370201111E-10</v>
      </c>
      <c r="BV237" s="1485"/>
    </row>
    <row r="238" spans="1:74" x14ac:dyDescent="0.2">
      <c r="A238" s="927" t="str">
        <f t="shared" si="981"/>
        <v>Cane trash (Cellulosic).Straight-Line</v>
      </c>
      <c r="B238" s="1076"/>
      <c r="C238" s="1076" t="str">
        <f t="shared" si="1025"/>
        <v>Cane trash (Cellulosic)</v>
      </c>
      <c r="D238" s="1076" t="str">
        <f>Assumptions!$AH$81</f>
        <v>Straight-Line</v>
      </c>
      <c r="E238" s="1076" t="str">
        <f t="shared" ref="E238:F238" si="1034">E227</f>
        <v>Biogas Plant</v>
      </c>
      <c r="F238" s="1467">
        <f t="shared" si="1034"/>
        <v>13000000</v>
      </c>
      <c r="G238" s="1467">
        <f t="shared" si="982"/>
        <v>16087500</v>
      </c>
      <c r="H238" s="1467">
        <f t="shared" si="983"/>
        <v>17696250</v>
      </c>
      <c r="I238" s="1467">
        <f t="shared" si="984"/>
        <v>17696250</v>
      </c>
      <c r="J238" s="1161">
        <f t="shared" si="1030"/>
        <v>3.3333333333333333E-2</v>
      </c>
      <c r="K238" s="1107"/>
      <c r="L238" s="1467">
        <f t="shared" si="985"/>
        <v>589875</v>
      </c>
      <c r="M238" s="1467">
        <f t="shared" si="985"/>
        <v>589875</v>
      </c>
      <c r="N238" s="1467">
        <f t="shared" si="985"/>
        <v>589875</v>
      </c>
      <c r="O238" s="1467">
        <f t="shared" si="985"/>
        <v>589875</v>
      </c>
      <c r="P238" s="1467">
        <f t="shared" si="985"/>
        <v>589875</v>
      </c>
      <c r="Q238" s="1467">
        <f t="shared" si="985"/>
        <v>589875</v>
      </c>
      <c r="R238" s="1467">
        <f t="shared" si="985"/>
        <v>589875</v>
      </c>
      <c r="S238" s="1467">
        <f t="shared" si="985"/>
        <v>589875</v>
      </c>
      <c r="T238" s="1467">
        <f t="shared" si="985"/>
        <v>589875</v>
      </c>
      <c r="U238" s="1467">
        <f t="shared" si="985"/>
        <v>589875</v>
      </c>
      <c r="V238" s="1467">
        <f t="shared" si="985"/>
        <v>589875</v>
      </c>
      <c r="W238" s="1467">
        <f t="shared" si="985"/>
        <v>589875</v>
      </c>
      <c r="X238" s="1467">
        <f t="shared" si="985"/>
        <v>589875</v>
      </c>
      <c r="Y238" s="1467">
        <f t="shared" si="985"/>
        <v>589875</v>
      </c>
      <c r="Z238" s="1467">
        <f t="shared" si="985"/>
        <v>589875</v>
      </c>
      <c r="AA238" s="1467">
        <f t="shared" si="985"/>
        <v>589875</v>
      </c>
      <c r="AB238" s="1467">
        <f t="shared" si="1027"/>
        <v>589875</v>
      </c>
      <c r="AC238" s="1467">
        <f t="shared" si="1027"/>
        <v>589875</v>
      </c>
      <c r="AD238" s="1467">
        <f t="shared" si="1027"/>
        <v>589875</v>
      </c>
      <c r="AE238" s="1467">
        <f t="shared" si="1027"/>
        <v>589875</v>
      </c>
      <c r="AF238" s="1467">
        <f t="shared" si="1027"/>
        <v>589875</v>
      </c>
      <c r="AG238" s="1467">
        <f t="shared" si="1027"/>
        <v>589875</v>
      </c>
      <c r="AH238" s="1467">
        <f t="shared" si="1027"/>
        <v>589875</v>
      </c>
      <c r="AI238" s="1467">
        <f t="shared" si="1027"/>
        <v>589875</v>
      </c>
      <c r="AJ238" s="1467">
        <f t="shared" si="1027"/>
        <v>589875</v>
      </c>
      <c r="AK238" s="1467">
        <f t="shared" si="1027"/>
        <v>589875</v>
      </c>
      <c r="AL238" s="1467">
        <f t="shared" si="1027"/>
        <v>589875</v>
      </c>
      <c r="AM238" s="1467">
        <f t="shared" si="1027"/>
        <v>589875</v>
      </c>
      <c r="AN238" s="1467">
        <f t="shared" si="1027"/>
        <v>589875</v>
      </c>
      <c r="AO238" s="1467">
        <f t="shared" si="1027"/>
        <v>589875</v>
      </c>
      <c r="AP238" s="1468">
        <f t="shared" ref="AP238:AP240" si="1035">SUM(L238:AO238)</f>
        <v>17696250</v>
      </c>
      <c r="AQ238" s="1482"/>
      <c r="AR238" s="1467">
        <f t="shared" si="987"/>
        <v>17106375</v>
      </c>
      <c r="AS238" s="1467">
        <f t="shared" si="988"/>
        <v>16516500</v>
      </c>
      <c r="AT238" s="1467">
        <f t="shared" si="953"/>
        <v>15926625</v>
      </c>
      <c r="AU238" s="1467">
        <f t="shared" si="954"/>
        <v>15336750</v>
      </c>
      <c r="AV238" s="1467">
        <f t="shared" si="955"/>
        <v>14746875</v>
      </c>
      <c r="AW238" s="1467">
        <f t="shared" si="956"/>
        <v>14157000</v>
      </c>
      <c r="AX238" s="1467">
        <f t="shared" si="957"/>
        <v>13567125</v>
      </c>
      <c r="AY238" s="1467">
        <f t="shared" si="958"/>
        <v>12977250</v>
      </c>
      <c r="AZ238" s="1467">
        <f t="shared" si="959"/>
        <v>12387375</v>
      </c>
      <c r="BA238" s="1467">
        <f t="shared" si="960"/>
        <v>11797500</v>
      </c>
      <c r="BB238" s="1467">
        <f t="shared" si="961"/>
        <v>11207625</v>
      </c>
      <c r="BC238" s="1467">
        <f t="shared" si="962"/>
        <v>10617750</v>
      </c>
      <c r="BD238" s="1467">
        <f t="shared" si="963"/>
        <v>10027875</v>
      </c>
      <c r="BE238" s="1467">
        <f t="shared" si="964"/>
        <v>9438000</v>
      </c>
      <c r="BF238" s="1467">
        <f t="shared" si="965"/>
        <v>8848125</v>
      </c>
      <c r="BG238" s="1467">
        <f t="shared" si="966"/>
        <v>8258250</v>
      </c>
      <c r="BH238" s="1467">
        <f t="shared" si="967"/>
        <v>7668375</v>
      </c>
      <c r="BI238" s="1467">
        <f t="shared" si="968"/>
        <v>7078500</v>
      </c>
      <c r="BJ238" s="1467">
        <f t="shared" si="969"/>
        <v>6488625</v>
      </c>
      <c r="BK238" s="1467">
        <f t="shared" si="970"/>
        <v>5898750</v>
      </c>
      <c r="BL238" s="1467">
        <f t="shared" si="971"/>
        <v>5308875</v>
      </c>
      <c r="BM238" s="1467">
        <f t="shared" si="972"/>
        <v>4719000</v>
      </c>
      <c r="BN238" s="1467">
        <f t="shared" si="973"/>
        <v>4129125</v>
      </c>
      <c r="BO238" s="1467">
        <f t="shared" si="974"/>
        <v>3539250</v>
      </c>
      <c r="BP238" s="1467">
        <f t="shared" si="975"/>
        <v>2949375</v>
      </c>
      <c r="BQ238" s="1467">
        <f t="shared" si="976"/>
        <v>2359500</v>
      </c>
      <c r="BR238" s="1467">
        <f t="shared" si="977"/>
        <v>1769625</v>
      </c>
      <c r="BS238" s="1467">
        <f t="shared" si="978"/>
        <v>1179750</v>
      </c>
      <c r="BT238" s="1467">
        <f t="shared" si="979"/>
        <v>589875</v>
      </c>
      <c r="BU238" s="1467">
        <f t="shared" si="980"/>
        <v>0</v>
      </c>
      <c r="BV238" s="1485"/>
    </row>
    <row r="239" spans="1:74" x14ac:dyDescent="0.2">
      <c r="A239" s="927" t="str">
        <f t="shared" si="981"/>
        <v>Cane trash (Cellulosic).Straight-Line</v>
      </c>
      <c r="B239" s="1076"/>
      <c r="C239" s="1076" t="str">
        <f t="shared" si="1025"/>
        <v>Cane trash (Cellulosic)</v>
      </c>
      <c r="D239" s="1076" t="str">
        <f>Assumptions!$AH$81</f>
        <v>Straight-Line</v>
      </c>
      <c r="E239" s="1076" t="str">
        <f t="shared" ref="E239:F239" si="1036">E228</f>
        <v>Cogeneration Plant</v>
      </c>
      <c r="F239" s="1467">
        <f t="shared" si="1036"/>
        <v>40000000</v>
      </c>
      <c r="G239" s="1467">
        <f t="shared" si="982"/>
        <v>49500000</v>
      </c>
      <c r="H239" s="1467">
        <f t="shared" si="983"/>
        <v>54450000.000000007</v>
      </c>
      <c r="I239" s="1467">
        <f t="shared" si="984"/>
        <v>54450000.000000007</v>
      </c>
      <c r="J239" s="1161">
        <f t="shared" si="1030"/>
        <v>3.3333333333333333E-2</v>
      </c>
      <c r="K239" s="1107"/>
      <c r="L239" s="1467">
        <f t="shared" ref="L239:AA241" si="1037">$I239*$J239</f>
        <v>1815000.0000000002</v>
      </c>
      <c r="M239" s="1467">
        <f t="shared" si="1037"/>
        <v>1815000.0000000002</v>
      </c>
      <c r="N239" s="1467">
        <f t="shared" si="1037"/>
        <v>1815000.0000000002</v>
      </c>
      <c r="O239" s="1467">
        <f t="shared" si="1037"/>
        <v>1815000.0000000002</v>
      </c>
      <c r="P239" s="1467">
        <f t="shared" si="1037"/>
        <v>1815000.0000000002</v>
      </c>
      <c r="Q239" s="1467">
        <f t="shared" si="1037"/>
        <v>1815000.0000000002</v>
      </c>
      <c r="R239" s="1467">
        <f t="shared" si="1037"/>
        <v>1815000.0000000002</v>
      </c>
      <c r="S239" s="1467">
        <f t="shared" si="1037"/>
        <v>1815000.0000000002</v>
      </c>
      <c r="T239" s="1467">
        <f t="shared" si="1037"/>
        <v>1815000.0000000002</v>
      </c>
      <c r="U239" s="1467">
        <f t="shared" si="1037"/>
        <v>1815000.0000000002</v>
      </c>
      <c r="V239" s="1467">
        <f t="shared" si="1037"/>
        <v>1815000.0000000002</v>
      </c>
      <c r="W239" s="1467">
        <f t="shared" si="1037"/>
        <v>1815000.0000000002</v>
      </c>
      <c r="X239" s="1467">
        <f t="shared" si="1037"/>
        <v>1815000.0000000002</v>
      </c>
      <c r="Y239" s="1467">
        <f t="shared" si="1037"/>
        <v>1815000.0000000002</v>
      </c>
      <c r="Z239" s="1467">
        <f t="shared" si="1037"/>
        <v>1815000.0000000002</v>
      </c>
      <c r="AA239" s="1467">
        <f t="shared" si="1037"/>
        <v>1815000.0000000002</v>
      </c>
      <c r="AB239" s="1467">
        <f t="shared" si="1027"/>
        <v>1815000.0000000002</v>
      </c>
      <c r="AC239" s="1467">
        <f t="shared" si="1027"/>
        <v>1815000.0000000002</v>
      </c>
      <c r="AD239" s="1467">
        <f t="shared" si="1027"/>
        <v>1815000.0000000002</v>
      </c>
      <c r="AE239" s="1467">
        <f t="shared" si="1027"/>
        <v>1815000.0000000002</v>
      </c>
      <c r="AF239" s="1467">
        <f t="shared" si="1027"/>
        <v>1815000.0000000002</v>
      </c>
      <c r="AG239" s="1467">
        <f t="shared" si="1027"/>
        <v>1815000.0000000002</v>
      </c>
      <c r="AH239" s="1467">
        <f t="shared" si="1027"/>
        <v>1815000.0000000002</v>
      </c>
      <c r="AI239" s="1467">
        <f t="shared" si="1027"/>
        <v>1815000.0000000002</v>
      </c>
      <c r="AJ239" s="1467">
        <f t="shared" si="1027"/>
        <v>1815000.0000000002</v>
      </c>
      <c r="AK239" s="1467">
        <f t="shared" si="1027"/>
        <v>1815000.0000000002</v>
      </c>
      <c r="AL239" s="1467">
        <f t="shared" si="1027"/>
        <v>1815000.0000000002</v>
      </c>
      <c r="AM239" s="1467">
        <f t="shared" si="1027"/>
        <v>1815000.0000000002</v>
      </c>
      <c r="AN239" s="1467">
        <f t="shared" si="1027"/>
        <v>1815000.0000000002</v>
      </c>
      <c r="AO239" s="1467">
        <f t="shared" si="1027"/>
        <v>1815000.0000000002</v>
      </c>
      <c r="AP239" s="1468">
        <f t="shared" si="1035"/>
        <v>54450000.000000007</v>
      </c>
      <c r="AQ239" s="1482"/>
      <c r="AR239" s="1467">
        <f t="shared" si="987"/>
        <v>52635000.000000007</v>
      </c>
      <c r="AS239" s="1467">
        <f t="shared" si="988"/>
        <v>50820000.000000007</v>
      </c>
      <c r="AT239" s="1467">
        <f t="shared" si="953"/>
        <v>49005000.000000007</v>
      </c>
      <c r="AU239" s="1467">
        <f t="shared" si="954"/>
        <v>47190000.000000007</v>
      </c>
      <c r="AV239" s="1467">
        <f t="shared" si="955"/>
        <v>45375000.000000007</v>
      </c>
      <c r="AW239" s="1467">
        <f t="shared" si="956"/>
        <v>43560000.000000007</v>
      </c>
      <c r="AX239" s="1467">
        <f t="shared" si="957"/>
        <v>41745000.000000007</v>
      </c>
      <c r="AY239" s="1467">
        <f t="shared" si="958"/>
        <v>39930000.000000007</v>
      </c>
      <c r="AZ239" s="1467">
        <f t="shared" si="959"/>
        <v>38115000.000000007</v>
      </c>
      <c r="BA239" s="1467">
        <f t="shared" si="960"/>
        <v>36300000.000000007</v>
      </c>
      <c r="BB239" s="1467">
        <f t="shared" si="961"/>
        <v>34485000.000000007</v>
      </c>
      <c r="BC239" s="1467">
        <f t="shared" si="962"/>
        <v>32670000.000000007</v>
      </c>
      <c r="BD239" s="1467">
        <f t="shared" si="963"/>
        <v>30855000.000000007</v>
      </c>
      <c r="BE239" s="1467">
        <f t="shared" si="964"/>
        <v>29040000.000000007</v>
      </c>
      <c r="BF239" s="1467">
        <f t="shared" si="965"/>
        <v>27225000.000000007</v>
      </c>
      <c r="BG239" s="1467">
        <f t="shared" si="966"/>
        <v>25410000.000000007</v>
      </c>
      <c r="BH239" s="1467">
        <f t="shared" si="967"/>
        <v>23595000.000000007</v>
      </c>
      <c r="BI239" s="1467">
        <f t="shared" si="968"/>
        <v>21780000.000000007</v>
      </c>
      <c r="BJ239" s="1467">
        <f t="shared" si="969"/>
        <v>19965000.000000007</v>
      </c>
      <c r="BK239" s="1467">
        <f t="shared" si="970"/>
        <v>18150000.000000007</v>
      </c>
      <c r="BL239" s="1467">
        <f t="shared" si="971"/>
        <v>16335000.000000007</v>
      </c>
      <c r="BM239" s="1467">
        <f t="shared" si="972"/>
        <v>14520000.000000007</v>
      </c>
      <c r="BN239" s="1467">
        <f t="shared" si="973"/>
        <v>12705000.000000007</v>
      </c>
      <c r="BO239" s="1467">
        <f t="shared" si="974"/>
        <v>10890000.000000007</v>
      </c>
      <c r="BP239" s="1467">
        <f t="shared" si="975"/>
        <v>9075000.0000000075</v>
      </c>
      <c r="BQ239" s="1467">
        <f t="shared" si="976"/>
        <v>7260000.0000000075</v>
      </c>
      <c r="BR239" s="1467">
        <f t="shared" si="977"/>
        <v>5445000.0000000075</v>
      </c>
      <c r="BS239" s="1467">
        <f t="shared" si="978"/>
        <v>3630000.0000000075</v>
      </c>
      <c r="BT239" s="1467">
        <f t="shared" si="979"/>
        <v>1815000.0000000072</v>
      </c>
      <c r="BU239" s="1467">
        <f t="shared" si="980"/>
        <v>6.9849193096160889E-9</v>
      </c>
      <c r="BV239" s="1485"/>
    </row>
    <row r="240" spans="1:74" x14ac:dyDescent="0.2">
      <c r="A240" s="927" t="str">
        <f t="shared" si="981"/>
        <v>Cane trash (Cellulosic).Straight-Line</v>
      </c>
      <c r="B240" s="1076"/>
      <c r="C240" s="1076" t="str">
        <f t="shared" si="1025"/>
        <v>Cane trash (Cellulosic)</v>
      </c>
      <c r="D240" s="1076" t="str">
        <f>Assumptions!$AH$81</f>
        <v>Straight-Line</v>
      </c>
      <c r="E240" s="1076" t="str">
        <f t="shared" ref="E240:F240" si="1038">E229</f>
        <v>Non-process buildings</v>
      </c>
      <c r="F240" s="1467">
        <f t="shared" si="1038"/>
        <v>5000000</v>
      </c>
      <c r="G240" s="1467">
        <f t="shared" si="982"/>
        <v>6187500</v>
      </c>
      <c r="H240" s="1467">
        <f t="shared" si="983"/>
        <v>6806250.0000000009</v>
      </c>
      <c r="I240" s="1467">
        <f t="shared" si="984"/>
        <v>6806250.0000000009</v>
      </c>
      <c r="J240" s="1161">
        <f t="shared" si="1030"/>
        <v>3.3333333333333333E-2</v>
      </c>
      <c r="K240" s="1107"/>
      <c r="L240" s="1467">
        <f t="shared" si="1037"/>
        <v>226875.00000000003</v>
      </c>
      <c r="M240" s="1467">
        <f t="shared" si="1037"/>
        <v>226875.00000000003</v>
      </c>
      <c r="N240" s="1467">
        <f t="shared" si="1037"/>
        <v>226875.00000000003</v>
      </c>
      <c r="O240" s="1467">
        <f t="shared" si="1037"/>
        <v>226875.00000000003</v>
      </c>
      <c r="P240" s="1467">
        <f t="shared" si="1037"/>
        <v>226875.00000000003</v>
      </c>
      <c r="Q240" s="1467">
        <f t="shared" si="1037"/>
        <v>226875.00000000003</v>
      </c>
      <c r="R240" s="1467">
        <f t="shared" si="1037"/>
        <v>226875.00000000003</v>
      </c>
      <c r="S240" s="1467">
        <f t="shared" si="1037"/>
        <v>226875.00000000003</v>
      </c>
      <c r="T240" s="1467">
        <f t="shared" si="1037"/>
        <v>226875.00000000003</v>
      </c>
      <c r="U240" s="1467">
        <f t="shared" si="1037"/>
        <v>226875.00000000003</v>
      </c>
      <c r="V240" s="1467">
        <f t="shared" si="1037"/>
        <v>226875.00000000003</v>
      </c>
      <c r="W240" s="1467">
        <f t="shared" si="1037"/>
        <v>226875.00000000003</v>
      </c>
      <c r="X240" s="1467">
        <f t="shared" si="1037"/>
        <v>226875.00000000003</v>
      </c>
      <c r="Y240" s="1467">
        <f t="shared" si="1037"/>
        <v>226875.00000000003</v>
      </c>
      <c r="Z240" s="1467">
        <f t="shared" si="1037"/>
        <v>226875.00000000003</v>
      </c>
      <c r="AA240" s="1467">
        <f t="shared" si="1037"/>
        <v>226875.00000000003</v>
      </c>
      <c r="AB240" s="1467">
        <f t="shared" si="1027"/>
        <v>226875.00000000003</v>
      </c>
      <c r="AC240" s="1467">
        <f t="shared" si="1027"/>
        <v>226875.00000000003</v>
      </c>
      <c r="AD240" s="1467">
        <f t="shared" si="1027"/>
        <v>226875.00000000003</v>
      </c>
      <c r="AE240" s="1467">
        <f t="shared" si="1027"/>
        <v>226875.00000000003</v>
      </c>
      <c r="AF240" s="1467">
        <f t="shared" si="1027"/>
        <v>226875.00000000003</v>
      </c>
      <c r="AG240" s="1467">
        <f t="shared" si="1027"/>
        <v>226875.00000000003</v>
      </c>
      <c r="AH240" s="1467">
        <f t="shared" si="1027"/>
        <v>226875.00000000003</v>
      </c>
      <c r="AI240" s="1467">
        <f t="shared" si="1027"/>
        <v>226875.00000000003</v>
      </c>
      <c r="AJ240" s="1467">
        <f t="shared" si="1027"/>
        <v>226875.00000000003</v>
      </c>
      <c r="AK240" s="1467">
        <f t="shared" si="1027"/>
        <v>226875.00000000003</v>
      </c>
      <c r="AL240" s="1467">
        <f t="shared" si="1027"/>
        <v>226875.00000000003</v>
      </c>
      <c r="AM240" s="1467">
        <f t="shared" si="1027"/>
        <v>226875.00000000003</v>
      </c>
      <c r="AN240" s="1467">
        <f t="shared" si="1027"/>
        <v>226875.00000000003</v>
      </c>
      <c r="AO240" s="1467">
        <f t="shared" si="1027"/>
        <v>226875.00000000003</v>
      </c>
      <c r="AP240" s="1468">
        <f t="shared" si="1035"/>
        <v>6806250.0000000009</v>
      </c>
      <c r="AQ240" s="1482"/>
      <c r="AR240" s="1467">
        <f t="shared" si="987"/>
        <v>6579375.0000000009</v>
      </c>
      <c r="AS240" s="1467">
        <f t="shared" si="988"/>
        <v>6352500.0000000009</v>
      </c>
      <c r="AT240" s="1467">
        <f t="shared" si="953"/>
        <v>6125625.0000000009</v>
      </c>
      <c r="AU240" s="1467">
        <f t="shared" si="954"/>
        <v>5898750.0000000009</v>
      </c>
      <c r="AV240" s="1467">
        <f t="shared" si="955"/>
        <v>5671875.0000000009</v>
      </c>
      <c r="AW240" s="1467">
        <f t="shared" si="956"/>
        <v>5445000.0000000009</v>
      </c>
      <c r="AX240" s="1467">
        <f t="shared" si="957"/>
        <v>5218125.0000000009</v>
      </c>
      <c r="AY240" s="1467">
        <f t="shared" si="958"/>
        <v>4991250.0000000009</v>
      </c>
      <c r="AZ240" s="1467">
        <f t="shared" si="959"/>
        <v>4764375.0000000009</v>
      </c>
      <c r="BA240" s="1467">
        <f t="shared" si="960"/>
        <v>4537500.0000000009</v>
      </c>
      <c r="BB240" s="1467">
        <f t="shared" si="961"/>
        <v>4310625.0000000009</v>
      </c>
      <c r="BC240" s="1467">
        <f t="shared" si="962"/>
        <v>4083750.0000000009</v>
      </c>
      <c r="BD240" s="1467">
        <f t="shared" si="963"/>
        <v>3856875.0000000009</v>
      </c>
      <c r="BE240" s="1467">
        <f t="shared" si="964"/>
        <v>3630000.0000000009</v>
      </c>
      <c r="BF240" s="1467">
        <f t="shared" si="965"/>
        <v>3403125.0000000009</v>
      </c>
      <c r="BG240" s="1467">
        <f t="shared" si="966"/>
        <v>3176250.0000000009</v>
      </c>
      <c r="BH240" s="1467">
        <f t="shared" si="967"/>
        <v>2949375.0000000009</v>
      </c>
      <c r="BI240" s="1467">
        <f t="shared" si="968"/>
        <v>2722500.0000000009</v>
      </c>
      <c r="BJ240" s="1467">
        <f t="shared" si="969"/>
        <v>2495625.0000000009</v>
      </c>
      <c r="BK240" s="1467">
        <f t="shared" si="970"/>
        <v>2268750.0000000009</v>
      </c>
      <c r="BL240" s="1467">
        <f t="shared" si="971"/>
        <v>2041875.0000000009</v>
      </c>
      <c r="BM240" s="1467">
        <f t="shared" si="972"/>
        <v>1815000.0000000009</v>
      </c>
      <c r="BN240" s="1467">
        <f t="shared" si="973"/>
        <v>1588125.0000000009</v>
      </c>
      <c r="BO240" s="1467">
        <f t="shared" si="974"/>
        <v>1361250.0000000009</v>
      </c>
      <c r="BP240" s="1467">
        <f t="shared" si="975"/>
        <v>1134375.0000000009</v>
      </c>
      <c r="BQ240" s="1467">
        <f t="shared" si="976"/>
        <v>907500.00000000093</v>
      </c>
      <c r="BR240" s="1467">
        <f t="shared" si="977"/>
        <v>680625.00000000093</v>
      </c>
      <c r="BS240" s="1467">
        <f t="shared" si="978"/>
        <v>453750.00000000093</v>
      </c>
      <c r="BT240" s="1467">
        <f t="shared" si="979"/>
        <v>226875.0000000009</v>
      </c>
      <c r="BU240" s="1467">
        <f t="shared" si="980"/>
        <v>8.7311491370201111E-10</v>
      </c>
      <c r="BV240" s="1485"/>
    </row>
    <row r="241" spans="2:74" x14ac:dyDescent="0.2">
      <c r="C241" s="1076" t="str">
        <f t="shared" si="1025"/>
        <v>Cane trash (Cellulosic)</v>
      </c>
      <c r="D241" s="1076" t="str">
        <f>Assumptions!$AH$81</f>
        <v>Straight-Line</v>
      </c>
      <c r="E241" s="926" t="s">
        <v>995</v>
      </c>
      <c r="G241" s="1467">
        <f>G230</f>
        <v>24500000</v>
      </c>
      <c r="H241" s="1467">
        <f t="shared" ref="H241" si="1039">G241*(1+$F$5)</f>
        <v>26950000.000000004</v>
      </c>
      <c r="I241" s="1467">
        <f t="shared" ref="I241" si="1040">H241*(1+$F$6)</f>
        <v>26950000.000000004</v>
      </c>
      <c r="J241" s="1161">
        <f t="shared" si="1030"/>
        <v>3.3333333333333333E-2</v>
      </c>
      <c r="K241" s="1107"/>
      <c r="L241" s="1467">
        <f t="shared" si="1037"/>
        <v>898333.33333333349</v>
      </c>
      <c r="M241" s="1467">
        <f t="shared" si="1037"/>
        <v>898333.33333333349</v>
      </c>
      <c r="N241" s="1467">
        <f t="shared" si="1037"/>
        <v>898333.33333333349</v>
      </c>
      <c r="O241" s="1467">
        <f t="shared" si="1037"/>
        <v>898333.33333333349</v>
      </c>
      <c r="P241" s="1467">
        <f t="shared" si="1037"/>
        <v>898333.33333333349</v>
      </c>
      <c r="Q241" s="1467">
        <f t="shared" si="1037"/>
        <v>898333.33333333349</v>
      </c>
      <c r="R241" s="1467">
        <f t="shared" si="1037"/>
        <v>898333.33333333349</v>
      </c>
      <c r="S241" s="1467">
        <f t="shared" si="1037"/>
        <v>898333.33333333349</v>
      </c>
      <c r="T241" s="1467">
        <f t="shared" si="1037"/>
        <v>898333.33333333349</v>
      </c>
      <c r="U241" s="1467">
        <f t="shared" si="1037"/>
        <v>898333.33333333349</v>
      </c>
      <c r="V241" s="1467">
        <f t="shared" si="1037"/>
        <v>898333.33333333349</v>
      </c>
      <c r="W241" s="1467">
        <f t="shared" si="1037"/>
        <v>898333.33333333349</v>
      </c>
      <c r="X241" s="1467">
        <f t="shared" si="1037"/>
        <v>898333.33333333349</v>
      </c>
      <c r="Y241" s="1467">
        <f t="shared" si="1037"/>
        <v>898333.33333333349</v>
      </c>
      <c r="Z241" s="1467">
        <f t="shared" si="1037"/>
        <v>898333.33333333349</v>
      </c>
      <c r="AA241" s="1467">
        <f t="shared" si="1037"/>
        <v>898333.33333333349</v>
      </c>
      <c r="AB241" s="1467">
        <f t="shared" si="1027"/>
        <v>898333.33333333349</v>
      </c>
      <c r="AC241" s="1467">
        <f t="shared" si="1027"/>
        <v>898333.33333333349</v>
      </c>
      <c r="AD241" s="1467">
        <f t="shared" si="1027"/>
        <v>898333.33333333349</v>
      </c>
      <c r="AE241" s="1467">
        <f t="shared" si="1027"/>
        <v>898333.33333333349</v>
      </c>
      <c r="AF241" s="1467">
        <f t="shared" si="1027"/>
        <v>898333.33333333349</v>
      </c>
      <c r="AG241" s="1467">
        <f t="shared" si="1027"/>
        <v>898333.33333333349</v>
      </c>
      <c r="AH241" s="1467">
        <f t="shared" si="1027"/>
        <v>898333.33333333349</v>
      </c>
      <c r="AI241" s="1467">
        <f t="shared" si="1027"/>
        <v>898333.33333333349</v>
      </c>
      <c r="AJ241" s="1467">
        <f t="shared" si="1027"/>
        <v>898333.33333333349</v>
      </c>
      <c r="AK241" s="1467">
        <f t="shared" si="1027"/>
        <v>898333.33333333349</v>
      </c>
      <c r="AL241" s="1467">
        <f t="shared" si="1027"/>
        <v>898333.33333333349</v>
      </c>
      <c r="AM241" s="1467">
        <f t="shared" si="1027"/>
        <v>898333.33333333349</v>
      </c>
      <c r="AN241" s="1467">
        <f t="shared" si="1027"/>
        <v>898333.33333333349</v>
      </c>
      <c r="AO241" s="1467">
        <f t="shared" si="1027"/>
        <v>898333.33333333349</v>
      </c>
      <c r="AP241" s="1468">
        <f t="shared" ref="AP241" si="1041">SUM(L241:AO241)</f>
        <v>26949999.999999996</v>
      </c>
      <c r="AQ241" s="1482"/>
      <c r="AR241" s="1467">
        <f t="shared" ref="AR241" si="1042">I241-L241</f>
        <v>26051666.666666672</v>
      </c>
      <c r="AS241" s="1467">
        <f t="shared" ref="AS241" si="1043">AR241-M241</f>
        <v>25153333.33333334</v>
      </c>
      <c r="AT241" s="1467">
        <f t="shared" ref="AT241" si="1044">AS241-N241</f>
        <v>24255000.000000007</v>
      </c>
      <c r="AU241" s="1467">
        <f t="shared" ref="AU241" si="1045">AT241-O241</f>
        <v>23356666.666666675</v>
      </c>
      <c r="AV241" s="1467">
        <f t="shared" ref="AV241" si="1046">AU241-P241</f>
        <v>22458333.333333343</v>
      </c>
      <c r="AW241" s="1467">
        <f t="shared" ref="AW241" si="1047">AV241-Q241</f>
        <v>21560000.000000011</v>
      </c>
      <c r="AX241" s="1467">
        <f t="shared" ref="AX241" si="1048">AW241-R241</f>
        <v>20661666.666666679</v>
      </c>
      <c r="AY241" s="1467">
        <f t="shared" ref="AY241" si="1049">AX241-S241</f>
        <v>19763333.333333347</v>
      </c>
      <c r="AZ241" s="1467">
        <f t="shared" ref="AZ241" si="1050">AY241-T241</f>
        <v>18865000.000000015</v>
      </c>
      <c r="BA241" s="1467">
        <f t="shared" ref="BA241" si="1051">AZ241-U241</f>
        <v>17966666.666666683</v>
      </c>
      <c r="BB241" s="1467">
        <f t="shared" ref="BB241" si="1052">BA241-V241</f>
        <v>17068333.333333351</v>
      </c>
      <c r="BC241" s="1467">
        <f t="shared" ref="BC241" si="1053">BB241-W241</f>
        <v>16170000.000000017</v>
      </c>
      <c r="BD241" s="1467">
        <f t="shared" ref="BD241" si="1054">BC241-X241</f>
        <v>15271666.666666683</v>
      </c>
      <c r="BE241" s="1467">
        <f t="shared" ref="BE241" si="1055">BD241-Y241</f>
        <v>14373333.333333349</v>
      </c>
      <c r="BF241" s="1467">
        <f t="shared" ref="BF241" si="1056">BE241-Z241</f>
        <v>13475000.000000015</v>
      </c>
      <c r="BG241" s="1467">
        <f t="shared" ref="BG241" si="1057">BF241-AA241</f>
        <v>12576666.666666681</v>
      </c>
      <c r="BH241" s="1467">
        <f t="shared" ref="BH241" si="1058">BG241-AB241</f>
        <v>11678333.333333347</v>
      </c>
      <c r="BI241" s="1467">
        <f t="shared" ref="BI241" si="1059">BH241-AC241</f>
        <v>10780000.000000013</v>
      </c>
      <c r="BJ241" s="1467">
        <f t="shared" ref="BJ241" si="1060">BI241-AD241</f>
        <v>9881666.6666666791</v>
      </c>
      <c r="BK241" s="1467">
        <f t="shared" ref="BK241" si="1061">BJ241-AE241</f>
        <v>8983333.3333333451</v>
      </c>
      <c r="BL241" s="1467">
        <f t="shared" ref="BL241" si="1062">BK241-AF241</f>
        <v>8085000.0000000112</v>
      </c>
      <c r="BM241" s="1467">
        <f t="shared" ref="BM241" si="1063">BL241-AG241</f>
        <v>7186666.6666666772</v>
      </c>
      <c r="BN241" s="1467">
        <f t="shared" ref="BN241" si="1064">BM241-AH241</f>
        <v>6288333.3333333433</v>
      </c>
      <c r="BO241" s="1467">
        <f t="shared" ref="BO241" si="1065">BN241-AI241</f>
        <v>5390000.0000000093</v>
      </c>
      <c r="BP241" s="1467">
        <f t="shared" ref="BP241" si="1066">BO241-AJ241</f>
        <v>4491666.6666666754</v>
      </c>
      <c r="BQ241" s="1467">
        <f t="shared" ref="BQ241" si="1067">BP241-AK241</f>
        <v>3593333.3333333419</v>
      </c>
      <c r="BR241" s="1467">
        <f t="shared" ref="BR241" si="1068">BQ241-AL241</f>
        <v>2695000.0000000084</v>
      </c>
      <c r="BS241" s="1467">
        <f t="shared" ref="BS241" si="1069">BR241-AM241</f>
        <v>1796666.6666666749</v>
      </c>
      <c r="BT241" s="1467">
        <f t="shared" ref="BT241" si="1070">BS241-AN241</f>
        <v>898333.3333333414</v>
      </c>
      <c r="BU241" s="1467">
        <f t="shared" ref="BU241" si="1071">BT241-AO241</f>
        <v>7.9162418842315674E-9</v>
      </c>
      <c r="BV241" s="1485"/>
    </row>
    <row r="242" spans="2:74" x14ac:dyDescent="0.2">
      <c r="B242" s="1297" t="str">
        <f>"Total Depreciation "&amp;C221&amp;" ("&amp;B220&amp;") over 30 years"</f>
        <v>Total Depreciation Cane trash (Cellulosic) (Accelerated) over 30 years</v>
      </c>
      <c r="C242" s="1107"/>
      <c r="D242" s="1107"/>
      <c r="E242" s="1107"/>
      <c r="F242" s="1107"/>
      <c r="G242" s="1107">
        <f t="shared" ref="G242:G243" si="1072">F242*(1+$F$4)</f>
        <v>0</v>
      </c>
      <c r="H242" s="1107">
        <f t="shared" ref="H242:H243" si="1073">G242*(1+$F$5)</f>
        <v>0</v>
      </c>
      <c r="I242" s="1107">
        <f t="shared" ref="I242" si="1074">H242*(1+$F$6)</f>
        <v>0</v>
      </c>
      <c r="J242" s="1472">
        <f>IFERROR(INDEX(Assumptions!$AI$82:$AI$164,MATCH(Depreciation!$D242,Assumptions!$AH$81:$AH$163,0)),0)</f>
        <v>0</v>
      </c>
      <c r="K242" s="1107"/>
      <c r="L242" s="1468">
        <f>SUM(L221:L230)</f>
        <v>58342625</v>
      </c>
      <c r="M242" s="1468">
        <f t="shared" ref="M242:AP242" si="1075">SUM(M221:M230)</f>
        <v>46674100</v>
      </c>
      <c r="N242" s="1468">
        <f t="shared" si="1075"/>
        <v>37339280</v>
      </c>
      <c r="O242" s="1468">
        <f t="shared" si="1075"/>
        <v>29871424</v>
      </c>
      <c r="P242" s="1468">
        <f t="shared" si="1075"/>
        <v>23897139.200000003</v>
      </c>
      <c r="Q242" s="1468">
        <f t="shared" si="1075"/>
        <v>19117711.359999999</v>
      </c>
      <c r="R242" s="1468">
        <f t="shared" si="1075"/>
        <v>15294169.088</v>
      </c>
      <c r="S242" s="1468">
        <f t="shared" si="1075"/>
        <v>12235335.270400001</v>
      </c>
      <c r="T242" s="1468">
        <f t="shared" si="1075"/>
        <v>9788268.2163200043</v>
      </c>
      <c r="U242" s="1468">
        <f t="shared" si="1075"/>
        <v>7830614.5730560012</v>
      </c>
      <c r="V242" s="1468">
        <f t="shared" si="1075"/>
        <v>6264491.6584447986</v>
      </c>
      <c r="W242" s="1468">
        <f t="shared" si="1075"/>
        <v>5011593.3267558385</v>
      </c>
      <c r="X242" s="1468">
        <f t="shared" si="1075"/>
        <v>4009274.6614046702</v>
      </c>
      <c r="Y242" s="1468">
        <f t="shared" si="1075"/>
        <v>3207419.7291237377</v>
      </c>
      <c r="Z242" s="1468">
        <f t="shared" si="1075"/>
        <v>2565935.7832989888</v>
      </c>
      <c r="AA242" s="1468">
        <f t="shared" si="1075"/>
        <v>2052748.6266391922</v>
      </c>
      <c r="AB242" s="1468">
        <f t="shared" si="1075"/>
        <v>1642198.9013113545</v>
      </c>
      <c r="AC242" s="1468">
        <f t="shared" si="1075"/>
        <v>1313759.1210490861</v>
      </c>
      <c r="AD242" s="1468">
        <f t="shared" si="1075"/>
        <v>1051007.2968392707</v>
      </c>
      <c r="AE242" s="1468">
        <f t="shared" si="1075"/>
        <v>840805.83747141692</v>
      </c>
      <c r="AF242" s="1468">
        <f t="shared" si="1075"/>
        <v>672644.66997713596</v>
      </c>
      <c r="AG242" s="1468">
        <f t="shared" si="1075"/>
        <v>538115.73598170956</v>
      </c>
      <c r="AH242" s="1468">
        <f t="shared" si="1075"/>
        <v>430492.58878536819</v>
      </c>
      <c r="AI242" s="1468">
        <f t="shared" si="1075"/>
        <v>344394.07102829666</v>
      </c>
      <c r="AJ242" s="1468">
        <f t="shared" si="1075"/>
        <v>275515.25682263676</v>
      </c>
      <c r="AK242" s="1468">
        <f t="shared" si="1075"/>
        <v>220412.20545810796</v>
      </c>
      <c r="AL242" s="1468">
        <f t="shared" si="1075"/>
        <v>176329.76436648855</v>
      </c>
      <c r="AM242" s="1468">
        <f t="shared" si="1075"/>
        <v>141063.81149319262</v>
      </c>
      <c r="AN242" s="1468">
        <f t="shared" si="1075"/>
        <v>112851.049194555</v>
      </c>
      <c r="AO242" s="1468">
        <f t="shared" si="1075"/>
        <v>90280.839355646065</v>
      </c>
      <c r="AP242" s="1468">
        <f t="shared" si="1075"/>
        <v>291352001.64257741</v>
      </c>
      <c r="AQ242" s="1482"/>
      <c r="AR242" s="1297"/>
      <c r="AS242" s="1297"/>
      <c r="AT242" s="1297"/>
      <c r="AU242" s="1297"/>
      <c r="AV242" s="1297"/>
      <c r="AW242" s="1297"/>
      <c r="AX242" s="1297"/>
      <c r="AY242" s="1297"/>
      <c r="AZ242" s="1297"/>
      <c r="BA242" s="1297"/>
      <c r="BB242" s="1297"/>
      <c r="BC242" s="1297"/>
      <c r="BD242" s="1297"/>
      <c r="BE242" s="1297"/>
      <c r="BF242" s="1297"/>
      <c r="BG242" s="1297"/>
      <c r="BH242" s="1297"/>
      <c r="BI242" s="1297"/>
      <c r="BJ242" s="1297"/>
      <c r="BK242" s="1297"/>
      <c r="BL242" s="1297"/>
      <c r="BM242" s="1297"/>
      <c r="BN242" s="1297"/>
      <c r="BO242" s="1297"/>
      <c r="BP242" s="1297"/>
      <c r="BQ242" s="1297"/>
      <c r="BR242" s="1297"/>
      <c r="BS242" s="1297"/>
      <c r="BT242" s="1297"/>
      <c r="BU242" s="1297"/>
      <c r="BV242" s="1485"/>
    </row>
    <row r="243" spans="2:74" x14ac:dyDescent="0.2">
      <c r="B243" s="1297" t="str">
        <f>"Total Depreciation "&amp;C221&amp;" ("&amp;B231&amp;") over 30 years"</f>
        <v>Total Depreciation Cane trash (Cellulosic) (Straight-Line) over 30 years</v>
      </c>
      <c r="C243" s="1107"/>
      <c r="D243" s="1107"/>
      <c r="E243" s="1107"/>
      <c r="F243" s="1107"/>
      <c r="G243" s="1107">
        <f t="shared" si="1072"/>
        <v>0</v>
      </c>
      <c r="H243" s="1107">
        <f t="shared" si="1073"/>
        <v>0</v>
      </c>
      <c r="I243" s="1468">
        <f>SUM(I232:I241)</f>
        <v>291713125</v>
      </c>
      <c r="J243" s="1472">
        <f>IFERROR(INDEX(Assumptions!$AI$82:$AI$164,MATCH(Depreciation!$D243,Assumptions!$AH$81:$AH$163,0)),0)</f>
        <v>0</v>
      </c>
      <c r="K243" s="1107"/>
      <c r="L243" s="1468">
        <f>SUM(L232:L241)</f>
        <v>9723770.833333334</v>
      </c>
      <c r="M243" s="1468">
        <f t="shared" ref="M243:AP243" si="1076">SUM(M232:M241)</f>
        <v>9723770.833333334</v>
      </c>
      <c r="N243" s="1468">
        <f t="shared" si="1076"/>
        <v>9723770.833333334</v>
      </c>
      <c r="O243" s="1468">
        <f t="shared" si="1076"/>
        <v>9723770.833333334</v>
      </c>
      <c r="P243" s="1468">
        <f t="shared" si="1076"/>
        <v>9723770.833333334</v>
      </c>
      <c r="Q243" s="1468">
        <f t="shared" si="1076"/>
        <v>9723770.833333334</v>
      </c>
      <c r="R243" s="1468">
        <f t="shared" si="1076"/>
        <v>9723770.833333334</v>
      </c>
      <c r="S243" s="1468">
        <f t="shared" si="1076"/>
        <v>9723770.833333334</v>
      </c>
      <c r="T243" s="1468">
        <f t="shared" si="1076"/>
        <v>9723770.833333334</v>
      </c>
      <c r="U243" s="1468">
        <f t="shared" si="1076"/>
        <v>9723770.833333334</v>
      </c>
      <c r="V243" s="1468">
        <f t="shared" si="1076"/>
        <v>9723770.833333334</v>
      </c>
      <c r="W243" s="1468">
        <f t="shared" si="1076"/>
        <v>9723770.833333334</v>
      </c>
      <c r="X243" s="1468">
        <f t="shared" si="1076"/>
        <v>9723770.833333334</v>
      </c>
      <c r="Y243" s="1468">
        <f t="shared" si="1076"/>
        <v>9723770.833333334</v>
      </c>
      <c r="Z243" s="1468">
        <f t="shared" si="1076"/>
        <v>9723770.833333334</v>
      </c>
      <c r="AA243" s="1468">
        <f t="shared" si="1076"/>
        <v>9723770.833333334</v>
      </c>
      <c r="AB243" s="1468">
        <f t="shared" si="1076"/>
        <v>9723770.833333334</v>
      </c>
      <c r="AC243" s="1468">
        <f t="shared" si="1076"/>
        <v>9723770.833333334</v>
      </c>
      <c r="AD243" s="1468">
        <f t="shared" si="1076"/>
        <v>9723770.833333334</v>
      </c>
      <c r="AE243" s="1468">
        <f t="shared" si="1076"/>
        <v>9723770.833333334</v>
      </c>
      <c r="AF243" s="1468">
        <f t="shared" si="1076"/>
        <v>9723770.833333334</v>
      </c>
      <c r="AG243" s="1468">
        <f t="shared" si="1076"/>
        <v>9723770.833333334</v>
      </c>
      <c r="AH243" s="1468">
        <f t="shared" si="1076"/>
        <v>9723770.833333334</v>
      </c>
      <c r="AI243" s="1468">
        <f t="shared" si="1076"/>
        <v>9723770.833333334</v>
      </c>
      <c r="AJ243" s="1468">
        <f t="shared" si="1076"/>
        <v>9723770.833333334</v>
      </c>
      <c r="AK243" s="1468">
        <f t="shared" si="1076"/>
        <v>9723770.833333334</v>
      </c>
      <c r="AL243" s="1468">
        <f t="shared" si="1076"/>
        <v>9723770.833333334</v>
      </c>
      <c r="AM243" s="1468">
        <f t="shared" si="1076"/>
        <v>9723770.833333334</v>
      </c>
      <c r="AN243" s="1468">
        <f t="shared" si="1076"/>
        <v>9723770.833333334</v>
      </c>
      <c r="AO243" s="1468">
        <f t="shared" si="1076"/>
        <v>9723770.833333334</v>
      </c>
      <c r="AP243" s="1468">
        <f t="shared" si="1076"/>
        <v>291713125</v>
      </c>
      <c r="AQ243" s="1482"/>
      <c r="AR243" s="1297"/>
      <c r="AS243" s="1297"/>
      <c r="AT243" s="1297"/>
      <c r="AU243" s="1297"/>
      <c r="AV243" s="1297"/>
      <c r="AW243" s="1297"/>
      <c r="AX243" s="1297"/>
      <c r="AY243" s="1297"/>
      <c r="AZ243" s="1297"/>
      <c r="BA243" s="1297"/>
      <c r="BB243" s="1297"/>
      <c r="BC243" s="1297"/>
      <c r="BD243" s="1297"/>
      <c r="BE243" s="1297"/>
      <c r="BF243" s="1297"/>
      <c r="BG243" s="1297"/>
      <c r="BH243" s="1297"/>
      <c r="BI243" s="1297"/>
      <c r="BJ243" s="1297"/>
      <c r="BK243" s="1297"/>
      <c r="BL243" s="1297"/>
      <c r="BM243" s="1297"/>
      <c r="BN243" s="1297"/>
      <c r="BO243" s="1297"/>
      <c r="BP243" s="1297"/>
      <c r="BQ243" s="1297"/>
      <c r="BR243" s="1297"/>
      <c r="BS243" s="1297"/>
      <c r="BT243" s="1297"/>
      <c r="BU243" s="1297"/>
      <c r="BV243" s="1485"/>
    </row>
    <row r="244" spans="2:74" x14ac:dyDescent="0.2">
      <c r="L244" s="1476"/>
    </row>
  </sheetData>
  <sheetProtection password="C82C" sheet="1" objects="1" scenarios="1" selectLockedCells="1" selectUnlockedCells="1"/>
  <mergeCells count="3">
    <mergeCell ref="F8:F10"/>
    <mergeCell ref="J8:J10"/>
    <mergeCell ref="AP8:AP10"/>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C371"/>
  <sheetViews>
    <sheetView showGridLines="0" topLeftCell="D1" zoomScale="85" zoomScaleNormal="85" workbookViewId="0">
      <selection activeCell="F2" sqref="F2"/>
    </sheetView>
  </sheetViews>
  <sheetFormatPr defaultRowHeight="12.75" x14ac:dyDescent="0.2"/>
  <cols>
    <col min="1" max="1" width="2.5703125" style="731" hidden="1" customWidth="1"/>
    <col min="2" max="2" width="2.140625" style="731" hidden="1" customWidth="1"/>
    <col min="3" max="3" width="3.28515625" style="731" hidden="1" customWidth="1"/>
    <col min="4" max="4" width="1.5703125" style="615" customWidth="1"/>
    <col min="5" max="5" width="42.7109375" style="615" customWidth="1"/>
    <col min="6" max="6" width="18.7109375" style="615" customWidth="1"/>
    <col min="7" max="7" width="1.85546875" style="615" customWidth="1"/>
    <col min="8" max="8" width="10.5703125" style="615" customWidth="1"/>
    <col min="9" max="23" width="10.7109375" style="615" customWidth="1"/>
    <col min="24" max="16384" width="9.140625" style="615"/>
  </cols>
  <sheetData>
    <row r="1" spans="4:15" ht="15.75" x14ac:dyDescent="0.25">
      <c r="E1" s="886" t="s">
        <v>940</v>
      </c>
      <c r="F1" s="859"/>
      <c r="G1" s="859"/>
      <c r="H1" s="859"/>
    </row>
    <row r="2" spans="4:15" ht="11.25" customHeight="1" x14ac:dyDescent="0.25">
      <c r="E2" s="859"/>
      <c r="F2" s="859"/>
      <c r="G2" s="859"/>
      <c r="H2" s="859"/>
    </row>
    <row r="3" spans="4:15" x14ac:dyDescent="0.2">
      <c r="I3" s="766"/>
      <c r="J3" s="883" t="s">
        <v>923</v>
      </c>
      <c r="K3" s="884">
        <f>Assumptions!$C$32</f>
        <v>6.9000000000000006E-2</v>
      </c>
      <c r="L3" s="766"/>
    </row>
    <row r="4" spans="4:15" x14ac:dyDescent="0.2">
      <c r="I4" s="766"/>
      <c r="J4" s="883" t="s">
        <v>941</v>
      </c>
      <c r="K4" s="885">
        <f>Assumptions!J23</f>
        <v>30</v>
      </c>
      <c r="L4" s="766" t="s">
        <v>474</v>
      </c>
    </row>
    <row r="5" spans="4:15" x14ac:dyDescent="0.2">
      <c r="I5" s="766"/>
      <c r="J5" s="883" t="s">
        <v>942</v>
      </c>
      <c r="K5" s="885">
        <f>Assumptions!M23</f>
        <v>30</v>
      </c>
      <c r="L5" s="766" t="s">
        <v>474</v>
      </c>
    </row>
    <row r="6" spans="4:15" x14ac:dyDescent="0.2">
      <c r="I6" s="766"/>
      <c r="J6" s="883" t="s">
        <v>827</v>
      </c>
      <c r="K6" s="884">
        <f>Assumptions!J21</f>
        <v>2.4E-2</v>
      </c>
      <c r="L6" s="766" t="s">
        <v>943</v>
      </c>
    </row>
    <row r="7" spans="4:15" x14ac:dyDescent="0.2">
      <c r="J7" s="734" t="s">
        <v>24</v>
      </c>
      <c r="K7" s="761">
        <f>Assumptions!C5</f>
        <v>100</v>
      </c>
      <c r="L7" s="615" t="s">
        <v>837</v>
      </c>
    </row>
    <row r="8" spans="4:15" x14ac:dyDescent="0.2">
      <c r="J8" s="734" t="s">
        <v>844</v>
      </c>
      <c r="K8" s="885">
        <v>15</v>
      </c>
      <c r="L8" s="615" t="s">
        <v>474</v>
      </c>
    </row>
    <row r="9" spans="4:15" x14ac:dyDescent="0.2">
      <c r="D9" s="165" t="s">
        <v>841</v>
      </c>
      <c r="J9" s="734" t="s">
        <v>944</v>
      </c>
      <c r="K9" s="882">
        <v>0.5</v>
      </c>
      <c r="L9" s="766"/>
    </row>
    <row r="10" spans="4:15" ht="25.5" x14ac:dyDescent="0.2">
      <c r="D10" s="765"/>
      <c r="E10" s="741" t="s">
        <v>285</v>
      </c>
      <c r="F10" s="742" t="s">
        <v>840</v>
      </c>
      <c r="J10" s="883" t="s">
        <v>945</v>
      </c>
      <c r="K10" s="884">
        <f>'WACC parameters '!$C$51</f>
        <v>0.25</v>
      </c>
      <c r="L10" s="766"/>
      <c r="M10" s="766"/>
      <c r="N10" s="766"/>
      <c r="O10" s="766"/>
    </row>
    <row r="11" spans="4:15" x14ac:dyDescent="0.2">
      <c r="E11" s="739" t="str">
        <f>'Summary Tables'!$E$5</f>
        <v>Wheat Standalone (Starch)</v>
      </c>
      <c r="F11" s="739">
        <f>'Wheat Standalone (Starch)'!L267*10^6</f>
        <v>1471800</v>
      </c>
      <c r="J11" s="883" t="s">
        <v>1023</v>
      </c>
      <c r="K11" s="884">
        <f>Assumptions!F32</f>
        <v>4.2000000000000003E-2</v>
      </c>
      <c r="L11" s="766"/>
      <c r="M11" s="766"/>
      <c r="N11" s="766"/>
      <c r="O11" s="766"/>
    </row>
    <row r="12" spans="4:15" x14ac:dyDescent="0.2">
      <c r="E12" s="739" t="str">
        <f>'Summary Tables'!F5</f>
        <v>Wheat Integrated (Starch)</v>
      </c>
      <c r="F12" s="739">
        <f>'Wheat Integrated (Starch)'!L268*10^6</f>
        <v>1471800</v>
      </c>
      <c r="J12" s="883" t="s">
        <v>911</v>
      </c>
      <c r="K12" s="885">
        <f>'WACC parameters '!$C$54</f>
        <v>0.25</v>
      </c>
      <c r="L12" s="766"/>
    </row>
    <row r="13" spans="4:15" x14ac:dyDescent="0.2">
      <c r="E13" s="739" t="str">
        <f>'Summary Tables'!$G$5</f>
        <v>Imported Starch</v>
      </c>
      <c r="F13" s="739">
        <f>'Imported Starch'!L270*10^6</f>
        <v>1444575</v>
      </c>
      <c r="J13" s="883" t="s">
        <v>912</v>
      </c>
      <c r="K13" s="884">
        <f>'WACC parameters '!$C$55</f>
        <v>0.3</v>
      </c>
      <c r="L13" s="766"/>
    </row>
    <row r="14" spans="4:15" x14ac:dyDescent="0.2">
      <c r="E14" s="739" t="str">
        <f>'Summary Tables'!$H$5</f>
        <v>Sorghum (Starch)</v>
      </c>
      <c r="F14" s="739">
        <f>'Sorgum (Starch)'!L268*10^6</f>
        <v>1798500.0000000002</v>
      </c>
      <c r="J14" s="734"/>
      <c r="K14" s="740"/>
      <c r="L14" s="766"/>
    </row>
    <row r="15" spans="4:15" x14ac:dyDescent="0.2">
      <c r="E15" s="739" t="str">
        <f>'Summary Tables'!$I$5</f>
        <v>C-Syrup (Sucrosic)</v>
      </c>
      <c r="F15" s="739">
        <f>'C-Syrup (Sucrosic)'!K220*10^6</f>
        <v>1478606.2500000002</v>
      </c>
      <c r="J15" s="734"/>
      <c r="K15" s="740"/>
    </row>
    <row r="16" spans="4:15" x14ac:dyDescent="0.2">
      <c r="E16" s="739" t="str">
        <f>'Summary Tables'!$J$5</f>
        <v>B-Syrup (Sucrosic)</v>
      </c>
      <c r="F16" s="739">
        <f>'B-Syrup (Sucrosic)'!K220*10^6</f>
        <v>1478606.2500000002</v>
      </c>
    </row>
    <row r="17" spans="1:11" x14ac:dyDescent="0.2">
      <c r="E17" s="739" t="str">
        <f>'Summary Tables'!$K$5</f>
        <v>Cane trash (Cellulosic)</v>
      </c>
      <c r="F17" s="739">
        <f>'Cane trash (Cellulosic)'!L289*10^6</f>
        <v>2917131.25</v>
      </c>
    </row>
    <row r="18" spans="1:11" x14ac:dyDescent="0.2">
      <c r="E18" s="739" t="str">
        <f>'Summary Tables'!$L$5</f>
        <v>Forest Residues (Cellulosic)</v>
      </c>
      <c r="F18" s="739">
        <f>'Forest Residues (Cellulosic)'!L289*10^6</f>
        <v>2869487.5000000005</v>
      </c>
      <c r="J18" s="734"/>
      <c r="K18" s="740"/>
    </row>
    <row r="19" spans="1:11" x14ac:dyDescent="0.2">
      <c r="J19" s="734"/>
      <c r="K19" s="740"/>
    </row>
    <row r="20" spans="1:11" x14ac:dyDescent="0.2">
      <c r="D20" s="165" t="s">
        <v>843</v>
      </c>
      <c r="J20" s="734"/>
      <c r="K20" s="740"/>
    </row>
    <row r="21" spans="1:11" ht="38.25" customHeight="1" x14ac:dyDescent="0.2">
      <c r="D21" s="765"/>
      <c r="E21" s="741" t="s">
        <v>285</v>
      </c>
      <c r="F21" s="746" t="str">
        <f>K8&amp;" year average Ethanol Charge ($/L)"</f>
        <v>15 year average Ethanol Charge ($/L)</v>
      </c>
      <c r="J21" s="734"/>
      <c r="K21" s="740"/>
    </row>
    <row r="22" spans="1:11" x14ac:dyDescent="0.2">
      <c r="A22" s="731" t="str">
        <f t="shared" ref="A22:A29" si="0">$E$86&amp;"."&amp;E22</f>
        <v>15 year average Ethanol Charge.Wheat Standalone (Starch)</v>
      </c>
      <c r="E22" s="739" t="str">
        <f t="shared" ref="E22:E29" si="1">E11</f>
        <v>Wheat Standalone (Starch)</v>
      </c>
      <c r="F22" s="748">
        <f t="shared" ref="F22:F29" ca="1" si="2">INDEX($I:$I,MATCH($A22,$B:$B,0))</f>
        <v>0.14759712977952097</v>
      </c>
      <c r="H22" s="860"/>
      <c r="I22" s="614"/>
      <c r="J22" s="734"/>
      <c r="K22" s="740"/>
    </row>
    <row r="23" spans="1:11" x14ac:dyDescent="0.2">
      <c r="A23" s="731" t="str">
        <f t="shared" si="0"/>
        <v>15 year average Ethanol Charge.Wheat Integrated (Starch)</v>
      </c>
      <c r="E23" s="739" t="str">
        <f t="shared" si="1"/>
        <v>Wheat Integrated (Starch)</v>
      </c>
      <c r="F23" s="748">
        <f t="shared" ca="1" si="2"/>
        <v>0.14759712977952097</v>
      </c>
      <c r="H23" s="860"/>
      <c r="I23" s="614"/>
      <c r="J23" s="734"/>
      <c r="K23" s="740"/>
    </row>
    <row r="24" spans="1:11" x14ac:dyDescent="0.2">
      <c r="A24" s="731" t="str">
        <f t="shared" si="0"/>
        <v>15 year average Ethanol Charge.Imported Starch</v>
      </c>
      <c r="E24" s="739" t="str">
        <f t="shared" si="1"/>
        <v>Imported Starch</v>
      </c>
      <c r="F24" s="748">
        <f t="shared" ca="1" si="2"/>
        <v>0.14486691381386835</v>
      </c>
      <c r="H24" s="860"/>
      <c r="I24" s="614"/>
      <c r="J24" s="861"/>
      <c r="K24" s="740"/>
    </row>
    <row r="25" spans="1:11" x14ac:dyDescent="0.2">
      <c r="A25" s="731" t="str">
        <f t="shared" si="0"/>
        <v>15 year average Ethanol Charge.Sorghum (Starch)</v>
      </c>
      <c r="E25" s="739" t="str">
        <f t="shared" si="1"/>
        <v>Sorghum (Starch)</v>
      </c>
      <c r="F25" s="748">
        <f t="shared" ca="1" si="2"/>
        <v>0.18035972136735184</v>
      </c>
      <c r="H25" s="860"/>
      <c r="I25" s="614"/>
      <c r="J25" s="734"/>
      <c r="K25" s="740"/>
    </row>
    <row r="26" spans="1:11" x14ac:dyDescent="0.2">
      <c r="A26" s="731" t="str">
        <f t="shared" si="0"/>
        <v>15 year average Ethanol Charge.C-Syrup (Sucrosic)</v>
      </c>
      <c r="E26" s="739" t="str">
        <f t="shared" si="1"/>
        <v>C-Syrup (Sucrosic)</v>
      </c>
      <c r="F26" s="748">
        <f t="shared" ca="1" si="2"/>
        <v>0.14827968377093406</v>
      </c>
      <c r="H26" s="860"/>
      <c r="I26" s="614"/>
      <c r="J26" s="734"/>
      <c r="K26" s="740"/>
    </row>
    <row r="27" spans="1:11" x14ac:dyDescent="0.2">
      <c r="A27" s="731" t="str">
        <f t="shared" si="0"/>
        <v>15 year average Ethanol Charge.B-Syrup (Sucrosic)</v>
      </c>
      <c r="E27" s="739" t="str">
        <f t="shared" si="1"/>
        <v>B-Syrup (Sucrosic)</v>
      </c>
      <c r="F27" s="748">
        <f t="shared" ca="1" si="2"/>
        <v>0.14827968377093406</v>
      </c>
      <c r="H27" s="860"/>
      <c r="I27" s="614"/>
      <c r="J27" s="734"/>
      <c r="K27" s="740"/>
    </row>
    <row r="28" spans="1:11" x14ac:dyDescent="0.2">
      <c r="A28" s="731" t="str">
        <f t="shared" si="0"/>
        <v>15 year average Ethanol Charge.Cane trash (Cellulosic)</v>
      </c>
      <c r="E28" s="739" t="str">
        <f t="shared" si="1"/>
        <v>Cane trash (Cellulosic)</v>
      </c>
      <c r="F28" s="748">
        <f t="shared" ca="1" si="2"/>
        <v>0.29253988292576855</v>
      </c>
      <c r="H28" s="860"/>
      <c r="I28" s="614"/>
      <c r="J28" s="734"/>
      <c r="K28" s="740"/>
    </row>
    <row r="29" spans="1:11" x14ac:dyDescent="0.2">
      <c r="A29" s="731" t="str">
        <f t="shared" si="0"/>
        <v>15 year average Ethanol Charge.Forest Residues (Cellulosic)</v>
      </c>
      <c r="E29" s="739" t="str">
        <f t="shared" si="1"/>
        <v>Forest Residues (Cellulosic)</v>
      </c>
      <c r="F29" s="748">
        <f t="shared" ca="1" si="2"/>
        <v>0.28776200498587656</v>
      </c>
      <c r="H29" s="860"/>
      <c r="I29" s="614"/>
      <c r="J29" s="734"/>
      <c r="K29" s="740"/>
    </row>
    <row r="30" spans="1:11" ht="12.75" customHeight="1" x14ac:dyDescent="0.2">
      <c r="H30" s="874"/>
      <c r="I30" s="614"/>
      <c r="J30" s="875"/>
      <c r="K30" s="876"/>
    </row>
    <row r="31" spans="1:11" ht="12.75" customHeight="1" x14ac:dyDescent="0.2">
      <c r="D31" s="165" t="s">
        <v>977</v>
      </c>
      <c r="H31" s="877"/>
      <c r="I31" s="614"/>
      <c r="J31" s="875"/>
      <c r="K31" s="876"/>
    </row>
    <row r="32" spans="1:11" ht="12.75" customHeight="1" x14ac:dyDescent="0.2">
      <c r="D32" s="765"/>
      <c r="E32" s="741" t="s">
        <v>285</v>
      </c>
      <c r="F32" s="746" t="s">
        <v>976</v>
      </c>
      <c r="H32" s="877"/>
      <c r="I32" s="614"/>
      <c r="J32" s="875"/>
      <c r="K32" s="876"/>
    </row>
    <row r="33" spans="1:23" ht="12.75" customHeight="1" x14ac:dyDescent="0.2">
      <c r="B33" s="731" t="str">
        <f>"Total Depreciation "&amp;E33&amp;" ("&amp;"Straight-Line"&amp;") over 30 years"</f>
        <v>Total Depreciation Wheat Standalone (Starch) (Straight-Line) over 30 years</v>
      </c>
      <c r="E33" s="739" t="str">
        <f>E22</f>
        <v>Wheat Standalone (Starch)</v>
      </c>
      <c r="F33" s="868">
        <f>SUM('Wheat Standalone (Starch)'!J268:K268)*10^6</f>
        <v>147180000</v>
      </c>
      <c r="H33" s="878"/>
      <c r="I33" s="247"/>
      <c r="J33" s="879"/>
      <c r="K33" s="876"/>
    </row>
    <row r="34" spans="1:23" ht="12.75" customHeight="1" x14ac:dyDescent="0.2">
      <c r="B34" s="731" t="str">
        <f t="shared" ref="B34:B40" si="3">"Total Depreciation "&amp;E34&amp;" ("&amp;"Straight-Line"&amp;") over 30 years"</f>
        <v>Total Depreciation Wheat Integrated (Starch) (Straight-Line) over 30 years</v>
      </c>
      <c r="E34" s="739" t="str">
        <f t="shared" ref="E34:E40" si="4">E23</f>
        <v>Wheat Integrated (Starch)</v>
      </c>
      <c r="F34" s="868">
        <f>SUM('Wheat Integrated (Starch)'!J268:K268)*10^6</f>
        <v>147180000</v>
      </c>
      <c r="H34" s="878"/>
      <c r="I34" s="247"/>
      <c r="J34" s="879"/>
      <c r="K34" s="876"/>
    </row>
    <row r="35" spans="1:23" ht="12.75" customHeight="1" x14ac:dyDescent="0.2">
      <c r="B35" s="731" t="str">
        <f t="shared" si="3"/>
        <v>Total Depreciation Imported Starch (Straight-Line) over 30 years</v>
      </c>
      <c r="E35" s="739" t="str">
        <f t="shared" si="4"/>
        <v>Imported Starch</v>
      </c>
      <c r="F35" s="868">
        <f>SUM('Imported Starch'!J270:K270)*10^6</f>
        <v>144457499.99999997</v>
      </c>
      <c r="H35" s="878"/>
      <c r="I35" s="880"/>
      <c r="J35" s="879"/>
      <c r="K35" s="876"/>
    </row>
    <row r="36" spans="1:23" ht="12.75" customHeight="1" x14ac:dyDescent="0.2">
      <c r="B36" s="731" t="str">
        <f t="shared" si="3"/>
        <v>Total Depreciation Sorghum (Starch) (Straight-Line) over 30 years</v>
      </c>
      <c r="E36" s="739" t="str">
        <f t="shared" si="4"/>
        <v>Sorghum (Starch)</v>
      </c>
      <c r="F36" s="868">
        <f>SUM('Sorgum (Starch)'!J268:K268)*10^6</f>
        <v>179850000.00000003</v>
      </c>
      <c r="H36" s="878"/>
      <c r="I36" s="247"/>
      <c r="J36" s="879"/>
      <c r="K36" s="876"/>
    </row>
    <row r="37" spans="1:23" ht="12.75" customHeight="1" x14ac:dyDescent="0.2">
      <c r="B37" s="731" t="str">
        <f t="shared" si="3"/>
        <v>Total Depreciation C-Syrup (Sucrosic) (Straight-Line) over 30 years</v>
      </c>
      <c r="E37" s="739" t="str">
        <f t="shared" si="4"/>
        <v>C-Syrup (Sucrosic)</v>
      </c>
      <c r="F37" s="868">
        <f>SUM('C-Syrup (Sucrosic)'!$I$220:$J$220)*10^6</f>
        <v>147860625</v>
      </c>
      <c r="H37" s="878"/>
      <c r="I37" s="247"/>
      <c r="J37" s="879"/>
      <c r="K37" s="876"/>
    </row>
    <row r="38" spans="1:23" ht="12.75" customHeight="1" x14ac:dyDescent="0.2">
      <c r="B38" s="731" t="str">
        <f t="shared" si="3"/>
        <v>Total Depreciation B-Syrup (Sucrosic) (Straight-Line) over 30 years</v>
      </c>
      <c r="E38" s="739" t="str">
        <f t="shared" si="4"/>
        <v>B-Syrup (Sucrosic)</v>
      </c>
      <c r="F38" s="868">
        <f>SUM('B-Syrup (Sucrosic)'!$I$220:$J$220)*10^6</f>
        <v>147860625</v>
      </c>
      <c r="H38" s="878"/>
      <c r="I38" s="614"/>
      <c r="J38" s="879"/>
      <c r="K38" s="876"/>
    </row>
    <row r="39" spans="1:23" ht="12.75" customHeight="1" x14ac:dyDescent="0.2">
      <c r="B39" s="731" t="str">
        <f t="shared" si="3"/>
        <v>Total Depreciation Cane trash (Cellulosic) (Straight-Line) over 30 years</v>
      </c>
      <c r="E39" s="739" t="str">
        <f t="shared" si="4"/>
        <v>Cane trash (Cellulosic)</v>
      </c>
      <c r="F39" s="868">
        <f>SUM('Cane trash (Cellulosic)'!$J$289:$K$289)*10^6</f>
        <v>291713125</v>
      </c>
      <c r="H39" s="878"/>
      <c r="I39" s="614"/>
      <c r="J39" s="879"/>
      <c r="K39" s="876"/>
    </row>
    <row r="40" spans="1:23" ht="12.75" customHeight="1" x14ac:dyDescent="0.2">
      <c r="B40" s="731" t="str">
        <f t="shared" si="3"/>
        <v>Total Depreciation Forest Residues (Cellulosic) (Straight-Line) over 30 years</v>
      </c>
      <c r="E40" s="739" t="str">
        <f t="shared" si="4"/>
        <v>Forest Residues (Cellulosic)</v>
      </c>
      <c r="F40" s="868">
        <f>SUM('Forest Residues (Cellulosic)'!$J$289:$K$289)*10^6</f>
        <v>286948750</v>
      </c>
      <c r="H40" s="878"/>
      <c r="I40" s="614"/>
      <c r="J40" s="879"/>
      <c r="K40" s="876"/>
    </row>
    <row r="41" spans="1:23" ht="12.75" customHeight="1" x14ac:dyDescent="0.2">
      <c r="H41" s="877"/>
      <c r="I41" s="614"/>
      <c r="J41" s="875"/>
      <c r="K41" s="876"/>
    </row>
    <row r="42" spans="1:23" ht="12.75" customHeight="1" x14ac:dyDescent="0.2">
      <c r="H42" s="877"/>
      <c r="I42" s="614"/>
      <c r="J42" s="875"/>
      <c r="K42" s="876"/>
    </row>
    <row r="43" spans="1:23" ht="12.75" customHeight="1" x14ac:dyDescent="0.2">
      <c r="H43" s="874"/>
      <c r="I43" s="614"/>
      <c r="J43" s="875"/>
      <c r="K43" s="876"/>
    </row>
    <row r="44" spans="1:23" x14ac:dyDescent="0.2">
      <c r="H44" s="860"/>
      <c r="I44" s="614"/>
      <c r="J44" s="734"/>
      <c r="K44" s="740"/>
    </row>
    <row r="45" spans="1:23" x14ac:dyDescent="0.2">
      <c r="D45" s="165" t="s">
        <v>842</v>
      </c>
      <c r="E45" s="767"/>
      <c r="F45" s="767"/>
      <c r="G45" s="767"/>
      <c r="H45" s="767">
        <v>0</v>
      </c>
      <c r="I45" s="767">
        <v>1</v>
      </c>
      <c r="J45" s="767">
        <v>2</v>
      </c>
      <c r="K45" s="767">
        <v>3</v>
      </c>
      <c r="L45" s="767">
        <v>4</v>
      </c>
      <c r="M45" s="767">
        <v>5</v>
      </c>
      <c r="N45" s="767">
        <v>6</v>
      </c>
      <c r="O45" s="767">
        <v>7</v>
      </c>
      <c r="P45" s="767">
        <v>8</v>
      </c>
      <c r="Q45" s="767">
        <v>9</v>
      </c>
      <c r="R45" s="767">
        <v>10</v>
      </c>
      <c r="S45" s="767">
        <v>11</v>
      </c>
      <c r="T45" s="767">
        <v>12</v>
      </c>
      <c r="U45" s="767">
        <v>13</v>
      </c>
      <c r="V45" s="767">
        <v>14</v>
      </c>
      <c r="W45" s="767">
        <v>15</v>
      </c>
    </row>
    <row r="46" spans="1:23" ht="15.75" x14ac:dyDescent="0.25">
      <c r="D46" s="765"/>
      <c r="E46" s="1621" t="s">
        <v>839</v>
      </c>
      <c r="F46" s="1621"/>
      <c r="G46" s="770"/>
      <c r="H46" s="765"/>
      <c r="I46" s="166" t="str">
        <f xml:space="preserve"> "Depreciation (FY$"&amp;Assumptions!J19&amp;")"</f>
        <v>Depreciation (FY$2017)</v>
      </c>
      <c r="J46" s="166"/>
      <c r="K46" s="166"/>
      <c r="L46" s="166"/>
      <c r="M46" s="166"/>
      <c r="N46" s="166"/>
      <c r="O46" s="166"/>
      <c r="P46" s="166"/>
      <c r="Q46" s="166"/>
      <c r="R46" s="166"/>
      <c r="S46" s="166"/>
      <c r="T46" s="166"/>
      <c r="U46" s="166"/>
      <c r="V46" s="166"/>
      <c r="W46" s="166"/>
    </row>
    <row r="47" spans="1:23" x14ac:dyDescent="0.2">
      <c r="D47" s="765"/>
      <c r="E47" s="765"/>
      <c r="F47" s="166" t="s">
        <v>338</v>
      </c>
      <c r="G47" s="166"/>
      <c r="H47" s="166">
        <f>I47-1</f>
        <v>2018</v>
      </c>
      <c r="I47" s="166">
        <f>Assumptions!J42</f>
        <v>2019</v>
      </c>
      <c r="J47" s="166">
        <f>I47+1</f>
        <v>2020</v>
      </c>
      <c r="K47" s="166">
        <f t="shared" ref="K47:W47" si="5">J47+1</f>
        <v>2021</v>
      </c>
      <c r="L47" s="166">
        <f t="shared" si="5"/>
        <v>2022</v>
      </c>
      <c r="M47" s="166">
        <f t="shared" si="5"/>
        <v>2023</v>
      </c>
      <c r="N47" s="166">
        <f t="shared" si="5"/>
        <v>2024</v>
      </c>
      <c r="O47" s="166">
        <f t="shared" si="5"/>
        <v>2025</v>
      </c>
      <c r="P47" s="166">
        <f t="shared" si="5"/>
        <v>2026</v>
      </c>
      <c r="Q47" s="166">
        <f t="shared" si="5"/>
        <v>2027</v>
      </c>
      <c r="R47" s="166">
        <f t="shared" si="5"/>
        <v>2028</v>
      </c>
      <c r="S47" s="166">
        <f t="shared" si="5"/>
        <v>2029</v>
      </c>
      <c r="T47" s="166">
        <f t="shared" si="5"/>
        <v>2030</v>
      </c>
      <c r="U47" s="166">
        <f t="shared" si="5"/>
        <v>2031</v>
      </c>
      <c r="V47" s="166">
        <f t="shared" si="5"/>
        <v>2032</v>
      </c>
      <c r="W47" s="166">
        <f t="shared" si="5"/>
        <v>2033</v>
      </c>
    </row>
    <row r="48" spans="1:23" s="766" customFormat="1" x14ac:dyDescent="0.2">
      <c r="A48" s="218"/>
      <c r="B48" s="218"/>
      <c r="C48" s="218"/>
      <c r="E48" s="766" t="s">
        <v>946</v>
      </c>
      <c r="G48" s="887"/>
      <c r="H48" s="888">
        <f>1*(1+K6)</f>
        <v>1.024</v>
      </c>
      <c r="I48" s="889">
        <f>H48*(1+$K$6)</f>
        <v>1.048576</v>
      </c>
      <c r="J48" s="889">
        <f t="shared" ref="J48:W48" si="6">I48*(1+$K$6)</f>
        <v>1.0737418240000001</v>
      </c>
      <c r="K48" s="889">
        <f t="shared" si="6"/>
        <v>1.0995116277760002</v>
      </c>
      <c r="L48" s="889">
        <f t="shared" si="6"/>
        <v>1.1258999068426243</v>
      </c>
      <c r="M48" s="889">
        <f t="shared" si="6"/>
        <v>1.1529215046068473</v>
      </c>
      <c r="N48" s="889">
        <f t="shared" si="6"/>
        <v>1.1805916207174116</v>
      </c>
      <c r="O48" s="889">
        <f t="shared" si="6"/>
        <v>1.2089258196146295</v>
      </c>
      <c r="P48" s="889">
        <f t="shared" si="6"/>
        <v>1.2379400392853808</v>
      </c>
      <c r="Q48" s="889">
        <f t="shared" si="6"/>
        <v>1.26765060022823</v>
      </c>
      <c r="R48" s="889">
        <f t="shared" si="6"/>
        <v>1.2980742146337074</v>
      </c>
      <c r="S48" s="889">
        <f t="shared" si="6"/>
        <v>1.3292279957849165</v>
      </c>
      <c r="T48" s="889">
        <f t="shared" si="6"/>
        <v>1.3611294676837544</v>
      </c>
      <c r="U48" s="889">
        <f t="shared" si="6"/>
        <v>1.3937965749081647</v>
      </c>
      <c r="V48" s="889">
        <f t="shared" si="6"/>
        <v>1.4272476927059607</v>
      </c>
      <c r="W48" s="889">
        <f t="shared" si="6"/>
        <v>1.4615016373309038</v>
      </c>
    </row>
    <row r="49" spans="2:29" ht="12" customHeight="1" x14ac:dyDescent="0.25">
      <c r="D49" s="749" t="str">
        <f>E11</f>
        <v>Wheat Standalone (Starch)</v>
      </c>
      <c r="E49" s="750"/>
      <c r="F49" s="750"/>
      <c r="G49" s="750"/>
      <c r="H49" s="750"/>
      <c r="I49" s="750"/>
      <c r="J49" s="750"/>
      <c r="K49" s="750"/>
      <c r="L49" s="750"/>
      <c r="M49" s="750"/>
      <c r="N49" s="750"/>
      <c r="O49" s="750"/>
      <c r="P49" s="750"/>
      <c r="Q49" s="750"/>
      <c r="R49" s="750"/>
      <c r="S49" s="750"/>
      <c r="T49" s="750"/>
      <c r="U49" s="750"/>
      <c r="V49" s="750"/>
      <c r="W49" s="750"/>
    </row>
    <row r="50" spans="2:29" ht="12" customHeight="1" x14ac:dyDescent="0.2">
      <c r="C50" s="218"/>
      <c r="D50" s="743"/>
      <c r="E50" s="743" t="s">
        <v>828</v>
      </c>
      <c r="F50" s="744" t="s">
        <v>947</v>
      </c>
      <c r="G50" s="738"/>
      <c r="H50" s="743"/>
      <c r="I50" s="739">
        <f>H55</f>
        <v>147180000</v>
      </c>
      <c r="J50" s="739">
        <f>I55</f>
        <v>143721270</v>
      </c>
      <c r="K50" s="739">
        <f t="shared" ref="K50:W50" si="7">J55</f>
        <v>140213480</v>
      </c>
      <c r="L50" s="739">
        <f t="shared" si="7"/>
        <v>136656630</v>
      </c>
      <c r="M50" s="739">
        <f t="shared" si="7"/>
        <v>133050720</v>
      </c>
      <c r="N50" s="739">
        <f t="shared" si="7"/>
        <v>129395750</v>
      </c>
      <c r="O50" s="739">
        <f t="shared" si="7"/>
        <v>125691720</v>
      </c>
      <c r="P50" s="739">
        <f t="shared" si="7"/>
        <v>121938630</v>
      </c>
      <c r="Q50" s="739">
        <f t="shared" si="7"/>
        <v>118136480</v>
      </c>
      <c r="R50" s="739">
        <f t="shared" si="7"/>
        <v>114285270</v>
      </c>
      <c r="S50" s="739">
        <f t="shared" si="7"/>
        <v>110385000</v>
      </c>
      <c r="T50" s="739">
        <f t="shared" si="7"/>
        <v>106435670</v>
      </c>
      <c r="U50" s="739">
        <f t="shared" si="7"/>
        <v>102437280</v>
      </c>
      <c r="V50" s="739">
        <f t="shared" si="7"/>
        <v>98389830</v>
      </c>
      <c r="W50" s="739">
        <f t="shared" si="7"/>
        <v>94293320</v>
      </c>
      <c r="X50" s="766"/>
    </row>
    <row r="51" spans="2:29" ht="12" customHeight="1" x14ac:dyDescent="0.2">
      <c r="C51" s="218"/>
      <c r="D51" s="743"/>
      <c r="E51" s="743" t="s">
        <v>829</v>
      </c>
      <c r="F51" s="743" t="str">
        <f t="shared" ref="F51:F53" si="8">$F$50</f>
        <v>$'000 real</v>
      </c>
      <c r="G51" s="738"/>
      <c r="H51" s="743"/>
      <c r="I51" s="739">
        <f>INDEX($F$11:$F$18,MATCH(D49,$E$11:$E$18,0))</f>
        <v>1471800</v>
      </c>
      <c r="J51" s="739">
        <f>I51</f>
        <v>1471800</v>
      </c>
      <c r="K51" s="739">
        <f t="shared" ref="K51:W52" si="9">J51</f>
        <v>1471800</v>
      </c>
      <c r="L51" s="739">
        <f t="shared" si="9"/>
        <v>1471800</v>
      </c>
      <c r="M51" s="739">
        <f t="shared" si="9"/>
        <v>1471800</v>
      </c>
      <c r="N51" s="739">
        <f t="shared" si="9"/>
        <v>1471800</v>
      </c>
      <c r="O51" s="739">
        <f t="shared" si="9"/>
        <v>1471800</v>
      </c>
      <c r="P51" s="739">
        <f t="shared" si="9"/>
        <v>1471800</v>
      </c>
      <c r="Q51" s="739">
        <f t="shared" si="9"/>
        <v>1471800</v>
      </c>
      <c r="R51" s="739">
        <f t="shared" si="9"/>
        <v>1471800</v>
      </c>
      <c r="S51" s="739">
        <f t="shared" si="9"/>
        <v>1471800</v>
      </c>
      <c r="T51" s="739">
        <f t="shared" si="9"/>
        <v>1471800</v>
      </c>
      <c r="U51" s="739">
        <f t="shared" si="9"/>
        <v>1471800</v>
      </c>
      <c r="V51" s="739">
        <f t="shared" si="9"/>
        <v>1471800</v>
      </c>
      <c r="W51" s="739">
        <f t="shared" si="9"/>
        <v>1471800</v>
      </c>
      <c r="X51" s="766"/>
    </row>
    <row r="52" spans="2:29" ht="12" customHeight="1" x14ac:dyDescent="0.2">
      <c r="C52" s="218"/>
      <c r="D52" s="743"/>
      <c r="E52" s="743" t="s">
        <v>830</v>
      </c>
      <c r="F52" s="743" t="str">
        <f t="shared" si="8"/>
        <v>$'000 real</v>
      </c>
      <c r="G52" s="738"/>
      <c r="H52" s="743"/>
      <c r="I52" s="743">
        <v>0</v>
      </c>
      <c r="J52" s="743">
        <f>I52</f>
        <v>0</v>
      </c>
      <c r="K52" s="743">
        <f t="shared" si="9"/>
        <v>0</v>
      </c>
      <c r="L52" s="743">
        <f t="shared" si="9"/>
        <v>0</v>
      </c>
      <c r="M52" s="743">
        <f t="shared" si="9"/>
        <v>0</v>
      </c>
      <c r="N52" s="743">
        <f t="shared" si="9"/>
        <v>0</v>
      </c>
      <c r="O52" s="743">
        <f t="shared" si="9"/>
        <v>0</v>
      </c>
      <c r="P52" s="743">
        <f t="shared" si="9"/>
        <v>0</v>
      </c>
      <c r="Q52" s="743">
        <f t="shared" si="9"/>
        <v>0</v>
      </c>
      <c r="R52" s="743">
        <f t="shared" si="9"/>
        <v>0</v>
      </c>
      <c r="S52" s="743">
        <f t="shared" si="9"/>
        <v>0</v>
      </c>
      <c r="T52" s="743">
        <f t="shared" si="9"/>
        <v>0</v>
      </c>
      <c r="U52" s="743">
        <f t="shared" si="9"/>
        <v>0</v>
      </c>
      <c r="V52" s="743">
        <f t="shared" si="9"/>
        <v>0</v>
      </c>
      <c r="W52" s="743">
        <f t="shared" si="9"/>
        <v>0</v>
      </c>
      <c r="X52" s="766"/>
    </row>
    <row r="53" spans="2:29" ht="12" customHeight="1" x14ac:dyDescent="0.2">
      <c r="B53" s="731" t="str">
        <f>"Total Depreciation "&amp;D49&amp;" ("&amp;"Straight-Line"&amp;") over 30 years"</f>
        <v>Total Depreciation Wheat Standalone (Starch) (Straight-Line) over 30 years</v>
      </c>
      <c r="C53" s="218"/>
      <c r="D53" s="743"/>
      <c r="E53" s="743" t="s">
        <v>831</v>
      </c>
      <c r="F53" s="743" t="str">
        <f t="shared" si="8"/>
        <v>$'000 real</v>
      </c>
      <c r="G53" s="738"/>
      <c r="H53" s="743"/>
      <c r="I53" s="890">
        <f>$H55/$K$4+I51*$K$9/$K$5</f>
        <v>4930530</v>
      </c>
      <c r="J53" s="739">
        <f>$H55/$K$4+SUM($I51:I51)/$K$5+J51*$K$9/$K$5</f>
        <v>4979590</v>
      </c>
      <c r="K53" s="739">
        <f>$H55/$K$4+SUM($I51:J51)/$K$5+K51*$K$9/$K$5</f>
        <v>5028650</v>
      </c>
      <c r="L53" s="739">
        <f>$H55/$K$4+SUM($I51:K51)/$K$5+L51*$K$9/$K$5</f>
        <v>5077710</v>
      </c>
      <c r="M53" s="739">
        <f>$H55/$K$4+SUM($I51:L51)/$K$5+M51*$K$9/$K$5</f>
        <v>5126770</v>
      </c>
      <c r="N53" s="739">
        <f>$H55/$K$4+SUM($I51:M51)/$K$5+N51*$K$9/$K$5</f>
        <v>5175830</v>
      </c>
      <c r="O53" s="739">
        <f>$H55/$K$4+SUM($I51:N51)/$K$5+O51*$K$9/$K$5</f>
        <v>5224890</v>
      </c>
      <c r="P53" s="739">
        <f>$H55/$K$4+SUM($I51:O51)/$K$5+P51*$K$9/$K$5</f>
        <v>5273950</v>
      </c>
      <c r="Q53" s="739">
        <f>$H55/$K$4+SUM($I51:P51)/$K$5+Q51*$K$9/$K$5</f>
        <v>5323010</v>
      </c>
      <c r="R53" s="739">
        <f>$H55/$K$4+SUM($I51:Q51)/$K$5+R51*$K$9/$K$5</f>
        <v>5372070</v>
      </c>
      <c r="S53" s="739">
        <f>$H55/$K$4+SUM($I51:R51)/$K$5+S51*$K$9/$K$5</f>
        <v>5421130</v>
      </c>
      <c r="T53" s="739">
        <f>$H55/$K$4+SUM($I51:S51)/$K$5+T51*$K$9/$K$5</f>
        <v>5470190</v>
      </c>
      <c r="U53" s="739">
        <f>$H55/$K$4+SUM($I51:T51)/$K$5+U51*$K$9/$K$5</f>
        <v>5519250</v>
      </c>
      <c r="V53" s="739">
        <f>$H55/$K$4+SUM($I51:U51)/$K$5+V51*$K$9/$K$5</f>
        <v>5568310</v>
      </c>
      <c r="W53" s="739">
        <f>$H55/$K$4+SUM($I51:V51)/$K$5+W51*$K$9/$K$5</f>
        <v>5617370</v>
      </c>
      <c r="X53" s="572"/>
    </row>
    <row r="54" spans="2:29" ht="12" customHeight="1" x14ac:dyDescent="0.2">
      <c r="C54" s="218"/>
      <c r="D54" s="743"/>
      <c r="E54" s="743" t="s">
        <v>832</v>
      </c>
      <c r="F54" s="743" t="str">
        <f>$F$50</f>
        <v>$'000 real</v>
      </c>
      <c r="G54" s="738"/>
      <c r="H54" s="743"/>
      <c r="I54" s="743">
        <v>0</v>
      </c>
      <c r="J54" s="743">
        <v>0</v>
      </c>
      <c r="K54" s="743">
        <v>0</v>
      </c>
      <c r="L54" s="743">
        <v>0</v>
      </c>
      <c r="M54" s="743">
        <v>0</v>
      </c>
      <c r="N54" s="743">
        <v>0</v>
      </c>
      <c r="O54" s="743">
        <v>0</v>
      </c>
      <c r="P54" s="743">
        <v>0</v>
      </c>
      <c r="Q54" s="743">
        <v>0</v>
      </c>
      <c r="R54" s="743">
        <v>0</v>
      </c>
      <c r="S54" s="743">
        <v>0</v>
      </c>
      <c r="T54" s="743">
        <v>0</v>
      </c>
      <c r="U54" s="743">
        <v>0</v>
      </c>
      <c r="V54" s="743">
        <v>0</v>
      </c>
      <c r="W54" s="743">
        <v>0</v>
      </c>
      <c r="X54" s="572"/>
      <c r="Y54" s="766"/>
      <c r="Z54" s="766"/>
      <c r="AA54" s="766"/>
      <c r="AB54" s="766"/>
      <c r="AC54" s="766"/>
    </row>
    <row r="55" spans="2:29" ht="12" customHeight="1" x14ac:dyDescent="0.2">
      <c r="B55" s="731" t="str">
        <f>"Total Depreciation "&amp;D49&amp;" ("&amp;"Straight-Line"&amp;") over 30 years"</f>
        <v>Total Depreciation Wheat Standalone (Starch) (Straight-Line) over 30 years</v>
      </c>
      <c r="C55" s="218"/>
      <c r="D55" s="743"/>
      <c r="E55" s="743" t="s">
        <v>833</v>
      </c>
      <c r="F55" s="743" t="str">
        <f>$F$50</f>
        <v>$'000 real</v>
      </c>
      <c r="G55" s="738"/>
      <c r="H55" s="739">
        <f>INDEX($F$33:$F$40,MATCH(B55,$B$33:$B$40,0))</f>
        <v>147180000</v>
      </c>
      <c r="I55" s="739">
        <f>I50+I51-I53</f>
        <v>143721270</v>
      </c>
      <c r="J55" s="739">
        <f>J50+J51-J53</f>
        <v>140213480</v>
      </c>
      <c r="K55" s="739">
        <f t="shared" ref="K55:W55" si="10">K50+K51-K53</f>
        <v>136656630</v>
      </c>
      <c r="L55" s="739">
        <f t="shared" si="10"/>
        <v>133050720</v>
      </c>
      <c r="M55" s="739">
        <f t="shared" si="10"/>
        <v>129395750</v>
      </c>
      <c r="N55" s="739">
        <f t="shared" si="10"/>
        <v>125691720</v>
      </c>
      <c r="O55" s="739">
        <f t="shared" si="10"/>
        <v>121938630</v>
      </c>
      <c r="P55" s="739">
        <f t="shared" si="10"/>
        <v>118136480</v>
      </c>
      <c r="Q55" s="739">
        <f t="shared" si="10"/>
        <v>114285270</v>
      </c>
      <c r="R55" s="739">
        <f t="shared" si="10"/>
        <v>110385000</v>
      </c>
      <c r="S55" s="739">
        <f t="shared" si="10"/>
        <v>106435670</v>
      </c>
      <c r="T55" s="739">
        <f t="shared" si="10"/>
        <v>102437280</v>
      </c>
      <c r="U55" s="739">
        <f t="shared" si="10"/>
        <v>98389830</v>
      </c>
      <c r="V55" s="739">
        <f t="shared" si="10"/>
        <v>94293320</v>
      </c>
      <c r="W55" s="739">
        <f t="shared" si="10"/>
        <v>90147750</v>
      </c>
      <c r="X55" s="572"/>
      <c r="Y55" s="766"/>
      <c r="Z55" s="766"/>
      <c r="AA55" s="766"/>
      <c r="AB55" s="766"/>
      <c r="AC55" s="766"/>
    </row>
    <row r="56" spans="2:29" ht="12" customHeight="1" x14ac:dyDescent="0.2">
      <c r="C56" s="218"/>
      <c r="D56" s="744"/>
      <c r="E56" s="744"/>
      <c r="F56" s="744"/>
      <c r="G56" s="571"/>
      <c r="H56" s="744"/>
      <c r="I56" s="744"/>
      <c r="J56" s="744"/>
      <c r="K56" s="744"/>
      <c r="L56" s="744"/>
      <c r="M56" s="744"/>
      <c r="N56" s="744"/>
      <c r="O56" s="744"/>
      <c r="P56" s="744"/>
      <c r="Q56" s="744"/>
      <c r="R56" s="744"/>
      <c r="S56" s="744"/>
      <c r="T56" s="744"/>
      <c r="U56" s="744"/>
      <c r="V56" s="744"/>
      <c r="W56" s="744"/>
      <c r="X56" s="766"/>
      <c r="Y56" s="766"/>
      <c r="Z56" s="766"/>
      <c r="AA56" s="766"/>
      <c r="AB56" s="766"/>
      <c r="AC56" s="766"/>
    </row>
    <row r="57" spans="2:29" ht="12" customHeight="1" x14ac:dyDescent="0.2">
      <c r="C57" s="218"/>
      <c r="D57" s="743"/>
      <c r="E57" s="881" t="s">
        <v>834</v>
      </c>
      <c r="F57" s="743"/>
      <c r="G57" s="738"/>
      <c r="H57" s="743"/>
      <c r="I57" s="739"/>
      <c r="J57" s="739"/>
      <c r="K57" s="739"/>
      <c r="L57" s="739"/>
      <c r="M57" s="739"/>
      <c r="N57" s="739"/>
      <c r="O57" s="739"/>
      <c r="P57" s="739"/>
      <c r="Q57" s="739"/>
      <c r="R57" s="739"/>
      <c r="S57" s="739"/>
      <c r="T57" s="739"/>
      <c r="U57" s="739"/>
      <c r="V57" s="739"/>
      <c r="W57" s="739"/>
      <c r="X57" s="766"/>
      <c r="Y57" s="766"/>
      <c r="Z57" s="766"/>
      <c r="AA57" s="766"/>
      <c r="AB57" s="766"/>
      <c r="AC57" s="766"/>
    </row>
    <row r="58" spans="2:29" ht="12" customHeight="1" x14ac:dyDescent="0.2">
      <c r="C58" s="218"/>
      <c r="D58" s="743"/>
      <c r="E58" s="743" t="s">
        <v>835</v>
      </c>
      <c r="F58" s="743" t="str">
        <f t="shared" ref="F58:F59" si="11">$F$50</f>
        <v>$'000 real</v>
      </c>
      <c r="G58" s="738"/>
      <c r="H58" s="743"/>
      <c r="I58" s="739">
        <f t="shared" ref="I58:W58" si="12">I50+I51*$K$9</f>
        <v>147915900</v>
      </c>
      <c r="J58" s="739">
        <f t="shared" si="12"/>
        <v>144457170</v>
      </c>
      <c r="K58" s="739">
        <f t="shared" si="12"/>
        <v>140949380</v>
      </c>
      <c r="L58" s="739">
        <f t="shared" si="12"/>
        <v>137392530</v>
      </c>
      <c r="M58" s="739">
        <f t="shared" si="12"/>
        <v>133786620</v>
      </c>
      <c r="N58" s="739">
        <f t="shared" si="12"/>
        <v>130131650</v>
      </c>
      <c r="O58" s="739">
        <f t="shared" si="12"/>
        <v>126427620</v>
      </c>
      <c r="P58" s="739">
        <f t="shared" si="12"/>
        <v>122674530</v>
      </c>
      <c r="Q58" s="739">
        <f t="shared" si="12"/>
        <v>118872380</v>
      </c>
      <c r="R58" s="739">
        <f t="shared" si="12"/>
        <v>115021170</v>
      </c>
      <c r="S58" s="739">
        <f t="shared" si="12"/>
        <v>111120900</v>
      </c>
      <c r="T58" s="739">
        <f t="shared" si="12"/>
        <v>107171570</v>
      </c>
      <c r="U58" s="739">
        <f t="shared" si="12"/>
        <v>103173180</v>
      </c>
      <c r="V58" s="739">
        <f t="shared" si="12"/>
        <v>99125730</v>
      </c>
      <c r="W58" s="739">
        <f t="shared" si="12"/>
        <v>95029220</v>
      </c>
      <c r="X58" s="766" t="s">
        <v>948</v>
      </c>
      <c r="Y58" s="766"/>
      <c r="Z58" s="766"/>
      <c r="AA58" s="766"/>
      <c r="AB58" s="766"/>
      <c r="AC58" s="766"/>
    </row>
    <row r="59" spans="2:29" ht="12" customHeight="1" x14ac:dyDescent="0.2">
      <c r="C59" s="218"/>
      <c r="D59" s="743"/>
      <c r="E59" s="743" t="s">
        <v>949</v>
      </c>
      <c r="F59" s="743" t="str">
        <f t="shared" si="11"/>
        <v>$'000 real</v>
      </c>
      <c r="G59" s="738"/>
      <c r="H59" s="743"/>
      <c r="I59" s="739">
        <f t="shared" ref="I59:W59" si="13">I58*$K$3</f>
        <v>10206197.100000001</v>
      </c>
      <c r="J59" s="739">
        <f t="shared" si="13"/>
        <v>9967544.7300000004</v>
      </c>
      <c r="K59" s="739">
        <f t="shared" si="13"/>
        <v>9725507.2200000007</v>
      </c>
      <c r="L59" s="739">
        <f t="shared" si="13"/>
        <v>9480084.5700000003</v>
      </c>
      <c r="M59" s="739">
        <f t="shared" si="13"/>
        <v>9231276.7800000012</v>
      </c>
      <c r="N59" s="739">
        <f t="shared" si="13"/>
        <v>8979083.8500000015</v>
      </c>
      <c r="O59" s="739">
        <f t="shared" si="13"/>
        <v>8723505.7800000012</v>
      </c>
      <c r="P59" s="739">
        <f t="shared" si="13"/>
        <v>8464542.5700000003</v>
      </c>
      <c r="Q59" s="739">
        <f t="shared" si="13"/>
        <v>8202194.2200000007</v>
      </c>
      <c r="R59" s="739">
        <f t="shared" si="13"/>
        <v>7936460.7300000004</v>
      </c>
      <c r="S59" s="739">
        <f t="shared" si="13"/>
        <v>7667342.1000000006</v>
      </c>
      <c r="T59" s="739">
        <f t="shared" si="13"/>
        <v>7394838.330000001</v>
      </c>
      <c r="U59" s="739">
        <f t="shared" si="13"/>
        <v>7118949.4200000009</v>
      </c>
      <c r="V59" s="739">
        <f t="shared" si="13"/>
        <v>6839675.3700000001</v>
      </c>
      <c r="W59" s="739">
        <f t="shared" si="13"/>
        <v>6557016.1800000006</v>
      </c>
      <c r="X59" s="766"/>
      <c r="Y59" s="766"/>
      <c r="Z59" s="766"/>
      <c r="AA59" s="766"/>
      <c r="AB59" s="766"/>
      <c r="AC59" s="766"/>
    </row>
    <row r="60" spans="2:29" ht="12" customHeight="1" x14ac:dyDescent="0.2">
      <c r="C60" s="218">
        <v>1</v>
      </c>
      <c r="D60" s="744"/>
      <c r="E60" s="744"/>
      <c r="F60" s="744"/>
      <c r="G60" s="571"/>
      <c r="H60" s="744"/>
      <c r="I60" s="744"/>
      <c r="J60" s="744"/>
      <c r="K60" s="744"/>
      <c r="L60" s="744"/>
      <c r="M60" s="744"/>
      <c r="N60" s="744"/>
      <c r="O60" s="744"/>
      <c r="P60" s="744"/>
      <c r="Q60" s="744"/>
      <c r="R60" s="744"/>
      <c r="S60" s="744"/>
      <c r="T60" s="744"/>
      <c r="U60" s="744"/>
      <c r="V60" s="744"/>
      <c r="W60" s="744"/>
      <c r="X60" s="766"/>
      <c r="Y60" s="766"/>
      <c r="Z60" s="766"/>
      <c r="AA60" s="766"/>
      <c r="AB60" s="766"/>
      <c r="AC60" s="766"/>
    </row>
    <row r="61" spans="2:29" ht="12" customHeight="1" x14ac:dyDescent="0.2">
      <c r="C61" s="218">
        <f>C60+1</f>
        <v>2</v>
      </c>
      <c r="D61" s="744"/>
      <c r="E61" s="744" t="s">
        <v>950</v>
      </c>
      <c r="F61" s="744"/>
      <c r="G61" s="571"/>
      <c r="H61" s="744"/>
      <c r="I61" s="891">
        <f>(I59+I53)/(1+$K$3)^0.5</f>
        <v>14640069.165259669</v>
      </c>
      <c r="J61" s="891">
        <f t="shared" ref="J61:W61" si="14">(J59+J53)/(1+$K$3)^0.5</f>
        <v>14456697.595456742</v>
      </c>
      <c r="K61" s="891">
        <f t="shared" si="14"/>
        <v>14270051.956999034</v>
      </c>
      <c r="L61" s="891">
        <f t="shared" si="14"/>
        <v>14080132.249886544</v>
      </c>
      <c r="M61" s="891">
        <f t="shared" si="14"/>
        <v>13886938.474119276</v>
      </c>
      <c r="N61" s="891">
        <f t="shared" si="14"/>
        <v>13690470.629697224</v>
      </c>
      <c r="O61" s="891">
        <f t="shared" si="14"/>
        <v>13490728.716620391</v>
      </c>
      <c r="P61" s="891">
        <f t="shared" si="14"/>
        <v>13287712.734888775</v>
      </c>
      <c r="Q61" s="891">
        <f t="shared" si="14"/>
        <v>13081422.684502382</v>
      </c>
      <c r="R61" s="891">
        <f t="shared" si="14"/>
        <v>12871858.565461205</v>
      </c>
      <c r="S61" s="891">
        <f t="shared" si="14"/>
        <v>12659020.377765248</v>
      </c>
      <c r="T61" s="891">
        <f t="shared" si="14"/>
        <v>12442908.121414511</v>
      </c>
      <c r="U61" s="891">
        <f t="shared" si="14"/>
        <v>12223521.79640899</v>
      </c>
      <c r="V61" s="891">
        <f t="shared" si="14"/>
        <v>12000861.402748689</v>
      </c>
      <c r="W61" s="891">
        <f t="shared" si="14"/>
        <v>11774926.940433605</v>
      </c>
      <c r="X61" s="766"/>
      <c r="Y61" s="766"/>
      <c r="Z61" s="766"/>
      <c r="AA61" s="766"/>
      <c r="AB61" s="766"/>
      <c r="AC61" s="766"/>
    </row>
    <row r="62" spans="2:29" ht="12" customHeight="1" x14ac:dyDescent="0.2">
      <c r="C62" s="218">
        <f t="shared" ref="C62:C82" si="15">C61+1</f>
        <v>3</v>
      </c>
      <c r="D62" s="744"/>
      <c r="E62" s="744"/>
      <c r="F62" s="744"/>
      <c r="G62" s="571"/>
      <c r="H62" s="744"/>
      <c r="I62" s="744"/>
      <c r="J62" s="744"/>
      <c r="K62" s="744"/>
      <c r="L62" s="744"/>
      <c r="M62" s="744"/>
      <c r="N62" s="744"/>
      <c r="O62" s="744"/>
      <c r="P62" s="744"/>
      <c r="Q62" s="744"/>
      <c r="R62" s="744"/>
      <c r="S62" s="744"/>
      <c r="T62" s="744"/>
      <c r="U62" s="744"/>
      <c r="V62" s="744"/>
      <c r="W62" s="744"/>
      <c r="X62" s="766"/>
      <c r="Y62" s="766"/>
      <c r="Z62" s="766"/>
      <c r="AA62" s="766"/>
      <c r="AB62" s="766"/>
      <c r="AC62" s="766"/>
    </row>
    <row r="63" spans="2:29" ht="12" customHeight="1" x14ac:dyDescent="0.2">
      <c r="C63" s="218">
        <f t="shared" si="15"/>
        <v>4</v>
      </c>
      <c r="D63" s="744"/>
      <c r="E63" s="245" t="s">
        <v>951</v>
      </c>
      <c r="F63" s="744"/>
      <c r="G63" s="571"/>
      <c r="H63" s="744"/>
      <c r="I63" s="744"/>
      <c r="J63" s="744"/>
      <c r="K63" s="744"/>
      <c r="L63" s="744"/>
      <c r="M63" s="744"/>
      <c r="N63" s="744"/>
      <c r="O63" s="744"/>
      <c r="P63" s="744"/>
      <c r="Q63" s="744"/>
      <c r="R63" s="744"/>
      <c r="S63" s="744"/>
      <c r="T63" s="744"/>
      <c r="U63" s="744"/>
      <c r="V63" s="744"/>
      <c r="W63" s="744"/>
      <c r="X63" s="766"/>
    </row>
    <row r="64" spans="2:29" ht="12" customHeight="1" x14ac:dyDescent="0.2">
      <c r="C64" s="218">
        <f t="shared" si="15"/>
        <v>5</v>
      </c>
      <c r="D64" s="744"/>
      <c r="E64" s="744" t="s">
        <v>952</v>
      </c>
      <c r="F64" s="744" t="s">
        <v>953</v>
      </c>
      <c r="G64" s="571"/>
      <c r="H64" s="744"/>
      <c r="I64" s="890">
        <f>H69</f>
        <v>150712320</v>
      </c>
      <c r="J64" s="891">
        <f t="shared" ref="J64:W64" si="16">I69</f>
        <v>147206148.58752</v>
      </c>
      <c r="K64" s="891">
        <f t="shared" si="16"/>
        <v>143684955.77858049</v>
      </c>
      <c r="L64" s="891">
        <f t="shared" si="16"/>
        <v>140148381.0596664</v>
      </c>
      <c r="M64" s="891">
        <f t="shared" si="16"/>
        <v>136596055.26493838</v>
      </c>
      <c r="N64" s="891">
        <f t="shared" si="16"/>
        <v>133027600.36857691</v>
      </c>
      <c r="O64" s="891">
        <f t="shared" si="16"/>
        <v>129442629.27214275</v>
      </c>
      <c r="P64" s="891">
        <f t="shared" si="16"/>
        <v>125840745.58683418</v>
      </c>
      <c r="Q64" s="891">
        <f t="shared" si="16"/>
        <v>122221543.4105182</v>
      </c>
      <c r="R64" s="891">
        <f t="shared" si="16"/>
        <v>118584607.09941064</v>
      </c>
      <c r="S64" s="891">
        <f t="shared" si="16"/>
        <v>114929511.0342765</v>
      </c>
      <c r="T64" s="891">
        <f t="shared" si="16"/>
        <v>111255819.38101915</v>
      </c>
      <c r="U64" s="891">
        <f t="shared" si="16"/>
        <v>107563085.8455236</v>
      </c>
      <c r="V64" s="891">
        <f t="shared" si="16"/>
        <v>103850853.42261617</v>
      </c>
      <c r="W64" s="891">
        <f t="shared" si="16"/>
        <v>100118654.13899896</v>
      </c>
      <c r="X64" s="766"/>
    </row>
    <row r="65" spans="3:24" ht="12" customHeight="1" x14ac:dyDescent="0.2">
      <c r="C65" s="218">
        <f t="shared" si="15"/>
        <v>6</v>
      </c>
      <c r="D65" s="744"/>
      <c r="E65" s="744" t="s">
        <v>829</v>
      </c>
      <c r="F65" s="744" t="str">
        <f t="shared" ref="F65:F66" si="17">$F$64</f>
        <v>$'000 nominal</v>
      </c>
      <c r="G65" s="571"/>
      <c r="H65" s="744"/>
      <c r="I65" s="891">
        <f t="shared" ref="I65:W65" si="18">I51*I$48</f>
        <v>1543294.1568</v>
      </c>
      <c r="J65" s="891">
        <f t="shared" si="18"/>
        <v>1580333.2165632001</v>
      </c>
      <c r="K65" s="891">
        <f t="shared" si="18"/>
        <v>1618261.2137607171</v>
      </c>
      <c r="L65" s="891">
        <f t="shared" si="18"/>
        <v>1657099.4828909745</v>
      </c>
      <c r="M65" s="891">
        <f t="shared" si="18"/>
        <v>1696869.8704803579</v>
      </c>
      <c r="N65" s="891">
        <f t="shared" si="18"/>
        <v>1737594.7473718864</v>
      </c>
      <c r="O65" s="891">
        <f t="shared" si="18"/>
        <v>1779297.0213088118</v>
      </c>
      <c r="P65" s="891">
        <f t="shared" si="18"/>
        <v>1822000.1498202235</v>
      </c>
      <c r="Q65" s="891">
        <f t="shared" si="18"/>
        <v>1865728.1534159088</v>
      </c>
      <c r="R65" s="891">
        <f t="shared" si="18"/>
        <v>1910505.6290978906</v>
      </c>
      <c r="S65" s="891">
        <f t="shared" si="18"/>
        <v>1956357.7641962401</v>
      </c>
      <c r="T65" s="891">
        <f t="shared" si="18"/>
        <v>2003310.3505369497</v>
      </c>
      <c r="U65" s="891">
        <f t="shared" si="18"/>
        <v>2051389.7989498368</v>
      </c>
      <c r="V65" s="891">
        <f t="shared" si="18"/>
        <v>2100623.1541246329</v>
      </c>
      <c r="W65" s="891">
        <f t="shared" si="18"/>
        <v>2151038.1098236241</v>
      </c>
      <c r="X65" s="766"/>
    </row>
    <row r="66" spans="3:24" ht="12" customHeight="1" x14ac:dyDescent="0.2">
      <c r="C66" s="218">
        <f t="shared" si="15"/>
        <v>7</v>
      </c>
      <c r="D66" s="744"/>
      <c r="E66" s="744" t="s">
        <v>830</v>
      </c>
      <c r="F66" s="744" t="str">
        <f t="shared" si="17"/>
        <v>$'000 nominal</v>
      </c>
      <c r="G66" s="571"/>
      <c r="H66" s="744"/>
      <c r="I66" s="744"/>
      <c r="J66" s="744"/>
      <c r="K66" s="744"/>
      <c r="L66" s="744"/>
      <c r="M66" s="744"/>
      <c r="N66" s="744"/>
      <c r="O66" s="744"/>
      <c r="P66" s="744"/>
      <c r="Q66" s="744"/>
      <c r="R66" s="744"/>
      <c r="S66" s="744"/>
      <c r="T66" s="744"/>
      <c r="U66" s="744"/>
      <c r="V66" s="744"/>
      <c r="W66" s="744"/>
      <c r="X66" s="766"/>
    </row>
    <row r="67" spans="3:24" x14ac:dyDescent="0.2">
      <c r="C67" s="218">
        <f t="shared" si="15"/>
        <v>8</v>
      </c>
      <c r="D67" s="744"/>
      <c r="E67" s="744" t="s">
        <v>831</v>
      </c>
      <c r="F67" s="744" t="str">
        <f>$F$64</f>
        <v>$'000 nominal</v>
      </c>
      <c r="G67" s="571"/>
      <c r="H67" s="744"/>
      <c r="I67" s="890">
        <f>$H69/$K$4+I65*$K$9/$K$5</f>
        <v>5049465.5692800004</v>
      </c>
      <c r="J67" s="739">
        <f>$H69/$K$4+SUM($I65:I65)/$K$5+J65*$K$9/$K$5</f>
        <v>5101526.0255027199</v>
      </c>
      <c r="K67" s="739">
        <f>$H69/$K$4+SUM($I65:J65)/$K$5+K65*$K$9/$K$5</f>
        <v>5154835.9326747851</v>
      </c>
      <c r="L67" s="739">
        <f>$H69/$K$4+SUM($I65:K65)/$K$5+L65*$K$9/$K$5</f>
        <v>5209425.27761898</v>
      </c>
      <c r="M67" s="739">
        <f>$H69/$K$4+SUM($I65:L65)/$K$5+M65*$K$9/$K$5</f>
        <v>5265324.7668418353</v>
      </c>
      <c r="N67" s="739">
        <f>$H69/$K$4+SUM($I65:M65)/$K$5+N65*$K$9/$K$5</f>
        <v>5322565.8438060395</v>
      </c>
      <c r="O67" s="739">
        <f>$H69/$K$4+SUM($I65:N65)/$K$5+O65*$K$9/$K$5</f>
        <v>5381180.7066173851</v>
      </c>
      <c r="P67" s="739">
        <f>$H69/$K$4+SUM($I65:O65)/$K$5+P65*$K$9/$K$5</f>
        <v>5441202.3261362016</v>
      </c>
      <c r="Q67" s="739">
        <f>$H69/$K$4+SUM($I65:P65)/$K$5+Q65*$K$9/$K$5</f>
        <v>5502664.46452347</v>
      </c>
      <c r="R67" s="739">
        <f>$H69/$K$4+SUM($I65:Q65)/$K$5+R65*$K$9/$K$5</f>
        <v>5565601.6942320336</v>
      </c>
      <c r="S67" s="739">
        <f>$H69/$K$4+SUM($I65:R65)/$K$5+S65*$K$9/$K$5</f>
        <v>5630049.4174536029</v>
      </c>
      <c r="T67" s="739">
        <f>$H69/$K$4+SUM($I65:S65)/$K$5+T65*$K$9/$K$5</f>
        <v>5696043.8860324891</v>
      </c>
      <c r="U67" s="739">
        <f>$H69/$K$4+SUM($I65:T65)/$K$5+U65*$K$9/$K$5</f>
        <v>5763622.2218572693</v>
      </c>
      <c r="V67" s="739">
        <f>$H69/$K$4+SUM($I65:U65)/$K$5+V65*$K$9/$K$5</f>
        <v>5832822.437741844</v>
      </c>
      <c r="W67" s="739">
        <f>$H69/$K$4+SUM($I65:V65)/$K$5+W65*$K$9/$K$5</f>
        <v>5903683.4588076482</v>
      </c>
      <c r="X67" s="766"/>
    </row>
    <row r="68" spans="3:24" ht="12" customHeight="1" x14ac:dyDescent="0.2">
      <c r="C68" s="218">
        <f t="shared" si="15"/>
        <v>9</v>
      </c>
      <c r="D68" s="744"/>
      <c r="E68" s="744" t="s">
        <v>954</v>
      </c>
      <c r="F68" s="744" t="str">
        <f t="shared" ref="F68:F69" si="19">$F$64</f>
        <v>$'000 nominal</v>
      </c>
      <c r="G68" s="571"/>
      <c r="H68" s="744"/>
      <c r="I68" s="891"/>
      <c r="J68" s="744"/>
      <c r="K68" s="744"/>
      <c r="L68" s="744"/>
      <c r="M68" s="744"/>
      <c r="N68" s="744"/>
      <c r="O68" s="744"/>
      <c r="P68" s="744"/>
      <c r="Q68" s="744"/>
      <c r="R68" s="744"/>
      <c r="S68" s="744"/>
      <c r="T68" s="744"/>
      <c r="U68" s="744"/>
      <c r="V68" s="744"/>
      <c r="W68" s="744"/>
      <c r="X68" s="766"/>
    </row>
    <row r="69" spans="3:24" ht="12" customHeight="1" x14ac:dyDescent="0.2">
      <c r="C69" s="218">
        <f t="shared" si="15"/>
        <v>10</v>
      </c>
      <c r="D69" s="744"/>
      <c r="E69" s="744" t="s">
        <v>955</v>
      </c>
      <c r="F69" s="744" t="str">
        <f t="shared" si="19"/>
        <v>$'000 nominal</v>
      </c>
      <c r="G69" s="571"/>
      <c r="H69" s="890">
        <f>H55*H$48</f>
        <v>150712320</v>
      </c>
      <c r="I69" s="891">
        <f>I64+I65-I67</f>
        <v>147206148.58752</v>
      </c>
      <c r="J69" s="891">
        <f t="shared" ref="J69:W69" si="20">J64+J65-J67</f>
        <v>143684955.77858049</v>
      </c>
      <c r="K69" s="891">
        <f t="shared" si="20"/>
        <v>140148381.0596664</v>
      </c>
      <c r="L69" s="891">
        <f t="shared" si="20"/>
        <v>136596055.26493838</v>
      </c>
      <c r="M69" s="891">
        <f t="shared" si="20"/>
        <v>133027600.36857691</v>
      </c>
      <c r="N69" s="891">
        <f t="shared" si="20"/>
        <v>129442629.27214275</v>
      </c>
      <c r="O69" s="891">
        <f t="shared" si="20"/>
        <v>125840745.58683418</v>
      </c>
      <c r="P69" s="891">
        <f t="shared" si="20"/>
        <v>122221543.4105182</v>
      </c>
      <c r="Q69" s="891">
        <f t="shared" si="20"/>
        <v>118584607.09941064</v>
      </c>
      <c r="R69" s="891">
        <f t="shared" si="20"/>
        <v>114929511.0342765</v>
      </c>
      <c r="S69" s="891">
        <f t="shared" si="20"/>
        <v>111255819.38101915</v>
      </c>
      <c r="T69" s="891">
        <f t="shared" si="20"/>
        <v>107563085.8455236</v>
      </c>
      <c r="U69" s="891">
        <f t="shared" si="20"/>
        <v>103850853.42261617</v>
      </c>
      <c r="V69" s="891">
        <f t="shared" si="20"/>
        <v>100118654.13899896</v>
      </c>
      <c r="W69" s="891">
        <f t="shared" si="20"/>
        <v>96366008.790014938</v>
      </c>
      <c r="X69" s="766"/>
    </row>
    <row r="70" spans="3:24" ht="12" customHeight="1" x14ac:dyDescent="0.2">
      <c r="C70" s="218">
        <f t="shared" si="15"/>
        <v>11</v>
      </c>
      <c r="D70" s="744"/>
      <c r="E70" s="744"/>
      <c r="F70" s="744"/>
      <c r="G70" s="571"/>
      <c r="H70" s="744"/>
      <c r="I70" s="744"/>
      <c r="J70" s="744"/>
      <c r="K70" s="744"/>
      <c r="L70" s="744"/>
      <c r="M70" s="744"/>
      <c r="N70" s="744"/>
      <c r="O70" s="744"/>
      <c r="P70" s="744"/>
      <c r="Q70" s="744"/>
      <c r="R70" s="744"/>
      <c r="S70" s="744"/>
      <c r="T70" s="744"/>
      <c r="U70" s="744"/>
      <c r="V70" s="744"/>
      <c r="W70" s="744"/>
      <c r="X70" s="766"/>
    </row>
    <row r="71" spans="3:24" ht="12" customHeight="1" x14ac:dyDescent="0.2">
      <c r="C71" s="218">
        <f t="shared" si="15"/>
        <v>12</v>
      </c>
      <c r="D71" s="744"/>
      <c r="E71" s="245" t="s">
        <v>956</v>
      </c>
      <c r="F71" s="744"/>
      <c r="G71" s="571"/>
      <c r="H71" s="744"/>
      <c r="I71" s="744"/>
      <c r="J71" s="744"/>
      <c r="K71" s="744"/>
      <c r="L71" s="744"/>
      <c r="M71" s="744"/>
      <c r="N71" s="744"/>
      <c r="O71" s="744"/>
      <c r="P71" s="744"/>
      <c r="Q71" s="744"/>
      <c r="R71" s="744"/>
      <c r="S71" s="744"/>
      <c r="T71" s="744"/>
      <c r="U71" s="744"/>
      <c r="V71" s="744"/>
      <c r="W71" s="744"/>
      <c r="X71" s="766"/>
    </row>
    <row r="72" spans="3:24" ht="12" customHeight="1" x14ac:dyDescent="0.2">
      <c r="C72" s="218">
        <f t="shared" si="15"/>
        <v>13</v>
      </c>
      <c r="D72" s="744"/>
      <c r="E72" s="744" t="s">
        <v>994</v>
      </c>
      <c r="F72" s="744" t="str">
        <f t="shared" ref="F72:F81" si="21">$F$64</f>
        <v>$'000 nominal</v>
      </c>
      <c r="G72" s="571"/>
      <c r="H72" s="744" t="s">
        <v>957</v>
      </c>
      <c r="I72" s="891">
        <f>I61</f>
        <v>14640069.165259669</v>
      </c>
      <c r="J72" s="891">
        <f t="shared" ref="J72:W72" si="22">J61</f>
        <v>14456697.595456742</v>
      </c>
      <c r="K72" s="891">
        <f t="shared" si="22"/>
        <v>14270051.956999034</v>
      </c>
      <c r="L72" s="891">
        <f t="shared" si="22"/>
        <v>14080132.249886544</v>
      </c>
      <c r="M72" s="891">
        <f t="shared" si="22"/>
        <v>13886938.474119276</v>
      </c>
      <c r="N72" s="891">
        <f t="shared" si="22"/>
        <v>13690470.629697224</v>
      </c>
      <c r="O72" s="891">
        <f t="shared" si="22"/>
        <v>13490728.716620391</v>
      </c>
      <c r="P72" s="891">
        <f t="shared" si="22"/>
        <v>13287712.734888775</v>
      </c>
      <c r="Q72" s="891">
        <f t="shared" si="22"/>
        <v>13081422.684502382</v>
      </c>
      <c r="R72" s="891">
        <f t="shared" si="22"/>
        <v>12871858.565461205</v>
      </c>
      <c r="S72" s="891">
        <f t="shared" si="22"/>
        <v>12659020.377765248</v>
      </c>
      <c r="T72" s="891">
        <f t="shared" si="22"/>
        <v>12442908.121414511</v>
      </c>
      <c r="U72" s="891">
        <f t="shared" si="22"/>
        <v>12223521.79640899</v>
      </c>
      <c r="V72" s="891">
        <f t="shared" si="22"/>
        <v>12000861.402748689</v>
      </c>
      <c r="W72" s="891">
        <f t="shared" si="22"/>
        <v>11774926.940433605</v>
      </c>
      <c r="X72" s="766"/>
    </row>
    <row r="73" spans="3:24" ht="12" customHeight="1" x14ac:dyDescent="0.2">
      <c r="C73" s="218">
        <f t="shared" si="15"/>
        <v>14</v>
      </c>
      <c r="D73" s="744"/>
      <c r="E73" s="744" t="s">
        <v>958</v>
      </c>
      <c r="F73" s="744"/>
      <c r="G73" s="571"/>
      <c r="H73" s="744" t="s">
        <v>959</v>
      </c>
      <c r="I73" s="891"/>
      <c r="J73" s="891"/>
      <c r="K73" s="891"/>
      <c r="L73" s="891"/>
      <c r="M73" s="891"/>
      <c r="N73" s="891"/>
      <c r="O73" s="891"/>
      <c r="P73" s="891"/>
      <c r="Q73" s="891"/>
      <c r="R73" s="891"/>
      <c r="S73" s="891"/>
      <c r="T73" s="891"/>
      <c r="U73" s="891"/>
      <c r="V73" s="891"/>
      <c r="W73" s="891"/>
      <c r="X73" s="766"/>
    </row>
    <row r="74" spans="3:24" ht="12" customHeight="1" x14ac:dyDescent="0.2">
      <c r="C74" s="218">
        <f t="shared" si="15"/>
        <v>15</v>
      </c>
      <c r="D74" s="744"/>
      <c r="E74" s="744" t="s">
        <v>960</v>
      </c>
      <c r="F74" s="744" t="str">
        <f t="shared" si="21"/>
        <v>$'000 nominal</v>
      </c>
      <c r="G74" s="571"/>
      <c r="H74" s="744"/>
      <c r="I74" s="891">
        <v>0</v>
      </c>
      <c r="J74" s="891">
        <v>0</v>
      </c>
      <c r="K74" s="891">
        <v>0</v>
      </c>
      <c r="L74" s="891">
        <v>0</v>
      </c>
      <c r="M74" s="891">
        <v>0</v>
      </c>
      <c r="N74" s="891">
        <v>0</v>
      </c>
      <c r="O74" s="891">
        <v>0</v>
      </c>
      <c r="P74" s="891">
        <v>0</v>
      </c>
      <c r="Q74" s="891">
        <v>0</v>
      </c>
      <c r="R74" s="891">
        <v>0</v>
      </c>
      <c r="S74" s="891">
        <v>0</v>
      </c>
      <c r="T74" s="891">
        <v>0</v>
      </c>
      <c r="U74" s="891">
        <v>0</v>
      </c>
      <c r="V74" s="891">
        <v>0</v>
      </c>
      <c r="W74" s="891">
        <v>0</v>
      </c>
      <c r="X74" s="766"/>
    </row>
    <row r="75" spans="3:24" ht="12" customHeight="1" x14ac:dyDescent="0.2">
      <c r="C75" s="218">
        <f t="shared" si="15"/>
        <v>16</v>
      </c>
      <c r="D75" s="744"/>
      <c r="E75" s="744" t="s">
        <v>951</v>
      </c>
      <c r="F75" s="744" t="str">
        <f t="shared" si="21"/>
        <v>$'000 nominal</v>
      </c>
      <c r="G75" s="571"/>
      <c r="H75" s="744"/>
      <c r="I75" s="891">
        <f>I67</f>
        <v>5049465.5692800004</v>
      </c>
      <c r="J75" s="891">
        <f t="shared" ref="J75:W75" si="23">J67</f>
        <v>5101526.0255027199</v>
      </c>
      <c r="K75" s="891">
        <f t="shared" si="23"/>
        <v>5154835.9326747851</v>
      </c>
      <c r="L75" s="891">
        <f t="shared" si="23"/>
        <v>5209425.27761898</v>
      </c>
      <c r="M75" s="891">
        <f t="shared" si="23"/>
        <v>5265324.7668418353</v>
      </c>
      <c r="N75" s="891">
        <f t="shared" si="23"/>
        <v>5322565.8438060395</v>
      </c>
      <c r="O75" s="891">
        <f t="shared" si="23"/>
        <v>5381180.7066173851</v>
      </c>
      <c r="P75" s="891">
        <f t="shared" si="23"/>
        <v>5441202.3261362016</v>
      </c>
      <c r="Q75" s="891">
        <f t="shared" si="23"/>
        <v>5502664.46452347</v>
      </c>
      <c r="R75" s="891">
        <f t="shared" si="23"/>
        <v>5565601.6942320336</v>
      </c>
      <c r="S75" s="891">
        <f t="shared" si="23"/>
        <v>5630049.4174536029</v>
      </c>
      <c r="T75" s="891">
        <f t="shared" si="23"/>
        <v>5696043.8860324891</v>
      </c>
      <c r="U75" s="891">
        <f t="shared" si="23"/>
        <v>5763622.2218572693</v>
      </c>
      <c r="V75" s="891">
        <f t="shared" si="23"/>
        <v>5832822.437741844</v>
      </c>
      <c r="W75" s="891">
        <f t="shared" si="23"/>
        <v>5903683.4588076482</v>
      </c>
      <c r="X75" s="766"/>
    </row>
    <row r="76" spans="3:24" ht="12" customHeight="1" x14ac:dyDescent="0.2">
      <c r="C76" s="218">
        <f t="shared" si="15"/>
        <v>17</v>
      </c>
      <c r="D76" s="744"/>
      <c r="E76" s="744" t="s">
        <v>961</v>
      </c>
      <c r="F76" s="744" t="str">
        <f t="shared" si="21"/>
        <v>$'000 nominal</v>
      </c>
      <c r="G76" s="571"/>
      <c r="H76" s="744"/>
      <c r="I76" s="891">
        <f>AVERAGE(I50,I55)*I$48*$K$10*$K$11</f>
        <v>1601418.4729804802</v>
      </c>
      <c r="J76" s="891">
        <f t="shared" ref="J76:W76" si="24">AVERAGE(J50,J55)*J$48*$K$10*$K$11</f>
        <v>1600581.2359004163</v>
      </c>
      <c r="K76" s="891">
        <f t="shared" si="24"/>
        <v>1598215.0029752564</v>
      </c>
      <c r="L76" s="891">
        <f t="shared" si="24"/>
        <v>1594233.2712587982</v>
      </c>
      <c r="M76" s="891">
        <f t="shared" si="24"/>
        <v>1588545.9401235681</v>
      </c>
      <c r="N76" s="891">
        <f t="shared" si="24"/>
        <v>1581059.180568022</v>
      </c>
      <c r="O76" s="891">
        <f t="shared" si="24"/>
        <v>1571675.30013484</v>
      </c>
      <c r="P76" s="891">
        <f t="shared" si="24"/>
        <v>1560292.6033004213</v>
      </c>
      <c r="Q76" s="891">
        <f t="shared" si="24"/>
        <v>1546805.247191377</v>
      </c>
      <c r="R76" s="891">
        <f t="shared" si="24"/>
        <v>1531103.0924794134</v>
      </c>
      <c r="S76" s="891">
        <f t="shared" si="24"/>
        <v>1513071.5493014245</v>
      </c>
      <c r="T76" s="891">
        <f t="shared" si="24"/>
        <v>1492591.4180469362</v>
      </c>
      <c r="U76" s="891">
        <f t="shared" si="24"/>
        <v>1469538.7248502024</v>
      </c>
      <c r="V76" s="891">
        <f t="shared" si="24"/>
        <v>1443784.5516192869</v>
      </c>
      <c r="W76" s="891">
        <f t="shared" si="24"/>
        <v>1415194.8604293352</v>
      </c>
      <c r="X76" s="766" t="s">
        <v>962</v>
      </c>
    </row>
    <row r="77" spans="3:24" ht="12" customHeight="1" x14ac:dyDescent="0.2">
      <c r="C77" s="218">
        <f t="shared" si="15"/>
        <v>18</v>
      </c>
      <c r="D77" s="744"/>
      <c r="E77" s="744" t="s">
        <v>963</v>
      </c>
      <c r="F77" s="744" t="str">
        <f t="shared" si="21"/>
        <v>$'000 nominal</v>
      </c>
      <c r="G77" s="571"/>
      <c r="H77" s="744"/>
      <c r="I77" s="891">
        <f>I72-I75-I76</f>
        <v>7989185.1229991876</v>
      </c>
      <c r="J77" s="891">
        <f t="shared" ref="J77:W77" si="25">J72-J75-J76</f>
        <v>7754590.3340536067</v>
      </c>
      <c r="K77" s="891">
        <f t="shared" si="25"/>
        <v>7517001.0213489933</v>
      </c>
      <c r="L77" s="891">
        <f t="shared" si="25"/>
        <v>7276473.701008766</v>
      </c>
      <c r="M77" s="891">
        <f t="shared" si="25"/>
        <v>7033067.7671538712</v>
      </c>
      <c r="N77" s="891">
        <f t="shared" si="25"/>
        <v>6786845.6053231629</v>
      </c>
      <c r="O77" s="891">
        <f t="shared" si="25"/>
        <v>6537872.7098681666</v>
      </c>
      <c r="P77" s="891">
        <f t="shared" si="25"/>
        <v>6286217.8054521522</v>
      </c>
      <c r="Q77" s="891">
        <f t="shared" si="25"/>
        <v>6031952.9727875348</v>
      </c>
      <c r="R77" s="891">
        <f t="shared" si="25"/>
        <v>5775153.7787497584</v>
      </c>
      <c r="S77" s="891">
        <f t="shared" si="25"/>
        <v>5515899.4110102206</v>
      </c>
      <c r="T77" s="891">
        <f t="shared" si="25"/>
        <v>5254272.817335085</v>
      </c>
      <c r="U77" s="891">
        <f t="shared" si="25"/>
        <v>4990360.8497015182</v>
      </c>
      <c r="V77" s="891">
        <f t="shared" si="25"/>
        <v>4724254.4133875584</v>
      </c>
      <c r="W77" s="891">
        <f t="shared" si="25"/>
        <v>4456048.6211966211</v>
      </c>
      <c r="X77" s="766"/>
    </row>
    <row r="78" spans="3:24" ht="12" customHeight="1" x14ac:dyDescent="0.2">
      <c r="C78" s="218">
        <f t="shared" si="15"/>
        <v>19</v>
      </c>
      <c r="D78" s="744"/>
      <c r="E78" s="744"/>
      <c r="F78" s="744"/>
      <c r="G78" s="571"/>
      <c r="H78" s="744"/>
      <c r="I78" s="744"/>
      <c r="J78" s="744"/>
      <c r="K78" s="744"/>
      <c r="L78" s="744"/>
      <c r="M78" s="744"/>
      <c r="N78" s="744"/>
      <c r="O78" s="744"/>
      <c r="P78" s="744"/>
      <c r="Q78" s="744"/>
      <c r="R78" s="744"/>
      <c r="S78" s="744"/>
      <c r="T78" s="744"/>
      <c r="U78" s="744"/>
      <c r="V78" s="744"/>
      <c r="W78" s="744"/>
      <c r="X78" s="766"/>
    </row>
    <row r="79" spans="3:24" ht="12" customHeight="1" x14ac:dyDescent="0.2">
      <c r="C79" s="218">
        <f t="shared" si="15"/>
        <v>20</v>
      </c>
      <c r="D79" s="744"/>
      <c r="E79" s="744" t="s">
        <v>964</v>
      </c>
      <c r="F79" s="744" t="str">
        <f t="shared" si="21"/>
        <v>$'000 nominal</v>
      </c>
      <c r="G79" s="571"/>
      <c r="H79" s="744"/>
      <c r="I79" s="891">
        <f>I77*$K$13/(1-$K$13*(1-$K$12))</f>
        <v>3092587.7895480725</v>
      </c>
      <c r="J79" s="891">
        <f t="shared" ref="J79:W79" si="26">J77*$K$13/(1-$K$13*(1-$K$12))</f>
        <v>3001776.9035046217</v>
      </c>
      <c r="K79" s="891">
        <f t="shared" si="26"/>
        <v>2909806.8469738034</v>
      </c>
      <c r="L79" s="891">
        <f t="shared" si="26"/>
        <v>2816699.4971646834</v>
      </c>
      <c r="M79" s="891">
        <f t="shared" si="26"/>
        <v>2722477.8453498855</v>
      </c>
      <c r="N79" s="891">
        <f t="shared" si="26"/>
        <v>2627166.0407702564</v>
      </c>
      <c r="O79" s="891">
        <f t="shared" si="26"/>
        <v>2530789.4360779999</v>
      </c>
      <c r="P79" s="891">
        <f t="shared" si="26"/>
        <v>2433374.6343685747</v>
      </c>
      <c r="Q79" s="891">
        <f t="shared" si="26"/>
        <v>2334949.5378532391</v>
      </c>
      <c r="R79" s="891">
        <f t="shared" si="26"/>
        <v>2235543.3982257126</v>
      </c>
      <c r="S79" s="891">
        <f t="shared" si="26"/>
        <v>2135186.8687781501</v>
      </c>
      <c r="T79" s="891">
        <f t="shared" si="26"/>
        <v>2033912.0583232585</v>
      </c>
      <c r="U79" s="891">
        <f t="shared" si="26"/>
        <v>1931752.5869812325</v>
      </c>
      <c r="V79" s="891">
        <f t="shared" si="26"/>
        <v>1828743.6438919578</v>
      </c>
      <c r="W79" s="891">
        <f t="shared" si="26"/>
        <v>1724922.046914821</v>
      </c>
      <c r="X79" s="766"/>
    </row>
    <row r="80" spans="3:24" ht="12" customHeight="1" x14ac:dyDescent="0.2">
      <c r="C80" s="218">
        <f t="shared" si="15"/>
        <v>21</v>
      </c>
      <c r="D80" s="744"/>
      <c r="E80" s="744" t="s">
        <v>965</v>
      </c>
      <c r="F80" s="744" t="str">
        <f t="shared" si="21"/>
        <v>$'000 nominal</v>
      </c>
      <c r="G80" s="571"/>
      <c r="H80" s="744"/>
      <c r="I80" s="891">
        <f>-I79*$K$12</f>
        <v>-773146.94738701812</v>
      </c>
      <c r="J80" s="891">
        <f t="shared" ref="J80:W80" si="27">-J79*$K$12</f>
        <v>-750444.22587615543</v>
      </c>
      <c r="K80" s="891">
        <f t="shared" si="27"/>
        <v>-727451.71174345084</v>
      </c>
      <c r="L80" s="891">
        <f t="shared" si="27"/>
        <v>-704174.87429117085</v>
      </c>
      <c r="M80" s="891">
        <f t="shared" si="27"/>
        <v>-680619.46133747138</v>
      </c>
      <c r="N80" s="891">
        <f t="shared" si="27"/>
        <v>-656791.51019256411</v>
      </c>
      <c r="O80" s="891">
        <f t="shared" si="27"/>
        <v>-632697.35901949997</v>
      </c>
      <c r="P80" s="891">
        <f t="shared" si="27"/>
        <v>-608343.65859214368</v>
      </c>
      <c r="Q80" s="891">
        <f t="shared" si="27"/>
        <v>-583737.38446330978</v>
      </c>
      <c r="R80" s="891">
        <f t="shared" si="27"/>
        <v>-558885.84955642815</v>
      </c>
      <c r="S80" s="891">
        <f t="shared" si="27"/>
        <v>-533796.71719453752</v>
      </c>
      <c r="T80" s="891">
        <f t="shared" si="27"/>
        <v>-508478.01458081463</v>
      </c>
      <c r="U80" s="891">
        <f t="shared" si="27"/>
        <v>-482938.14674530813</v>
      </c>
      <c r="V80" s="891">
        <f t="shared" si="27"/>
        <v>-457185.91097298946</v>
      </c>
      <c r="W80" s="891">
        <f t="shared" si="27"/>
        <v>-431230.51172870526</v>
      </c>
      <c r="X80" s="766"/>
    </row>
    <row r="81" spans="2:24" ht="12" customHeight="1" x14ac:dyDescent="0.2">
      <c r="C81" s="218">
        <f t="shared" si="15"/>
        <v>22</v>
      </c>
      <c r="D81" s="744"/>
      <c r="E81" s="744" t="s">
        <v>966</v>
      </c>
      <c r="F81" s="744" t="str">
        <f t="shared" si="21"/>
        <v>$'000 nominal</v>
      </c>
      <c r="G81" s="571"/>
      <c r="H81" s="744"/>
      <c r="I81" s="891">
        <f>SUM(I79:I80)</f>
        <v>2319440.8421610543</v>
      </c>
      <c r="J81" s="891">
        <f t="shared" ref="J81:W81" si="28">SUM(J79:J80)</f>
        <v>2251332.6776284664</v>
      </c>
      <c r="K81" s="891">
        <f t="shared" si="28"/>
        <v>2182355.1352303526</v>
      </c>
      <c r="L81" s="891">
        <f t="shared" si="28"/>
        <v>2112524.6228735126</v>
      </c>
      <c r="M81" s="891">
        <f t="shared" si="28"/>
        <v>2041858.3840124141</v>
      </c>
      <c r="N81" s="891">
        <f t="shared" si="28"/>
        <v>1970374.5305776922</v>
      </c>
      <c r="O81" s="891">
        <f t="shared" si="28"/>
        <v>1898092.0770584999</v>
      </c>
      <c r="P81" s="891">
        <f t="shared" si="28"/>
        <v>1825030.9757764312</v>
      </c>
      <c r="Q81" s="891">
        <f t="shared" si="28"/>
        <v>1751212.1533899293</v>
      </c>
      <c r="R81" s="891">
        <f t="shared" si="28"/>
        <v>1676657.5486692844</v>
      </c>
      <c r="S81" s="891">
        <f t="shared" si="28"/>
        <v>1601390.1515836124</v>
      </c>
      <c r="T81" s="891">
        <f t="shared" si="28"/>
        <v>1525434.0437424439</v>
      </c>
      <c r="U81" s="891">
        <f t="shared" si="28"/>
        <v>1448814.4402359244</v>
      </c>
      <c r="V81" s="891">
        <f t="shared" si="28"/>
        <v>1371557.7329189684</v>
      </c>
      <c r="W81" s="891">
        <f t="shared" si="28"/>
        <v>1293691.5351861157</v>
      </c>
      <c r="X81" s="766"/>
    </row>
    <row r="82" spans="2:24" ht="12" customHeight="1" x14ac:dyDescent="0.2">
      <c r="C82" s="218">
        <f t="shared" si="15"/>
        <v>23</v>
      </c>
      <c r="D82" s="744"/>
      <c r="E82" s="744" t="s">
        <v>966</v>
      </c>
      <c r="F82" s="744" t="str">
        <f>$F$50</f>
        <v>$'000 real</v>
      </c>
      <c r="G82" s="571"/>
      <c r="H82" s="744"/>
      <c r="I82" s="891">
        <f>I81/I$48</f>
        <v>2211991.1595926802</v>
      </c>
      <c r="J82" s="891">
        <f t="shared" ref="J82:W82" si="29">J81/J$48</f>
        <v>2096716.9456449023</v>
      </c>
      <c r="K82" s="891">
        <f t="shared" si="29"/>
        <v>1984840.4328789476</v>
      </c>
      <c r="L82" s="891">
        <f t="shared" si="29"/>
        <v>1876298.7811213988</v>
      </c>
      <c r="M82" s="891">
        <f t="shared" si="29"/>
        <v>1771029.8366832002</v>
      </c>
      <c r="N82" s="891">
        <f t="shared" si="29"/>
        <v>1668972.1458300308</v>
      </c>
      <c r="O82" s="891">
        <f t="shared" si="29"/>
        <v>1570064.9669832981</v>
      </c>
      <c r="P82" s="891">
        <f t="shared" si="29"/>
        <v>1474248.2817099586</v>
      </c>
      <c r="Q82" s="891">
        <f t="shared" si="29"/>
        <v>1381462.8045572164</v>
      </c>
      <c r="R82" s="891">
        <f t="shared" si="29"/>
        <v>1291649.9917860292</v>
      </c>
      <c r="S82" s="891">
        <f t="shared" si="29"/>
        <v>1204752.0490553486</v>
      </c>
      <c r="T82" s="891">
        <f t="shared" si="29"/>
        <v>1120711.9381070251</v>
      </c>
      <c r="U82" s="891">
        <f t="shared" si="29"/>
        <v>1039473.3824994403</v>
      </c>
      <c r="V82" s="891">
        <f t="shared" si="29"/>
        <v>960980.87243608839</v>
      </c>
      <c r="W82" s="891">
        <f t="shared" si="29"/>
        <v>885179.66873355361</v>
      </c>
      <c r="X82" s="766"/>
    </row>
    <row r="83" spans="2:24" ht="12" customHeight="1" x14ac:dyDescent="0.2">
      <c r="C83" s="218"/>
      <c r="D83" s="744"/>
      <c r="E83" s="744"/>
      <c r="F83" s="744"/>
      <c r="G83" s="571"/>
      <c r="H83" s="744"/>
      <c r="I83" s="735"/>
      <c r="J83" s="735"/>
      <c r="K83" s="735"/>
      <c r="L83" s="735"/>
      <c r="M83" s="735"/>
      <c r="N83" s="735"/>
      <c r="O83" s="735"/>
      <c r="P83" s="735"/>
      <c r="Q83" s="735"/>
      <c r="R83" s="735"/>
      <c r="S83" s="735"/>
      <c r="T83" s="735"/>
      <c r="U83" s="735"/>
      <c r="V83" s="735"/>
      <c r="W83" s="735"/>
    </row>
    <row r="84" spans="2:24" ht="12" customHeight="1" x14ac:dyDescent="0.2">
      <c r="E84" s="380" t="s">
        <v>967</v>
      </c>
      <c r="F84" s="571" t="s">
        <v>853</v>
      </c>
      <c r="G84" s="571"/>
      <c r="H84" s="571"/>
      <c r="I84" s="895">
        <f>I61+I82</f>
        <v>16852060.324852347</v>
      </c>
      <c r="J84" s="895">
        <f t="shared" ref="J84:W84" si="30">J61+J82</f>
        <v>16553414.541101644</v>
      </c>
      <c r="K84" s="895">
        <f t="shared" si="30"/>
        <v>16254892.389877981</v>
      </c>
      <c r="L84" s="895">
        <f t="shared" si="30"/>
        <v>15956431.031007944</v>
      </c>
      <c r="M84" s="895">
        <f t="shared" si="30"/>
        <v>15657968.310802476</v>
      </c>
      <c r="N84" s="895">
        <f t="shared" si="30"/>
        <v>15359442.775527256</v>
      </c>
      <c r="O84" s="895">
        <f t="shared" si="30"/>
        <v>15060793.683603689</v>
      </c>
      <c r="P84" s="895">
        <f t="shared" si="30"/>
        <v>14761961.016598733</v>
      </c>
      <c r="Q84" s="895">
        <f t="shared" si="30"/>
        <v>14462885.489059597</v>
      </c>
      <c r="R84" s="895">
        <f t="shared" si="30"/>
        <v>14163508.557247235</v>
      </c>
      <c r="S84" s="895">
        <f t="shared" si="30"/>
        <v>13863772.426820597</v>
      </c>
      <c r="T84" s="895">
        <f t="shared" si="30"/>
        <v>13563620.059521535</v>
      </c>
      <c r="U84" s="895">
        <f t="shared" si="30"/>
        <v>13262995.17890843</v>
      </c>
      <c r="V84" s="895">
        <f t="shared" si="30"/>
        <v>12961842.275184777</v>
      </c>
      <c r="W84" s="895">
        <f t="shared" si="30"/>
        <v>12660106.609167159</v>
      </c>
    </row>
    <row r="85" spans="2:24" ht="12" customHeight="1" x14ac:dyDescent="0.2">
      <c r="E85" s="380" t="s">
        <v>845</v>
      </c>
      <c r="F85" s="571" t="s">
        <v>838</v>
      </c>
      <c r="G85" s="571"/>
      <c r="H85" s="571"/>
      <c r="I85" s="736">
        <f t="shared" ref="I85:W85" si="31">I84/($K$7*10^6)</f>
        <v>0.16852060324852347</v>
      </c>
      <c r="J85" s="736">
        <f t="shared" si="31"/>
        <v>0.16553414541101644</v>
      </c>
      <c r="K85" s="736">
        <f t="shared" si="31"/>
        <v>0.16254892389877981</v>
      </c>
      <c r="L85" s="736">
        <f t="shared" si="31"/>
        <v>0.15956431031007945</v>
      </c>
      <c r="M85" s="736">
        <f t="shared" si="31"/>
        <v>0.15657968310802475</v>
      </c>
      <c r="N85" s="736">
        <f t="shared" si="31"/>
        <v>0.15359442775527254</v>
      </c>
      <c r="O85" s="736">
        <f t="shared" si="31"/>
        <v>0.1506079368360369</v>
      </c>
      <c r="P85" s="736">
        <f t="shared" si="31"/>
        <v>0.14761961016598732</v>
      </c>
      <c r="Q85" s="736">
        <f t="shared" si="31"/>
        <v>0.14462885489059596</v>
      </c>
      <c r="R85" s="736">
        <f t="shared" si="31"/>
        <v>0.14163508557247234</v>
      </c>
      <c r="S85" s="736">
        <f t="shared" si="31"/>
        <v>0.13863772426820598</v>
      </c>
      <c r="T85" s="736">
        <f t="shared" si="31"/>
        <v>0.13563620059521536</v>
      </c>
      <c r="U85" s="736">
        <f t="shared" si="31"/>
        <v>0.13262995178908429</v>
      </c>
      <c r="V85" s="736">
        <f t="shared" si="31"/>
        <v>0.12961842275184776</v>
      </c>
      <c r="W85" s="736">
        <f t="shared" si="31"/>
        <v>0.1266010660916716</v>
      </c>
    </row>
    <row r="86" spans="2:24" ht="12" customHeight="1" x14ac:dyDescent="0.2">
      <c r="B86" s="731" t="str">
        <f>E86&amp;"."&amp;D49</f>
        <v>15 year average Ethanol Charge.Wheat Standalone (Starch)</v>
      </c>
      <c r="E86" s="380" t="str">
        <f>$K$8&amp;" year average Ethanol Charge"</f>
        <v>15 year average Ethanol Charge</v>
      </c>
      <c r="F86" s="571" t="s">
        <v>838</v>
      </c>
      <c r="G86" s="571"/>
      <c r="H86" s="571"/>
      <c r="I86" s="747">
        <f ca="1">AVERAGE($I85:OFFSET($I85,0,$K$8-1))</f>
        <v>0.14759712977952097</v>
      </c>
      <c r="J86" s="736"/>
      <c r="K86" s="736"/>
      <c r="L86" s="736"/>
      <c r="M86" s="736"/>
      <c r="N86" s="736"/>
      <c r="O86" s="736"/>
      <c r="P86" s="736"/>
      <c r="Q86" s="736"/>
      <c r="R86" s="736"/>
      <c r="S86" s="736"/>
      <c r="T86" s="736"/>
      <c r="U86" s="736"/>
      <c r="V86" s="736"/>
      <c r="W86" s="736"/>
    </row>
    <row r="87" spans="2:24" ht="12" customHeight="1" x14ac:dyDescent="0.2"/>
    <row r="88" spans="2:24" ht="12" customHeight="1" x14ac:dyDescent="0.25">
      <c r="D88" s="749" t="str">
        <f>E12</f>
        <v>Wheat Integrated (Starch)</v>
      </c>
      <c r="E88" s="750"/>
      <c r="F88" s="750"/>
      <c r="G88" s="750"/>
      <c r="H88" s="750"/>
      <c r="I88" s="750"/>
      <c r="J88" s="750"/>
      <c r="K88" s="750"/>
      <c r="L88" s="750"/>
      <c r="M88" s="750"/>
      <c r="N88" s="750"/>
      <c r="O88" s="750"/>
      <c r="P88" s="750"/>
      <c r="Q88" s="750"/>
      <c r="R88" s="750"/>
      <c r="S88" s="750"/>
      <c r="T88" s="750"/>
      <c r="U88" s="750"/>
      <c r="V88" s="750"/>
      <c r="W88" s="750"/>
    </row>
    <row r="89" spans="2:24" ht="12" customHeight="1" x14ac:dyDescent="0.2">
      <c r="D89" s="743"/>
      <c r="E89" s="743" t="s">
        <v>828</v>
      </c>
      <c r="F89" s="743" t="s">
        <v>836</v>
      </c>
      <c r="G89" s="738"/>
      <c r="H89" s="743"/>
      <c r="I89" s="739">
        <f>H94</f>
        <v>147180000</v>
      </c>
      <c r="J89" s="739">
        <f>I94</f>
        <v>143721270</v>
      </c>
      <c r="K89" s="739">
        <f t="shared" ref="K89:W89" si="32">J94</f>
        <v>140213480</v>
      </c>
      <c r="L89" s="739">
        <f t="shared" si="32"/>
        <v>136656630</v>
      </c>
      <c r="M89" s="739">
        <f t="shared" si="32"/>
        <v>133050720</v>
      </c>
      <c r="N89" s="739">
        <f t="shared" si="32"/>
        <v>129395750</v>
      </c>
      <c r="O89" s="739">
        <f t="shared" si="32"/>
        <v>125691720</v>
      </c>
      <c r="P89" s="739">
        <f t="shared" si="32"/>
        <v>121938630</v>
      </c>
      <c r="Q89" s="739">
        <f t="shared" si="32"/>
        <v>118136480</v>
      </c>
      <c r="R89" s="739">
        <f t="shared" si="32"/>
        <v>114285270</v>
      </c>
      <c r="S89" s="739">
        <f t="shared" si="32"/>
        <v>110385000</v>
      </c>
      <c r="T89" s="739">
        <f t="shared" si="32"/>
        <v>106435670</v>
      </c>
      <c r="U89" s="739">
        <f t="shared" si="32"/>
        <v>102437280</v>
      </c>
      <c r="V89" s="739">
        <f t="shared" si="32"/>
        <v>98389830</v>
      </c>
      <c r="W89" s="739">
        <f t="shared" si="32"/>
        <v>94293320</v>
      </c>
      <c r="X89" s="766"/>
    </row>
    <row r="90" spans="2:24" ht="12" customHeight="1" x14ac:dyDescent="0.2">
      <c r="D90" s="743"/>
      <c r="E90" s="743" t="s">
        <v>829</v>
      </c>
      <c r="F90" s="743" t="s">
        <v>836</v>
      </c>
      <c r="G90" s="738"/>
      <c r="H90" s="743"/>
      <c r="I90" s="739">
        <f>INDEX($F$11:$F$18,MATCH(D88,$E$11:$E$18,0))</f>
        <v>1471800</v>
      </c>
      <c r="J90" s="739">
        <f>I90</f>
        <v>1471800</v>
      </c>
      <c r="K90" s="739">
        <f t="shared" ref="K90:W91" si="33">J90</f>
        <v>1471800</v>
      </c>
      <c r="L90" s="739">
        <f t="shared" si="33"/>
        <v>1471800</v>
      </c>
      <c r="M90" s="739">
        <f t="shared" si="33"/>
        <v>1471800</v>
      </c>
      <c r="N90" s="739">
        <f t="shared" si="33"/>
        <v>1471800</v>
      </c>
      <c r="O90" s="739">
        <f t="shared" si="33"/>
        <v>1471800</v>
      </c>
      <c r="P90" s="739">
        <f t="shared" si="33"/>
        <v>1471800</v>
      </c>
      <c r="Q90" s="739">
        <f t="shared" si="33"/>
        <v>1471800</v>
      </c>
      <c r="R90" s="739">
        <f t="shared" si="33"/>
        <v>1471800</v>
      </c>
      <c r="S90" s="739">
        <f t="shared" si="33"/>
        <v>1471800</v>
      </c>
      <c r="T90" s="739">
        <f t="shared" si="33"/>
        <v>1471800</v>
      </c>
      <c r="U90" s="739">
        <f t="shared" si="33"/>
        <v>1471800</v>
      </c>
      <c r="V90" s="739">
        <f t="shared" si="33"/>
        <v>1471800</v>
      </c>
      <c r="W90" s="739">
        <f t="shared" si="33"/>
        <v>1471800</v>
      </c>
      <c r="X90" s="766"/>
    </row>
    <row r="91" spans="2:24" ht="12" customHeight="1" x14ac:dyDescent="0.2">
      <c r="D91" s="743"/>
      <c r="E91" s="743" t="s">
        <v>830</v>
      </c>
      <c r="F91" s="743" t="s">
        <v>836</v>
      </c>
      <c r="G91" s="738"/>
      <c r="H91" s="743"/>
      <c r="I91" s="743">
        <v>0</v>
      </c>
      <c r="J91" s="743">
        <f>I91</f>
        <v>0</v>
      </c>
      <c r="K91" s="743">
        <f t="shared" si="33"/>
        <v>0</v>
      </c>
      <c r="L91" s="743">
        <f t="shared" si="33"/>
        <v>0</v>
      </c>
      <c r="M91" s="743">
        <f t="shared" si="33"/>
        <v>0</v>
      </c>
      <c r="N91" s="743">
        <f t="shared" si="33"/>
        <v>0</v>
      </c>
      <c r="O91" s="743">
        <f t="shared" si="33"/>
        <v>0</v>
      </c>
      <c r="P91" s="743">
        <f t="shared" si="33"/>
        <v>0</v>
      </c>
      <c r="Q91" s="743">
        <f t="shared" si="33"/>
        <v>0</v>
      </c>
      <c r="R91" s="743">
        <f t="shared" si="33"/>
        <v>0</v>
      </c>
      <c r="S91" s="743">
        <f t="shared" si="33"/>
        <v>0</v>
      </c>
      <c r="T91" s="743">
        <f t="shared" si="33"/>
        <v>0</v>
      </c>
      <c r="U91" s="743">
        <f t="shared" si="33"/>
        <v>0</v>
      </c>
      <c r="V91" s="743">
        <f t="shared" si="33"/>
        <v>0</v>
      </c>
      <c r="W91" s="743">
        <f t="shared" si="33"/>
        <v>0</v>
      </c>
      <c r="X91" s="766"/>
    </row>
    <row r="92" spans="2:24" ht="12" customHeight="1" x14ac:dyDescent="0.2">
      <c r="B92" s="731" t="str">
        <f>"Total Depreciation "&amp;D88&amp;" ("&amp;"Straight-Line"&amp;") over 30 years"</f>
        <v>Total Depreciation Wheat Integrated (Starch) (Straight-Line) over 30 years</v>
      </c>
      <c r="D92" s="743"/>
      <c r="E92" s="743" t="s">
        <v>831</v>
      </c>
      <c r="F92" s="743" t="s">
        <v>836</v>
      </c>
      <c r="G92" s="738"/>
      <c r="H92" s="743"/>
      <c r="I92" s="890">
        <f>$H94/$K$4+I90*$K$9/$K$5</f>
        <v>4930530</v>
      </c>
      <c r="J92" s="739">
        <f>$H94/$K$4+SUM($I90:I90)/$K$5+J90*$K$9/$K$5</f>
        <v>4979590</v>
      </c>
      <c r="K92" s="739">
        <f>$H94/$K$4+SUM($I90:J90)/$K$5+K90*$K$9/$K$5</f>
        <v>5028650</v>
      </c>
      <c r="L92" s="739">
        <f>$H94/$K$4+SUM($I90:K90)/$K$5+L90*$K$9/$K$5</f>
        <v>5077710</v>
      </c>
      <c r="M92" s="739">
        <f>$H94/$K$4+SUM($I90:L90)/$K$5+M90*$K$9/$K$5</f>
        <v>5126770</v>
      </c>
      <c r="N92" s="739">
        <f>$H94/$K$4+SUM($I90:M90)/$K$5+N90*$K$9/$K$5</f>
        <v>5175830</v>
      </c>
      <c r="O92" s="739">
        <f>$H94/$K$4+SUM($I90:N90)/$K$5+O90*$K$9/$K$5</f>
        <v>5224890</v>
      </c>
      <c r="P92" s="739">
        <f>$H94/$K$4+SUM($I90:O90)/$K$5+P90*$K$9/$K$5</f>
        <v>5273950</v>
      </c>
      <c r="Q92" s="739">
        <f>$H94/$K$4+SUM($I90:P90)/$K$5+Q90*$K$9/$K$5</f>
        <v>5323010</v>
      </c>
      <c r="R92" s="739">
        <f>$H94/$K$4+SUM($I90:Q90)/$K$5+R90*$K$9/$K$5</f>
        <v>5372070</v>
      </c>
      <c r="S92" s="739">
        <f>$H94/$K$4+SUM($I90:R90)/$K$5+S90*$K$9/$K$5</f>
        <v>5421130</v>
      </c>
      <c r="T92" s="739">
        <f>$H94/$K$4+SUM($I90:S90)/$K$5+T90*$K$9/$K$5</f>
        <v>5470190</v>
      </c>
      <c r="U92" s="739">
        <f>$H94/$K$4+SUM($I90:T90)/$K$5+U90*$K$9/$K$5</f>
        <v>5519250</v>
      </c>
      <c r="V92" s="739">
        <f>$H94/$K$4+SUM($I90:U90)/$K$5+V90*$K$9/$K$5</f>
        <v>5568310</v>
      </c>
      <c r="W92" s="739">
        <f>$H94/$K$4+SUM($I90:V90)/$K$5+W90*$K$9/$K$5</f>
        <v>5617370</v>
      </c>
      <c r="X92" s="766"/>
    </row>
    <row r="93" spans="2:24" ht="12" customHeight="1" x14ac:dyDescent="0.2">
      <c r="D93" s="743"/>
      <c r="E93" s="743" t="s">
        <v>832</v>
      </c>
      <c r="F93" s="743" t="s">
        <v>836</v>
      </c>
      <c r="G93" s="738"/>
      <c r="H93" s="743"/>
      <c r="I93" s="743">
        <v>0</v>
      </c>
      <c r="J93" s="743">
        <v>0</v>
      </c>
      <c r="K93" s="743">
        <v>0</v>
      </c>
      <c r="L93" s="743">
        <v>0</v>
      </c>
      <c r="M93" s="743">
        <v>0</v>
      </c>
      <c r="N93" s="743">
        <v>0</v>
      </c>
      <c r="O93" s="743">
        <v>0</v>
      </c>
      <c r="P93" s="743">
        <v>0</v>
      </c>
      <c r="Q93" s="743">
        <v>0</v>
      </c>
      <c r="R93" s="743">
        <v>0</v>
      </c>
      <c r="S93" s="743">
        <v>0</v>
      </c>
      <c r="T93" s="743">
        <v>0</v>
      </c>
      <c r="U93" s="743">
        <v>0</v>
      </c>
      <c r="V93" s="743">
        <v>0</v>
      </c>
      <c r="W93" s="743">
        <v>0</v>
      </c>
      <c r="X93" s="766"/>
    </row>
    <row r="94" spans="2:24" ht="12" customHeight="1" x14ac:dyDescent="0.2">
      <c r="B94" s="731" t="str">
        <f>"Total Depreciation "&amp;D88&amp;" ("&amp;"Straight-Line"&amp;") over 30 years"</f>
        <v>Total Depreciation Wheat Integrated (Starch) (Straight-Line) over 30 years</v>
      </c>
      <c r="D94" s="743"/>
      <c r="E94" s="743" t="s">
        <v>833</v>
      </c>
      <c r="F94" s="743" t="s">
        <v>836</v>
      </c>
      <c r="G94" s="738"/>
      <c r="H94" s="739">
        <f>INDEX($F$33:$F$40,MATCH(B94,$B$33:$B$40,0))</f>
        <v>147180000</v>
      </c>
      <c r="I94" s="739">
        <f>I89+I90-I92</f>
        <v>143721270</v>
      </c>
      <c r="J94" s="739">
        <f>J89+J90-J92</f>
        <v>140213480</v>
      </c>
      <c r="K94" s="739">
        <f t="shared" ref="K94:W94" si="34">K89+K90-K92</f>
        <v>136656630</v>
      </c>
      <c r="L94" s="739">
        <f t="shared" si="34"/>
        <v>133050720</v>
      </c>
      <c r="M94" s="739">
        <f t="shared" si="34"/>
        <v>129395750</v>
      </c>
      <c r="N94" s="739">
        <f t="shared" si="34"/>
        <v>125691720</v>
      </c>
      <c r="O94" s="739">
        <f t="shared" si="34"/>
        <v>121938630</v>
      </c>
      <c r="P94" s="739">
        <f t="shared" si="34"/>
        <v>118136480</v>
      </c>
      <c r="Q94" s="739">
        <f t="shared" si="34"/>
        <v>114285270</v>
      </c>
      <c r="R94" s="739">
        <f t="shared" si="34"/>
        <v>110385000</v>
      </c>
      <c r="S94" s="739">
        <f t="shared" si="34"/>
        <v>106435670</v>
      </c>
      <c r="T94" s="739">
        <f t="shared" si="34"/>
        <v>102437280</v>
      </c>
      <c r="U94" s="739">
        <f t="shared" si="34"/>
        <v>98389830</v>
      </c>
      <c r="V94" s="739">
        <f t="shared" si="34"/>
        <v>94293320</v>
      </c>
      <c r="W94" s="739">
        <f t="shared" si="34"/>
        <v>90147750</v>
      </c>
      <c r="X94" s="766"/>
    </row>
    <row r="95" spans="2:24" ht="12" customHeight="1" x14ac:dyDescent="0.2">
      <c r="D95" s="744"/>
      <c r="E95" s="744"/>
      <c r="F95" s="744"/>
      <c r="G95" s="571"/>
      <c r="H95" s="744"/>
      <c r="I95" s="744"/>
      <c r="J95" s="744"/>
      <c r="K95" s="744"/>
      <c r="L95" s="744"/>
      <c r="M95" s="744"/>
      <c r="N95" s="744"/>
      <c r="O95" s="744"/>
      <c r="P95" s="744"/>
      <c r="Q95" s="744"/>
      <c r="R95" s="744"/>
      <c r="S95" s="744"/>
      <c r="T95" s="744"/>
      <c r="U95" s="744"/>
      <c r="V95" s="744"/>
      <c r="W95" s="744"/>
      <c r="X95" s="766"/>
    </row>
    <row r="96" spans="2:24" ht="12" customHeight="1" x14ac:dyDescent="0.2">
      <c r="D96" s="743"/>
      <c r="E96" s="881" t="s">
        <v>834</v>
      </c>
      <c r="F96" s="743"/>
      <c r="G96" s="738"/>
      <c r="H96" s="743"/>
      <c r="I96" s="739"/>
      <c r="J96" s="739"/>
      <c r="K96" s="739"/>
      <c r="L96" s="739"/>
      <c r="M96" s="739"/>
      <c r="N96" s="739"/>
      <c r="O96" s="739"/>
      <c r="P96" s="739"/>
      <c r="Q96" s="739"/>
      <c r="R96" s="739"/>
      <c r="S96" s="739"/>
      <c r="T96" s="739"/>
      <c r="U96" s="739"/>
      <c r="V96" s="739"/>
      <c r="W96" s="739"/>
      <c r="X96" s="766"/>
    </row>
    <row r="97" spans="4:27" ht="12" customHeight="1" x14ac:dyDescent="0.2">
      <c r="D97" s="743"/>
      <c r="E97" s="743" t="s">
        <v>835</v>
      </c>
      <c r="F97" s="743" t="s">
        <v>836</v>
      </c>
      <c r="G97" s="738"/>
      <c r="H97" s="743"/>
      <c r="I97" s="739">
        <f t="shared" ref="I97:W97" si="35">I89+I90*$K$9</f>
        <v>147915900</v>
      </c>
      <c r="J97" s="739">
        <f t="shared" si="35"/>
        <v>144457170</v>
      </c>
      <c r="K97" s="739">
        <f t="shared" si="35"/>
        <v>140949380</v>
      </c>
      <c r="L97" s="739">
        <f t="shared" si="35"/>
        <v>137392530</v>
      </c>
      <c r="M97" s="739">
        <f t="shared" si="35"/>
        <v>133786620</v>
      </c>
      <c r="N97" s="739">
        <f t="shared" si="35"/>
        <v>130131650</v>
      </c>
      <c r="O97" s="739">
        <f t="shared" si="35"/>
        <v>126427620</v>
      </c>
      <c r="P97" s="739">
        <f t="shared" si="35"/>
        <v>122674530</v>
      </c>
      <c r="Q97" s="739">
        <f t="shared" si="35"/>
        <v>118872380</v>
      </c>
      <c r="R97" s="739">
        <f t="shared" si="35"/>
        <v>115021170</v>
      </c>
      <c r="S97" s="739">
        <f t="shared" si="35"/>
        <v>111120900</v>
      </c>
      <c r="T97" s="739">
        <f t="shared" si="35"/>
        <v>107171570</v>
      </c>
      <c r="U97" s="739">
        <f t="shared" si="35"/>
        <v>103173180</v>
      </c>
      <c r="V97" s="739">
        <f t="shared" si="35"/>
        <v>99125730</v>
      </c>
      <c r="W97" s="739">
        <f t="shared" si="35"/>
        <v>95029220</v>
      </c>
      <c r="X97" s="744" t="s">
        <v>948</v>
      </c>
      <c r="Y97" s="744"/>
      <c r="Z97" s="744"/>
      <c r="AA97" s="744"/>
    </row>
    <row r="98" spans="4:27" ht="12" customHeight="1" x14ac:dyDescent="0.2">
      <c r="D98" s="743"/>
      <c r="E98" s="743" t="str">
        <f>E$59</f>
        <v>Return on asset base (post-tax, year end value)</v>
      </c>
      <c r="F98" s="743" t="s">
        <v>836</v>
      </c>
      <c r="G98" s="738"/>
      <c r="H98" s="743"/>
      <c r="I98" s="739">
        <f t="shared" ref="I98:W98" si="36">I97*$K$3</f>
        <v>10206197.100000001</v>
      </c>
      <c r="J98" s="739">
        <f t="shared" si="36"/>
        <v>9967544.7300000004</v>
      </c>
      <c r="K98" s="739">
        <f t="shared" si="36"/>
        <v>9725507.2200000007</v>
      </c>
      <c r="L98" s="739">
        <f t="shared" si="36"/>
        <v>9480084.5700000003</v>
      </c>
      <c r="M98" s="739">
        <f t="shared" si="36"/>
        <v>9231276.7800000012</v>
      </c>
      <c r="N98" s="739">
        <f t="shared" si="36"/>
        <v>8979083.8500000015</v>
      </c>
      <c r="O98" s="739">
        <f t="shared" si="36"/>
        <v>8723505.7800000012</v>
      </c>
      <c r="P98" s="739">
        <f t="shared" si="36"/>
        <v>8464542.5700000003</v>
      </c>
      <c r="Q98" s="739">
        <f t="shared" si="36"/>
        <v>8202194.2200000007</v>
      </c>
      <c r="R98" s="739">
        <f t="shared" si="36"/>
        <v>7936460.7300000004</v>
      </c>
      <c r="S98" s="739">
        <f t="shared" si="36"/>
        <v>7667342.1000000006</v>
      </c>
      <c r="T98" s="739">
        <f t="shared" si="36"/>
        <v>7394838.330000001</v>
      </c>
      <c r="U98" s="739">
        <f t="shared" si="36"/>
        <v>7118949.4200000009</v>
      </c>
      <c r="V98" s="739">
        <f t="shared" si="36"/>
        <v>6839675.3700000001</v>
      </c>
      <c r="W98" s="739">
        <f t="shared" si="36"/>
        <v>6557016.1800000006</v>
      </c>
      <c r="X98" s="766"/>
    </row>
    <row r="99" spans="4:27" ht="12" customHeight="1" x14ac:dyDescent="0.2">
      <c r="D99" s="744"/>
      <c r="E99" s="744"/>
      <c r="F99" s="744"/>
      <c r="G99" s="571"/>
      <c r="H99" s="744"/>
      <c r="I99" s="744"/>
      <c r="J99" s="744"/>
      <c r="K99" s="744"/>
      <c r="L99" s="744"/>
      <c r="M99" s="744"/>
      <c r="N99" s="744"/>
      <c r="O99" s="744"/>
      <c r="P99" s="744"/>
      <c r="Q99" s="744"/>
      <c r="R99" s="744"/>
      <c r="S99" s="744"/>
      <c r="T99" s="744"/>
      <c r="U99" s="744"/>
      <c r="V99" s="744"/>
      <c r="W99" s="744"/>
      <c r="X99" s="766"/>
    </row>
    <row r="100" spans="4:27" ht="12" customHeight="1" x14ac:dyDescent="0.2">
      <c r="D100" s="744"/>
      <c r="E100" s="744" t="str">
        <f>E61</f>
        <v>Return on asset base + depn, mid-year value</v>
      </c>
      <c r="F100" s="744"/>
      <c r="G100" s="571"/>
      <c r="H100" s="744"/>
      <c r="I100" s="891">
        <f>(I98+I92)/(1+$K$3)^0.5</f>
        <v>14640069.165259669</v>
      </c>
      <c r="J100" s="891">
        <f t="shared" ref="J100:W100" si="37">(J98+J92)/(1+$K$3)^0.5</f>
        <v>14456697.595456742</v>
      </c>
      <c r="K100" s="891">
        <f t="shared" si="37"/>
        <v>14270051.956999034</v>
      </c>
      <c r="L100" s="891">
        <f t="shared" si="37"/>
        <v>14080132.249886544</v>
      </c>
      <c r="M100" s="891">
        <f t="shared" si="37"/>
        <v>13886938.474119276</v>
      </c>
      <c r="N100" s="891">
        <f t="shared" si="37"/>
        <v>13690470.629697224</v>
      </c>
      <c r="O100" s="891">
        <f t="shared" si="37"/>
        <v>13490728.716620391</v>
      </c>
      <c r="P100" s="891">
        <f t="shared" si="37"/>
        <v>13287712.734888775</v>
      </c>
      <c r="Q100" s="891">
        <f t="shared" si="37"/>
        <v>13081422.684502382</v>
      </c>
      <c r="R100" s="891">
        <f t="shared" si="37"/>
        <v>12871858.565461205</v>
      </c>
      <c r="S100" s="891">
        <f t="shared" si="37"/>
        <v>12659020.377765248</v>
      </c>
      <c r="T100" s="891">
        <f t="shared" si="37"/>
        <v>12442908.121414511</v>
      </c>
      <c r="U100" s="891">
        <f t="shared" si="37"/>
        <v>12223521.79640899</v>
      </c>
      <c r="V100" s="891">
        <f t="shared" si="37"/>
        <v>12000861.402748689</v>
      </c>
      <c r="W100" s="891">
        <f t="shared" si="37"/>
        <v>11774926.940433605</v>
      </c>
      <c r="X100" s="766"/>
    </row>
    <row r="101" spans="4:27" ht="12" customHeight="1" x14ac:dyDescent="0.2">
      <c r="D101" s="744"/>
      <c r="E101" s="744"/>
      <c r="F101" s="744"/>
      <c r="G101" s="571"/>
      <c r="H101" s="744"/>
      <c r="I101" s="744"/>
      <c r="J101" s="744"/>
      <c r="K101" s="744"/>
      <c r="L101" s="744"/>
      <c r="M101" s="744"/>
      <c r="N101" s="744"/>
      <c r="O101" s="744"/>
      <c r="P101" s="744"/>
      <c r="Q101" s="744"/>
      <c r="R101" s="744"/>
      <c r="S101" s="744"/>
      <c r="T101" s="744"/>
      <c r="U101" s="744"/>
      <c r="V101" s="744"/>
      <c r="W101" s="744"/>
      <c r="X101" s="766"/>
    </row>
    <row r="102" spans="4:27" ht="12" customHeight="1" x14ac:dyDescent="0.2">
      <c r="D102" s="515"/>
      <c r="E102" s="254" t="str">
        <f>E$63</f>
        <v>Tax depreciation</v>
      </c>
      <c r="F102" s="515"/>
      <c r="G102" s="656"/>
      <c r="H102" s="515"/>
      <c r="I102" s="894"/>
      <c r="J102" s="894"/>
      <c r="K102" s="894"/>
      <c r="L102" s="894"/>
      <c r="M102" s="894"/>
      <c r="N102" s="894"/>
      <c r="O102" s="894"/>
      <c r="P102" s="894"/>
      <c r="Q102" s="894"/>
      <c r="R102" s="894"/>
      <c r="S102" s="894"/>
      <c r="T102" s="894"/>
      <c r="U102" s="894"/>
      <c r="V102" s="894"/>
      <c r="W102" s="894"/>
      <c r="X102" s="766"/>
    </row>
    <row r="103" spans="4:27" ht="12" customHeight="1" x14ac:dyDescent="0.2">
      <c r="D103" s="515"/>
      <c r="E103" s="515" t="str">
        <f>E$64</f>
        <v>Opening TVA</v>
      </c>
      <c r="F103" s="515" t="str">
        <f>F$64</f>
        <v>$'000 nominal</v>
      </c>
      <c r="G103" s="656"/>
      <c r="H103" s="744"/>
      <c r="I103" s="890">
        <f>H108</f>
        <v>150712320</v>
      </c>
      <c r="J103" s="891">
        <f t="shared" ref="J103:W103" si="38">I108</f>
        <v>147206148.58752</v>
      </c>
      <c r="K103" s="891">
        <f t="shared" si="38"/>
        <v>143684955.77858049</v>
      </c>
      <c r="L103" s="891">
        <f t="shared" si="38"/>
        <v>140148381.0596664</v>
      </c>
      <c r="M103" s="891">
        <f t="shared" si="38"/>
        <v>136596055.26493838</v>
      </c>
      <c r="N103" s="891">
        <f t="shared" si="38"/>
        <v>133027600.36857691</v>
      </c>
      <c r="O103" s="891">
        <f t="shared" si="38"/>
        <v>129442629.27214275</v>
      </c>
      <c r="P103" s="891">
        <f t="shared" si="38"/>
        <v>125840745.58683418</v>
      </c>
      <c r="Q103" s="891">
        <f t="shared" si="38"/>
        <v>122221543.4105182</v>
      </c>
      <c r="R103" s="891">
        <f t="shared" si="38"/>
        <v>118584607.09941064</v>
      </c>
      <c r="S103" s="891">
        <f t="shared" si="38"/>
        <v>114929511.0342765</v>
      </c>
      <c r="T103" s="891">
        <f t="shared" si="38"/>
        <v>111255819.38101915</v>
      </c>
      <c r="U103" s="891">
        <f t="shared" si="38"/>
        <v>107563085.8455236</v>
      </c>
      <c r="V103" s="891">
        <f t="shared" si="38"/>
        <v>103850853.42261617</v>
      </c>
      <c r="W103" s="891">
        <f t="shared" si="38"/>
        <v>100118654.13899896</v>
      </c>
      <c r="X103" s="766"/>
    </row>
    <row r="104" spans="4:27" ht="12" customHeight="1" x14ac:dyDescent="0.2">
      <c r="D104" s="515"/>
      <c r="E104" s="515" t="str">
        <f>E$65</f>
        <v xml:space="preserve">  capex net of capital contributions </v>
      </c>
      <c r="F104" s="515" t="str">
        <f>F$65</f>
        <v>$'000 nominal</v>
      </c>
      <c r="G104" s="656"/>
      <c r="H104" s="744"/>
      <c r="I104" s="891">
        <f t="shared" ref="I104:W104" si="39">I90*I$48</f>
        <v>1543294.1568</v>
      </c>
      <c r="J104" s="891">
        <f t="shared" si="39"/>
        <v>1580333.2165632001</v>
      </c>
      <c r="K104" s="891">
        <f t="shared" si="39"/>
        <v>1618261.2137607171</v>
      </c>
      <c r="L104" s="891">
        <f t="shared" si="39"/>
        <v>1657099.4828909745</v>
      </c>
      <c r="M104" s="891">
        <f t="shared" si="39"/>
        <v>1696869.8704803579</v>
      </c>
      <c r="N104" s="891">
        <f t="shared" si="39"/>
        <v>1737594.7473718864</v>
      </c>
      <c r="O104" s="891">
        <f t="shared" si="39"/>
        <v>1779297.0213088118</v>
      </c>
      <c r="P104" s="891">
        <f t="shared" si="39"/>
        <v>1822000.1498202235</v>
      </c>
      <c r="Q104" s="891">
        <f t="shared" si="39"/>
        <v>1865728.1534159088</v>
      </c>
      <c r="R104" s="891">
        <f t="shared" si="39"/>
        <v>1910505.6290978906</v>
      </c>
      <c r="S104" s="891">
        <f t="shared" si="39"/>
        <v>1956357.7641962401</v>
      </c>
      <c r="T104" s="891">
        <f t="shared" si="39"/>
        <v>2003310.3505369497</v>
      </c>
      <c r="U104" s="891">
        <f t="shared" si="39"/>
        <v>2051389.7989498368</v>
      </c>
      <c r="V104" s="891">
        <f t="shared" si="39"/>
        <v>2100623.1541246329</v>
      </c>
      <c r="W104" s="891">
        <f t="shared" si="39"/>
        <v>2151038.1098236241</v>
      </c>
      <c r="X104" s="766"/>
    </row>
    <row r="105" spans="4:27" ht="12" customHeight="1" x14ac:dyDescent="0.2">
      <c r="D105" s="515"/>
      <c r="E105" s="515" t="str">
        <f>E$66</f>
        <v xml:space="preserve">  disposals </v>
      </c>
      <c r="F105" s="515" t="str">
        <f>F$66</f>
        <v>$'000 nominal</v>
      </c>
      <c r="G105" s="656"/>
      <c r="H105" s="744"/>
      <c r="I105" s="744"/>
      <c r="J105" s="744"/>
      <c r="K105" s="744"/>
      <c r="L105" s="744"/>
      <c r="M105" s="744"/>
      <c r="N105" s="744"/>
      <c r="O105" s="744"/>
      <c r="P105" s="744"/>
      <c r="Q105" s="744"/>
      <c r="R105" s="744"/>
      <c r="S105" s="744"/>
      <c r="T105" s="744"/>
      <c r="U105" s="744"/>
      <c r="V105" s="744"/>
      <c r="W105" s="744"/>
      <c r="X105" s="766"/>
    </row>
    <row r="106" spans="4:27" ht="12" customHeight="1" x14ac:dyDescent="0.2">
      <c r="D106" s="515"/>
      <c r="E106" s="515" t="str">
        <f>E$67</f>
        <v xml:space="preserve">  depreciation</v>
      </c>
      <c r="F106" s="515" t="str">
        <f>F$67</f>
        <v>$'000 nominal</v>
      </c>
      <c r="G106" s="656"/>
      <c r="H106" s="744"/>
      <c r="I106" s="890">
        <f>$H108/$K$4+I104*$K$9/$K$5</f>
        <v>5049465.5692800004</v>
      </c>
      <c r="J106" s="739">
        <f>$H108/$K$4+SUM($I104:I104)/$K$5+J104*$K$9/$K$5</f>
        <v>5101526.0255027199</v>
      </c>
      <c r="K106" s="739">
        <f>$H108/$K$4+SUM($I104:J104)/$K$5+K104*$K$9/$K$5</f>
        <v>5154835.9326747851</v>
      </c>
      <c r="L106" s="739">
        <f>$H108/$K$4+SUM($I104:K104)/$K$5+L104*$K$9/$K$5</f>
        <v>5209425.27761898</v>
      </c>
      <c r="M106" s="739">
        <f>$H108/$K$4+SUM($I104:L104)/$K$5+M104*$K$9/$K$5</f>
        <v>5265324.7668418353</v>
      </c>
      <c r="N106" s="739">
        <f>$H108/$K$4+SUM($I104:M104)/$K$5+N104*$K$9/$K$5</f>
        <v>5322565.8438060395</v>
      </c>
      <c r="O106" s="739">
        <f>$H108/$K$4+SUM($I104:N104)/$K$5+O104*$K$9/$K$5</f>
        <v>5381180.7066173851</v>
      </c>
      <c r="P106" s="739">
        <f>$H108/$K$4+SUM($I104:O104)/$K$5+P104*$K$9/$K$5</f>
        <v>5441202.3261362016</v>
      </c>
      <c r="Q106" s="739">
        <f>$H108/$K$4+SUM($I104:P104)/$K$5+Q104*$K$9/$K$5</f>
        <v>5502664.46452347</v>
      </c>
      <c r="R106" s="739">
        <f>$H108/$K$4+SUM($I104:Q104)/$K$5+R104*$K$9/$K$5</f>
        <v>5565601.6942320336</v>
      </c>
      <c r="S106" s="739">
        <f>$H108/$K$4+SUM($I104:R104)/$K$5+S104*$K$9/$K$5</f>
        <v>5630049.4174536029</v>
      </c>
      <c r="T106" s="739">
        <f>$H108/$K$4+SUM($I104:S104)/$K$5+T104*$K$9/$K$5</f>
        <v>5696043.8860324891</v>
      </c>
      <c r="U106" s="739">
        <f>$H108/$K$4+SUM($I104:T104)/$K$5+U104*$K$9/$K$5</f>
        <v>5763622.2218572693</v>
      </c>
      <c r="V106" s="739">
        <f>$H108/$K$4+SUM($I104:U104)/$K$5+V104*$K$9/$K$5</f>
        <v>5832822.437741844</v>
      </c>
      <c r="W106" s="739">
        <f>$H108/$K$4+SUM($I104:V104)/$K$5+W104*$K$9/$K$5</f>
        <v>5903683.4588076482</v>
      </c>
      <c r="X106" s="766"/>
    </row>
    <row r="107" spans="4:27" ht="12" customHeight="1" x14ac:dyDescent="0.2">
      <c r="D107" s="515"/>
      <c r="E107" s="515" t="str">
        <f>E$68</f>
        <v xml:space="preserve">  no indexation for TVA</v>
      </c>
      <c r="F107" s="515" t="str">
        <f>F$68</f>
        <v>$'000 nominal</v>
      </c>
      <c r="G107" s="656"/>
      <c r="H107" s="744"/>
      <c r="I107" s="891"/>
      <c r="J107" s="744"/>
      <c r="K107" s="744"/>
      <c r="L107" s="744"/>
      <c r="M107" s="744"/>
      <c r="N107" s="744"/>
      <c r="O107" s="744"/>
      <c r="P107" s="744"/>
      <c r="Q107" s="744"/>
      <c r="R107" s="744"/>
      <c r="S107" s="744"/>
      <c r="T107" s="744"/>
      <c r="U107" s="744"/>
      <c r="V107" s="744"/>
      <c r="W107" s="744"/>
      <c r="X107" s="766"/>
    </row>
    <row r="108" spans="4:27" ht="12" customHeight="1" x14ac:dyDescent="0.2">
      <c r="D108" s="515"/>
      <c r="E108" s="515" t="str">
        <f>E$69</f>
        <v>Closing TVA</v>
      </c>
      <c r="F108" s="515" t="str">
        <f>F$69</f>
        <v>$'000 nominal</v>
      </c>
      <c r="G108" s="656"/>
      <c r="H108" s="890">
        <f>H94*H$48</f>
        <v>150712320</v>
      </c>
      <c r="I108" s="891">
        <f>I103+I104-I106</f>
        <v>147206148.58752</v>
      </c>
      <c r="J108" s="891">
        <f t="shared" ref="J108:W108" si="40">J103+J104-J106</f>
        <v>143684955.77858049</v>
      </c>
      <c r="K108" s="891">
        <f t="shared" si="40"/>
        <v>140148381.0596664</v>
      </c>
      <c r="L108" s="891">
        <f t="shared" si="40"/>
        <v>136596055.26493838</v>
      </c>
      <c r="M108" s="891">
        <f t="shared" si="40"/>
        <v>133027600.36857691</v>
      </c>
      <c r="N108" s="891">
        <f t="shared" si="40"/>
        <v>129442629.27214275</v>
      </c>
      <c r="O108" s="891">
        <f t="shared" si="40"/>
        <v>125840745.58683418</v>
      </c>
      <c r="P108" s="891">
        <f t="shared" si="40"/>
        <v>122221543.4105182</v>
      </c>
      <c r="Q108" s="891">
        <f t="shared" si="40"/>
        <v>118584607.09941064</v>
      </c>
      <c r="R108" s="891">
        <f t="shared" si="40"/>
        <v>114929511.0342765</v>
      </c>
      <c r="S108" s="891">
        <f t="shared" si="40"/>
        <v>111255819.38101915</v>
      </c>
      <c r="T108" s="891">
        <f t="shared" si="40"/>
        <v>107563085.8455236</v>
      </c>
      <c r="U108" s="891">
        <f t="shared" si="40"/>
        <v>103850853.42261617</v>
      </c>
      <c r="V108" s="891">
        <f t="shared" si="40"/>
        <v>100118654.13899896</v>
      </c>
      <c r="W108" s="891">
        <f t="shared" si="40"/>
        <v>96366008.790014938</v>
      </c>
      <c r="X108" s="766"/>
    </row>
    <row r="109" spans="4:27" ht="12" customHeight="1" x14ac:dyDescent="0.2">
      <c r="D109" s="515"/>
      <c r="E109" s="515"/>
      <c r="F109" s="515"/>
      <c r="G109" s="656"/>
      <c r="H109" s="744"/>
      <c r="I109" s="744"/>
      <c r="J109" s="744"/>
      <c r="K109" s="744"/>
      <c r="L109" s="744"/>
      <c r="M109" s="744"/>
      <c r="N109" s="744"/>
      <c r="O109" s="744"/>
      <c r="P109" s="744"/>
      <c r="Q109" s="744"/>
      <c r="R109" s="744"/>
      <c r="S109" s="744"/>
      <c r="T109" s="744"/>
      <c r="U109" s="744"/>
      <c r="V109" s="744"/>
      <c r="W109" s="744"/>
      <c r="X109" s="766"/>
    </row>
    <row r="110" spans="4:27" ht="12" customHeight="1" x14ac:dyDescent="0.2">
      <c r="D110" s="515"/>
      <c r="E110" s="254" t="str">
        <f>E$71</f>
        <v xml:space="preserve">Tax allowance </v>
      </c>
      <c r="F110" s="515"/>
      <c r="G110" s="656"/>
      <c r="H110" s="744"/>
      <c r="I110" s="744"/>
      <c r="J110" s="744"/>
      <c r="K110" s="744"/>
      <c r="L110" s="744"/>
      <c r="M110" s="744"/>
      <c r="N110" s="744"/>
      <c r="O110" s="744"/>
      <c r="P110" s="744"/>
      <c r="Q110" s="744"/>
      <c r="R110" s="744"/>
      <c r="S110" s="744"/>
      <c r="T110" s="744"/>
      <c r="U110" s="744"/>
      <c r="V110" s="744"/>
      <c r="W110" s="744"/>
      <c r="X110" s="766"/>
    </row>
    <row r="111" spans="4:27" ht="12" customHeight="1" x14ac:dyDescent="0.2">
      <c r="D111" s="515"/>
      <c r="E111" s="515" t="str">
        <f>E$72</f>
        <v>Required revenue excluding tax liability and opex</v>
      </c>
      <c r="F111" s="515" t="str">
        <f>F$72</f>
        <v>$'000 nominal</v>
      </c>
      <c r="G111" s="656"/>
      <c r="H111" s="892" t="s">
        <v>957</v>
      </c>
      <c r="I111" s="891">
        <f>I100</f>
        <v>14640069.165259669</v>
      </c>
      <c r="J111" s="891">
        <f t="shared" ref="J111:W111" si="41">J100</f>
        <v>14456697.595456742</v>
      </c>
      <c r="K111" s="891">
        <f t="shared" si="41"/>
        <v>14270051.956999034</v>
      </c>
      <c r="L111" s="891">
        <f t="shared" si="41"/>
        <v>14080132.249886544</v>
      </c>
      <c r="M111" s="891">
        <f t="shared" si="41"/>
        <v>13886938.474119276</v>
      </c>
      <c r="N111" s="891">
        <f t="shared" si="41"/>
        <v>13690470.629697224</v>
      </c>
      <c r="O111" s="891">
        <f t="shared" si="41"/>
        <v>13490728.716620391</v>
      </c>
      <c r="P111" s="891">
        <f t="shared" si="41"/>
        <v>13287712.734888775</v>
      </c>
      <c r="Q111" s="891">
        <f t="shared" si="41"/>
        <v>13081422.684502382</v>
      </c>
      <c r="R111" s="891">
        <f t="shared" si="41"/>
        <v>12871858.565461205</v>
      </c>
      <c r="S111" s="891">
        <f t="shared" si="41"/>
        <v>12659020.377765248</v>
      </c>
      <c r="T111" s="891">
        <f t="shared" si="41"/>
        <v>12442908.121414511</v>
      </c>
      <c r="U111" s="891">
        <f t="shared" si="41"/>
        <v>12223521.79640899</v>
      </c>
      <c r="V111" s="891">
        <f t="shared" si="41"/>
        <v>12000861.402748689</v>
      </c>
      <c r="W111" s="891">
        <f t="shared" si="41"/>
        <v>11774926.940433605</v>
      </c>
      <c r="X111" s="766"/>
    </row>
    <row r="112" spans="4:27" ht="12" customHeight="1" x14ac:dyDescent="0.2">
      <c r="D112" s="515"/>
      <c r="E112" s="515" t="str">
        <f>E$73</f>
        <v xml:space="preserve">  less</v>
      </c>
      <c r="F112" s="515"/>
      <c r="G112" s="656"/>
      <c r="H112" s="892" t="s">
        <v>959</v>
      </c>
      <c r="I112" s="891"/>
      <c r="J112" s="891"/>
      <c r="K112" s="891"/>
      <c r="L112" s="891"/>
      <c r="M112" s="891"/>
      <c r="N112" s="891"/>
      <c r="O112" s="891"/>
      <c r="P112" s="891"/>
      <c r="Q112" s="891"/>
      <c r="R112" s="891"/>
      <c r="S112" s="891"/>
      <c r="T112" s="891"/>
      <c r="U112" s="891"/>
      <c r="V112" s="891"/>
      <c r="W112" s="891"/>
      <c r="X112" s="744"/>
    </row>
    <row r="113" spans="2:24" ht="12" customHeight="1" x14ac:dyDescent="0.2">
      <c r="D113" s="515"/>
      <c r="E113" s="515" t="str">
        <f>E$74</f>
        <v>NA - Operating expenditure</v>
      </c>
      <c r="F113" s="515" t="str">
        <f>F$74</f>
        <v>$'000 nominal</v>
      </c>
      <c r="G113" s="656"/>
      <c r="H113" s="744"/>
      <c r="I113" s="891">
        <v>0</v>
      </c>
      <c r="J113" s="891">
        <v>0</v>
      </c>
      <c r="K113" s="891">
        <v>0</v>
      </c>
      <c r="L113" s="891">
        <v>0</v>
      </c>
      <c r="M113" s="891">
        <v>0</v>
      </c>
      <c r="N113" s="891">
        <v>0</v>
      </c>
      <c r="O113" s="891">
        <v>0</v>
      </c>
      <c r="P113" s="891">
        <v>0</v>
      </c>
      <c r="Q113" s="891">
        <v>0</v>
      </c>
      <c r="R113" s="891">
        <v>0</v>
      </c>
      <c r="S113" s="891">
        <v>0</v>
      </c>
      <c r="T113" s="891">
        <v>0</v>
      </c>
      <c r="U113" s="891">
        <v>0</v>
      </c>
      <c r="V113" s="891">
        <v>0</v>
      </c>
      <c r="W113" s="891">
        <v>0</v>
      </c>
      <c r="X113" s="744"/>
    </row>
    <row r="114" spans="2:24" ht="12" customHeight="1" x14ac:dyDescent="0.2">
      <c r="D114" s="515"/>
      <c r="E114" s="515" t="str">
        <f>E$75</f>
        <v>Tax depreciation</v>
      </c>
      <c r="F114" s="515" t="str">
        <f>F$75</f>
        <v>$'000 nominal</v>
      </c>
      <c r="G114" s="656"/>
      <c r="H114" s="744"/>
      <c r="I114" s="891">
        <f>I106</f>
        <v>5049465.5692800004</v>
      </c>
      <c r="J114" s="891">
        <f t="shared" ref="J114:W114" si="42">J106</f>
        <v>5101526.0255027199</v>
      </c>
      <c r="K114" s="891">
        <f t="shared" si="42"/>
        <v>5154835.9326747851</v>
      </c>
      <c r="L114" s="891">
        <f t="shared" si="42"/>
        <v>5209425.27761898</v>
      </c>
      <c r="M114" s="891">
        <f t="shared" si="42"/>
        <v>5265324.7668418353</v>
      </c>
      <c r="N114" s="891">
        <f t="shared" si="42"/>
        <v>5322565.8438060395</v>
      </c>
      <c r="O114" s="891">
        <f t="shared" si="42"/>
        <v>5381180.7066173851</v>
      </c>
      <c r="P114" s="891">
        <f t="shared" si="42"/>
        <v>5441202.3261362016</v>
      </c>
      <c r="Q114" s="891">
        <f t="shared" si="42"/>
        <v>5502664.46452347</v>
      </c>
      <c r="R114" s="891">
        <f t="shared" si="42"/>
        <v>5565601.6942320336</v>
      </c>
      <c r="S114" s="891">
        <f t="shared" si="42"/>
        <v>5630049.4174536029</v>
      </c>
      <c r="T114" s="891">
        <f t="shared" si="42"/>
        <v>5696043.8860324891</v>
      </c>
      <c r="U114" s="891">
        <f t="shared" si="42"/>
        <v>5763622.2218572693</v>
      </c>
      <c r="V114" s="891">
        <f t="shared" si="42"/>
        <v>5832822.437741844</v>
      </c>
      <c r="W114" s="891">
        <f t="shared" si="42"/>
        <v>5903683.4588076482</v>
      </c>
      <c r="X114" s="766"/>
    </row>
    <row r="115" spans="2:24" ht="12" customHeight="1" x14ac:dyDescent="0.2">
      <c r="D115" s="515"/>
      <c r="E115" s="515" t="str">
        <f>E$76</f>
        <v>Interest deductible</v>
      </c>
      <c r="F115" s="515" t="str">
        <f>F$76</f>
        <v>$'000 nominal</v>
      </c>
      <c r="G115" s="656"/>
      <c r="H115" s="744"/>
      <c r="I115" s="891">
        <f>AVERAGE(I89,I94)*I$48*$K$10*$K$11</f>
        <v>1601418.4729804802</v>
      </c>
      <c r="J115" s="891">
        <f t="shared" ref="J115:W115" si="43">AVERAGE(J89,J94)*J$48*$K$10*$K$11</f>
        <v>1600581.2359004163</v>
      </c>
      <c r="K115" s="891">
        <f t="shared" si="43"/>
        <v>1598215.0029752564</v>
      </c>
      <c r="L115" s="891">
        <f t="shared" si="43"/>
        <v>1594233.2712587982</v>
      </c>
      <c r="M115" s="891">
        <f t="shared" si="43"/>
        <v>1588545.9401235681</v>
      </c>
      <c r="N115" s="891">
        <f t="shared" si="43"/>
        <v>1581059.180568022</v>
      </c>
      <c r="O115" s="891">
        <f t="shared" si="43"/>
        <v>1571675.30013484</v>
      </c>
      <c r="P115" s="891">
        <f t="shared" si="43"/>
        <v>1560292.6033004213</v>
      </c>
      <c r="Q115" s="891">
        <f t="shared" si="43"/>
        <v>1546805.247191377</v>
      </c>
      <c r="R115" s="891">
        <f t="shared" si="43"/>
        <v>1531103.0924794134</v>
      </c>
      <c r="S115" s="891">
        <f t="shared" si="43"/>
        <v>1513071.5493014245</v>
      </c>
      <c r="T115" s="891">
        <f t="shared" si="43"/>
        <v>1492591.4180469362</v>
      </c>
      <c r="U115" s="891">
        <f t="shared" si="43"/>
        <v>1469538.7248502024</v>
      </c>
      <c r="V115" s="891">
        <f t="shared" si="43"/>
        <v>1443784.5516192869</v>
      </c>
      <c r="W115" s="891">
        <f t="shared" si="43"/>
        <v>1415194.8604293352</v>
      </c>
      <c r="X115" s="766" t="s">
        <v>962</v>
      </c>
    </row>
    <row r="116" spans="2:24" ht="12" customHeight="1" x14ac:dyDescent="0.2">
      <c r="D116" s="515"/>
      <c r="E116" s="515" t="str">
        <f>E$77</f>
        <v>Taxable income for the year</v>
      </c>
      <c r="F116" s="515" t="str">
        <f>F$77</f>
        <v>$'000 nominal</v>
      </c>
      <c r="G116" s="656"/>
      <c r="H116" s="744"/>
      <c r="I116" s="891">
        <f>I111-I114-I115</f>
        <v>7989185.1229991876</v>
      </c>
      <c r="J116" s="891">
        <f t="shared" ref="J116:W116" si="44">J111-J114-J115</f>
        <v>7754590.3340536067</v>
      </c>
      <c r="K116" s="891">
        <f t="shared" si="44"/>
        <v>7517001.0213489933</v>
      </c>
      <c r="L116" s="891">
        <f t="shared" si="44"/>
        <v>7276473.701008766</v>
      </c>
      <c r="M116" s="891">
        <f t="shared" si="44"/>
        <v>7033067.7671538712</v>
      </c>
      <c r="N116" s="891">
        <f t="shared" si="44"/>
        <v>6786845.6053231629</v>
      </c>
      <c r="O116" s="891">
        <f t="shared" si="44"/>
        <v>6537872.7098681666</v>
      </c>
      <c r="P116" s="891">
        <f t="shared" si="44"/>
        <v>6286217.8054521522</v>
      </c>
      <c r="Q116" s="891">
        <f t="shared" si="44"/>
        <v>6031952.9727875348</v>
      </c>
      <c r="R116" s="891">
        <f t="shared" si="44"/>
        <v>5775153.7787497584</v>
      </c>
      <c r="S116" s="891">
        <f t="shared" si="44"/>
        <v>5515899.4110102206</v>
      </c>
      <c r="T116" s="891">
        <f t="shared" si="44"/>
        <v>5254272.817335085</v>
      </c>
      <c r="U116" s="891">
        <f t="shared" si="44"/>
        <v>4990360.8497015182</v>
      </c>
      <c r="V116" s="891">
        <f t="shared" si="44"/>
        <v>4724254.4133875584</v>
      </c>
      <c r="W116" s="891">
        <f t="shared" si="44"/>
        <v>4456048.6211966211</v>
      </c>
      <c r="X116" s="766"/>
    </row>
    <row r="117" spans="2:24" ht="12" customHeight="1" x14ac:dyDescent="0.2">
      <c r="D117" s="515"/>
      <c r="E117" s="515"/>
      <c r="F117" s="515"/>
      <c r="G117" s="656"/>
      <c r="H117" s="744"/>
      <c r="I117" s="744"/>
      <c r="J117" s="744"/>
      <c r="K117" s="744"/>
      <c r="L117" s="744"/>
      <c r="M117" s="744"/>
      <c r="N117" s="744"/>
      <c r="O117" s="744"/>
      <c r="P117" s="744"/>
      <c r="Q117" s="744"/>
      <c r="R117" s="744"/>
      <c r="S117" s="744"/>
      <c r="T117" s="744"/>
      <c r="U117" s="744"/>
      <c r="V117" s="744"/>
      <c r="W117" s="744"/>
      <c r="X117" s="766"/>
    </row>
    <row r="118" spans="2:24" ht="12" customHeight="1" x14ac:dyDescent="0.2">
      <c r="D118" s="515"/>
      <c r="E118" s="515" t="str">
        <f>E$79</f>
        <v>Tax before adjustment for franking credits</v>
      </c>
      <c r="F118" s="515" t="str">
        <f>F$79</f>
        <v>$'000 nominal</v>
      </c>
      <c r="G118" s="656"/>
      <c r="H118" s="744"/>
      <c r="I118" s="891">
        <f>I116*$K$13/(1-$K$13*(1-$K$12))</f>
        <v>3092587.7895480725</v>
      </c>
      <c r="J118" s="891">
        <f t="shared" ref="J118:W118" si="45">J116*$K$13/(1-$K$13*(1-$K$12))</f>
        <v>3001776.9035046217</v>
      </c>
      <c r="K118" s="891">
        <f t="shared" si="45"/>
        <v>2909806.8469738034</v>
      </c>
      <c r="L118" s="891">
        <f t="shared" si="45"/>
        <v>2816699.4971646834</v>
      </c>
      <c r="M118" s="891">
        <f t="shared" si="45"/>
        <v>2722477.8453498855</v>
      </c>
      <c r="N118" s="891">
        <f t="shared" si="45"/>
        <v>2627166.0407702564</v>
      </c>
      <c r="O118" s="891">
        <f t="shared" si="45"/>
        <v>2530789.4360779999</v>
      </c>
      <c r="P118" s="891">
        <f t="shared" si="45"/>
        <v>2433374.6343685747</v>
      </c>
      <c r="Q118" s="891">
        <f t="shared" si="45"/>
        <v>2334949.5378532391</v>
      </c>
      <c r="R118" s="891">
        <f t="shared" si="45"/>
        <v>2235543.3982257126</v>
      </c>
      <c r="S118" s="891">
        <f t="shared" si="45"/>
        <v>2135186.8687781501</v>
      </c>
      <c r="T118" s="891">
        <f t="shared" si="45"/>
        <v>2033912.0583232585</v>
      </c>
      <c r="U118" s="891">
        <f t="shared" si="45"/>
        <v>1931752.5869812325</v>
      </c>
      <c r="V118" s="891">
        <f t="shared" si="45"/>
        <v>1828743.6438919578</v>
      </c>
      <c r="W118" s="891">
        <f t="shared" si="45"/>
        <v>1724922.046914821</v>
      </c>
      <c r="X118" s="766"/>
    </row>
    <row r="119" spans="2:24" ht="12" customHeight="1" x14ac:dyDescent="0.2">
      <c r="D119" s="515"/>
      <c r="E119" s="515" t="str">
        <f>E$80</f>
        <v>Adjustment for franking credits</v>
      </c>
      <c r="F119" s="515" t="str">
        <f>F$80</f>
        <v>$'000 nominal</v>
      </c>
      <c r="G119" s="656"/>
      <c r="H119" s="744"/>
      <c r="I119" s="891">
        <f>-I118*$K$12</f>
        <v>-773146.94738701812</v>
      </c>
      <c r="J119" s="891">
        <f t="shared" ref="J119:W119" si="46">-J118*$K$12</f>
        <v>-750444.22587615543</v>
      </c>
      <c r="K119" s="891">
        <f t="shared" si="46"/>
        <v>-727451.71174345084</v>
      </c>
      <c r="L119" s="891">
        <f t="shared" si="46"/>
        <v>-704174.87429117085</v>
      </c>
      <c r="M119" s="891">
        <f t="shared" si="46"/>
        <v>-680619.46133747138</v>
      </c>
      <c r="N119" s="891">
        <f t="shared" si="46"/>
        <v>-656791.51019256411</v>
      </c>
      <c r="O119" s="891">
        <f t="shared" si="46"/>
        <v>-632697.35901949997</v>
      </c>
      <c r="P119" s="891">
        <f t="shared" si="46"/>
        <v>-608343.65859214368</v>
      </c>
      <c r="Q119" s="891">
        <f t="shared" si="46"/>
        <v>-583737.38446330978</v>
      </c>
      <c r="R119" s="891">
        <f t="shared" si="46"/>
        <v>-558885.84955642815</v>
      </c>
      <c r="S119" s="891">
        <f t="shared" si="46"/>
        <v>-533796.71719453752</v>
      </c>
      <c r="T119" s="891">
        <f t="shared" si="46"/>
        <v>-508478.01458081463</v>
      </c>
      <c r="U119" s="891">
        <f t="shared" si="46"/>
        <v>-482938.14674530813</v>
      </c>
      <c r="V119" s="891">
        <f t="shared" si="46"/>
        <v>-457185.91097298946</v>
      </c>
      <c r="W119" s="891">
        <f t="shared" si="46"/>
        <v>-431230.51172870526</v>
      </c>
      <c r="X119" s="766"/>
    </row>
    <row r="120" spans="2:24" ht="12" customHeight="1" x14ac:dyDescent="0.2">
      <c r="D120" s="515"/>
      <c r="E120" s="515" t="str">
        <f>E$81</f>
        <v>Tax net of adjustment for franking credits</v>
      </c>
      <c r="F120" s="515" t="str">
        <f>F$81</f>
        <v>$'000 nominal</v>
      </c>
      <c r="G120" s="656"/>
      <c r="H120" s="744"/>
      <c r="I120" s="891">
        <f>SUM(I118:I119)</f>
        <v>2319440.8421610543</v>
      </c>
      <c r="J120" s="891">
        <f t="shared" ref="J120:W120" si="47">SUM(J118:J119)</f>
        <v>2251332.6776284664</v>
      </c>
      <c r="K120" s="891">
        <f t="shared" si="47"/>
        <v>2182355.1352303526</v>
      </c>
      <c r="L120" s="891">
        <f t="shared" si="47"/>
        <v>2112524.6228735126</v>
      </c>
      <c r="M120" s="891">
        <f t="shared" si="47"/>
        <v>2041858.3840124141</v>
      </c>
      <c r="N120" s="891">
        <f t="shared" si="47"/>
        <v>1970374.5305776922</v>
      </c>
      <c r="O120" s="891">
        <f t="shared" si="47"/>
        <v>1898092.0770584999</v>
      </c>
      <c r="P120" s="891">
        <f t="shared" si="47"/>
        <v>1825030.9757764312</v>
      </c>
      <c r="Q120" s="891">
        <f t="shared" si="47"/>
        <v>1751212.1533899293</v>
      </c>
      <c r="R120" s="891">
        <f t="shared" si="47"/>
        <v>1676657.5486692844</v>
      </c>
      <c r="S120" s="891">
        <f t="shared" si="47"/>
        <v>1601390.1515836124</v>
      </c>
      <c r="T120" s="891">
        <f t="shared" si="47"/>
        <v>1525434.0437424439</v>
      </c>
      <c r="U120" s="891">
        <f t="shared" si="47"/>
        <v>1448814.4402359244</v>
      </c>
      <c r="V120" s="891">
        <f t="shared" si="47"/>
        <v>1371557.7329189684</v>
      </c>
      <c r="W120" s="891">
        <f t="shared" si="47"/>
        <v>1293691.5351861157</v>
      </c>
      <c r="X120" s="766"/>
    </row>
    <row r="121" spans="2:24" ht="12" customHeight="1" x14ac:dyDescent="0.2">
      <c r="D121" s="515"/>
      <c r="E121" s="515" t="str">
        <f>E$82</f>
        <v>Tax net of adjustment for franking credits</v>
      </c>
      <c r="F121" s="515" t="str">
        <f>F$82</f>
        <v>$'000 real</v>
      </c>
      <c r="G121" s="656"/>
      <c r="H121" s="744"/>
      <c r="I121" s="891">
        <f>I120/I$48</f>
        <v>2211991.1595926802</v>
      </c>
      <c r="J121" s="891">
        <f t="shared" ref="J121:W121" si="48">J120/J$48</f>
        <v>2096716.9456449023</v>
      </c>
      <c r="K121" s="891">
        <f t="shared" si="48"/>
        <v>1984840.4328789476</v>
      </c>
      <c r="L121" s="891">
        <f t="shared" si="48"/>
        <v>1876298.7811213988</v>
      </c>
      <c r="M121" s="891">
        <f t="shared" si="48"/>
        <v>1771029.8366832002</v>
      </c>
      <c r="N121" s="891">
        <f t="shared" si="48"/>
        <v>1668972.1458300308</v>
      </c>
      <c r="O121" s="891">
        <f t="shared" si="48"/>
        <v>1570064.9669832981</v>
      </c>
      <c r="P121" s="891">
        <f t="shared" si="48"/>
        <v>1474248.2817099586</v>
      </c>
      <c r="Q121" s="891">
        <f t="shared" si="48"/>
        <v>1381462.8045572164</v>
      </c>
      <c r="R121" s="891">
        <f t="shared" si="48"/>
        <v>1291649.9917860292</v>
      </c>
      <c r="S121" s="891">
        <f t="shared" si="48"/>
        <v>1204752.0490553486</v>
      </c>
      <c r="T121" s="891">
        <f t="shared" si="48"/>
        <v>1120711.9381070251</v>
      </c>
      <c r="U121" s="891">
        <f t="shared" si="48"/>
        <v>1039473.3824994403</v>
      </c>
      <c r="V121" s="891">
        <f t="shared" si="48"/>
        <v>960980.87243608839</v>
      </c>
      <c r="W121" s="891">
        <f t="shared" si="48"/>
        <v>885179.66873355361</v>
      </c>
      <c r="X121" s="766"/>
    </row>
    <row r="122" spans="2:24" ht="12" customHeight="1" x14ac:dyDescent="0.2">
      <c r="D122" s="744"/>
      <c r="E122" s="744"/>
      <c r="F122" s="744"/>
      <c r="G122" s="571"/>
      <c r="H122" s="744"/>
      <c r="I122" s="744"/>
      <c r="J122" s="744"/>
      <c r="K122" s="744"/>
      <c r="L122" s="744"/>
      <c r="M122" s="744"/>
      <c r="N122" s="744"/>
      <c r="O122" s="744"/>
      <c r="P122" s="744"/>
      <c r="Q122" s="744"/>
      <c r="R122" s="744"/>
      <c r="S122" s="744"/>
      <c r="T122" s="744"/>
      <c r="U122" s="744"/>
      <c r="V122" s="744"/>
      <c r="W122" s="744"/>
      <c r="X122" s="766"/>
    </row>
    <row r="123" spans="2:24" ht="12" customHeight="1" x14ac:dyDescent="0.2">
      <c r="E123" s="380" t="str">
        <f>E$84</f>
        <v>Return on asset base + depn + tax allowance</v>
      </c>
      <c r="F123" s="571" t="s">
        <v>853</v>
      </c>
      <c r="G123" s="571"/>
      <c r="H123" s="571"/>
      <c r="I123" s="895">
        <f>I100+I121</f>
        <v>16852060.324852347</v>
      </c>
      <c r="J123" s="895">
        <f t="shared" ref="J123:W123" si="49">J100+J121</f>
        <v>16553414.541101644</v>
      </c>
      <c r="K123" s="895">
        <f t="shared" si="49"/>
        <v>16254892.389877981</v>
      </c>
      <c r="L123" s="895">
        <f t="shared" si="49"/>
        <v>15956431.031007944</v>
      </c>
      <c r="M123" s="895">
        <f t="shared" si="49"/>
        <v>15657968.310802476</v>
      </c>
      <c r="N123" s="895">
        <f t="shared" si="49"/>
        <v>15359442.775527256</v>
      </c>
      <c r="O123" s="895">
        <f t="shared" si="49"/>
        <v>15060793.683603689</v>
      </c>
      <c r="P123" s="895">
        <f t="shared" si="49"/>
        <v>14761961.016598733</v>
      </c>
      <c r="Q123" s="895">
        <f t="shared" si="49"/>
        <v>14462885.489059597</v>
      </c>
      <c r="R123" s="895">
        <f t="shared" si="49"/>
        <v>14163508.557247235</v>
      </c>
      <c r="S123" s="895">
        <f t="shared" si="49"/>
        <v>13863772.426820597</v>
      </c>
      <c r="T123" s="895">
        <f t="shared" si="49"/>
        <v>13563620.059521535</v>
      </c>
      <c r="U123" s="895">
        <f t="shared" si="49"/>
        <v>13262995.17890843</v>
      </c>
      <c r="V123" s="895">
        <f t="shared" si="49"/>
        <v>12961842.275184777</v>
      </c>
      <c r="W123" s="895">
        <f t="shared" si="49"/>
        <v>12660106.609167159</v>
      </c>
    </row>
    <row r="124" spans="2:24" ht="12" customHeight="1" x14ac:dyDescent="0.2">
      <c r="E124" s="380" t="s">
        <v>845</v>
      </c>
      <c r="F124" s="571" t="s">
        <v>838</v>
      </c>
      <c r="G124" s="571"/>
      <c r="H124" s="571"/>
      <c r="I124" s="736">
        <f t="shared" ref="I124:W124" si="50">I123/($K$7*10^6)</f>
        <v>0.16852060324852347</v>
      </c>
      <c r="J124" s="736">
        <f t="shared" si="50"/>
        <v>0.16553414541101644</v>
      </c>
      <c r="K124" s="736">
        <f t="shared" si="50"/>
        <v>0.16254892389877981</v>
      </c>
      <c r="L124" s="736">
        <f t="shared" si="50"/>
        <v>0.15956431031007945</v>
      </c>
      <c r="M124" s="736">
        <f t="shared" si="50"/>
        <v>0.15657968310802475</v>
      </c>
      <c r="N124" s="736">
        <f t="shared" si="50"/>
        <v>0.15359442775527254</v>
      </c>
      <c r="O124" s="736">
        <f t="shared" si="50"/>
        <v>0.1506079368360369</v>
      </c>
      <c r="P124" s="736">
        <f t="shared" si="50"/>
        <v>0.14761961016598732</v>
      </c>
      <c r="Q124" s="736">
        <f t="shared" si="50"/>
        <v>0.14462885489059596</v>
      </c>
      <c r="R124" s="736">
        <f t="shared" si="50"/>
        <v>0.14163508557247234</v>
      </c>
      <c r="S124" s="736">
        <f t="shared" si="50"/>
        <v>0.13863772426820598</v>
      </c>
      <c r="T124" s="736">
        <f t="shared" si="50"/>
        <v>0.13563620059521536</v>
      </c>
      <c r="U124" s="736">
        <f t="shared" si="50"/>
        <v>0.13262995178908429</v>
      </c>
      <c r="V124" s="736">
        <f t="shared" si="50"/>
        <v>0.12961842275184776</v>
      </c>
      <c r="W124" s="736">
        <f t="shared" si="50"/>
        <v>0.1266010660916716</v>
      </c>
    </row>
    <row r="125" spans="2:24" ht="12" customHeight="1" x14ac:dyDescent="0.2">
      <c r="B125" s="731" t="str">
        <f>E125&amp;"."&amp;D88</f>
        <v>15 year average Ethanol Charge.Wheat Integrated (Starch)</v>
      </c>
      <c r="D125" s="167"/>
      <c r="E125" s="380" t="str">
        <f>$K$8&amp;" year average Ethanol Charge"</f>
        <v>15 year average Ethanol Charge</v>
      </c>
      <c r="F125" s="571" t="s">
        <v>838</v>
      </c>
      <c r="G125" s="571"/>
      <c r="H125" s="571"/>
      <c r="I125" s="747">
        <f ca="1">AVERAGE($I124:OFFSET($I124,0,$K$8-1))</f>
        <v>0.14759712977952097</v>
      </c>
      <c r="J125" s="736"/>
      <c r="K125" s="736"/>
      <c r="L125" s="736"/>
      <c r="M125" s="736"/>
      <c r="N125" s="736"/>
      <c r="O125" s="736"/>
      <c r="P125" s="736"/>
      <c r="Q125" s="736"/>
      <c r="R125" s="736"/>
      <c r="S125" s="736"/>
      <c r="T125" s="736"/>
      <c r="U125" s="736"/>
      <c r="V125" s="736"/>
      <c r="W125" s="736"/>
    </row>
    <row r="126" spans="2:24" ht="12" customHeight="1" x14ac:dyDescent="0.2"/>
    <row r="127" spans="2:24" ht="12" customHeight="1" x14ac:dyDescent="0.25">
      <c r="D127" s="752" t="str">
        <f>E13</f>
        <v>Imported Starch</v>
      </c>
      <c r="E127" s="753"/>
      <c r="F127" s="753"/>
      <c r="G127" s="753"/>
      <c r="H127" s="753"/>
      <c r="I127" s="753"/>
      <c r="J127" s="753"/>
      <c r="K127" s="753"/>
      <c r="L127" s="753"/>
      <c r="M127" s="753"/>
      <c r="N127" s="753"/>
      <c r="O127" s="753"/>
      <c r="P127" s="753"/>
      <c r="Q127" s="753"/>
      <c r="R127" s="753"/>
      <c r="S127" s="753"/>
      <c r="T127" s="753"/>
      <c r="U127" s="753"/>
      <c r="V127" s="753"/>
      <c r="W127" s="753"/>
    </row>
    <row r="128" spans="2:24" ht="12" customHeight="1" x14ac:dyDescent="0.2">
      <c r="D128" s="162"/>
      <c r="E128" s="737" t="s">
        <v>828</v>
      </c>
      <c r="F128" s="737" t="s">
        <v>836</v>
      </c>
      <c r="G128" s="738"/>
      <c r="H128" s="743"/>
      <c r="I128" s="739">
        <f>H133</f>
        <v>144457499.99999997</v>
      </c>
      <c r="J128" s="739">
        <f>I133</f>
        <v>141062748.74999997</v>
      </c>
      <c r="K128" s="739">
        <f t="shared" ref="K128:W128" si="51">J133</f>
        <v>137619844.99999997</v>
      </c>
      <c r="L128" s="739">
        <f t="shared" si="51"/>
        <v>134128788.74999997</v>
      </c>
      <c r="M128" s="739">
        <f t="shared" si="51"/>
        <v>130589579.99999997</v>
      </c>
      <c r="N128" s="739">
        <f t="shared" si="51"/>
        <v>127002218.74999997</v>
      </c>
      <c r="O128" s="739">
        <f t="shared" si="51"/>
        <v>123366704.99999997</v>
      </c>
      <c r="P128" s="739">
        <f t="shared" si="51"/>
        <v>119683038.74999997</v>
      </c>
      <c r="Q128" s="739">
        <f t="shared" si="51"/>
        <v>115951219.99999997</v>
      </c>
      <c r="R128" s="739">
        <f t="shared" si="51"/>
        <v>112171248.74999997</v>
      </c>
      <c r="S128" s="739">
        <f t="shared" si="51"/>
        <v>108343124.99999997</v>
      </c>
      <c r="T128" s="739">
        <f t="shared" si="51"/>
        <v>104466848.74999997</v>
      </c>
      <c r="U128" s="739">
        <f t="shared" si="51"/>
        <v>100542419.99999997</v>
      </c>
      <c r="V128" s="739">
        <f t="shared" si="51"/>
        <v>96569838.74999997</v>
      </c>
      <c r="W128" s="739">
        <f t="shared" si="51"/>
        <v>92549104.99999997</v>
      </c>
      <c r="X128" s="766"/>
    </row>
    <row r="129" spans="2:24" ht="12" customHeight="1" x14ac:dyDescent="0.2">
      <c r="D129" s="162"/>
      <c r="E129" s="743" t="s">
        <v>829</v>
      </c>
      <c r="F129" s="743" t="s">
        <v>836</v>
      </c>
      <c r="G129" s="738"/>
      <c r="H129" s="743"/>
      <c r="I129" s="739">
        <f>INDEX($F$11:$F$18,MATCH(D127,$E$11:$E$18,0))</f>
        <v>1444575</v>
      </c>
      <c r="J129" s="739">
        <f>I129</f>
        <v>1444575</v>
      </c>
      <c r="K129" s="739">
        <f t="shared" ref="K129:W130" si="52">J129</f>
        <v>1444575</v>
      </c>
      <c r="L129" s="739">
        <f t="shared" si="52"/>
        <v>1444575</v>
      </c>
      <c r="M129" s="739">
        <f t="shared" si="52"/>
        <v>1444575</v>
      </c>
      <c r="N129" s="739">
        <f t="shared" si="52"/>
        <v>1444575</v>
      </c>
      <c r="O129" s="739">
        <f t="shared" si="52"/>
        <v>1444575</v>
      </c>
      <c r="P129" s="739">
        <f t="shared" si="52"/>
        <v>1444575</v>
      </c>
      <c r="Q129" s="739">
        <f t="shared" si="52"/>
        <v>1444575</v>
      </c>
      <c r="R129" s="739">
        <f t="shared" si="52"/>
        <v>1444575</v>
      </c>
      <c r="S129" s="739">
        <f t="shared" si="52"/>
        <v>1444575</v>
      </c>
      <c r="T129" s="739">
        <f t="shared" si="52"/>
        <v>1444575</v>
      </c>
      <c r="U129" s="739">
        <f t="shared" si="52"/>
        <v>1444575</v>
      </c>
      <c r="V129" s="739">
        <f t="shared" si="52"/>
        <v>1444575</v>
      </c>
      <c r="W129" s="739">
        <f t="shared" si="52"/>
        <v>1444575</v>
      </c>
      <c r="X129" s="766"/>
    </row>
    <row r="130" spans="2:24" ht="12" customHeight="1" x14ac:dyDescent="0.2">
      <c r="D130" s="162"/>
      <c r="E130" s="743" t="s">
        <v>830</v>
      </c>
      <c r="F130" s="743" t="s">
        <v>836</v>
      </c>
      <c r="G130" s="738"/>
      <c r="H130" s="743"/>
      <c r="I130" s="743">
        <v>0</v>
      </c>
      <c r="J130" s="743">
        <f>I130</f>
        <v>0</v>
      </c>
      <c r="K130" s="743">
        <f t="shared" si="52"/>
        <v>0</v>
      </c>
      <c r="L130" s="743">
        <f t="shared" si="52"/>
        <v>0</v>
      </c>
      <c r="M130" s="743">
        <f t="shared" si="52"/>
        <v>0</v>
      </c>
      <c r="N130" s="743">
        <f t="shared" si="52"/>
        <v>0</v>
      </c>
      <c r="O130" s="743">
        <f t="shared" si="52"/>
        <v>0</v>
      </c>
      <c r="P130" s="743">
        <f t="shared" si="52"/>
        <v>0</v>
      </c>
      <c r="Q130" s="743">
        <f t="shared" si="52"/>
        <v>0</v>
      </c>
      <c r="R130" s="743">
        <f t="shared" si="52"/>
        <v>0</v>
      </c>
      <c r="S130" s="743">
        <f t="shared" si="52"/>
        <v>0</v>
      </c>
      <c r="T130" s="743">
        <f t="shared" si="52"/>
        <v>0</v>
      </c>
      <c r="U130" s="743">
        <f t="shared" si="52"/>
        <v>0</v>
      </c>
      <c r="V130" s="743">
        <f t="shared" si="52"/>
        <v>0</v>
      </c>
      <c r="W130" s="743">
        <f t="shared" si="52"/>
        <v>0</v>
      </c>
      <c r="X130" s="766"/>
    </row>
    <row r="131" spans="2:24" ht="12" customHeight="1" x14ac:dyDescent="0.2">
      <c r="B131" s="731" t="str">
        <f>"Total Depreciation "&amp;D127&amp;" ("&amp;"Straight-Line"&amp;") over 30 years"</f>
        <v>Total Depreciation Imported Starch (Straight-Line) over 30 years</v>
      </c>
      <c r="D131" s="162"/>
      <c r="E131" s="743" t="s">
        <v>831</v>
      </c>
      <c r="F131" s="743" t="s">
        <v>836</v>
      </c>
      <c r="G131" s="738"/>
      <c r="H131" s="743"/>
      <c r="I131" s="890">
        <f>$H133/$K$4+I129*$K$9/$K$5</f>
        <v>4839326.2499999991</v>
      </c>
      <c r="J131" s="739">
        <f>$H133/$K$4+SUM($I129:I129)/$K$5+J129*$K$9/$K$5</f>
        <v>4887478.7499999991</v>
      </c>
      <c r="K131" s="739">
        <f>$H133/$K$4+SUM($I129:J129)/$K$5+K129*$K$9/$K$5</f>
        <v>4935631.2499999991</v>
      </c>
      <c r="L131" s="739">
        <f>$H133/$K$4+SUM($I129:K129)/$K$5+L129*$K$9/$K$5</f>
        <v>4983783.7499999991</v>
      </c>
      <c r="M131" s="739">
        <f>$H133/$K$4+SUM($I129:L129)/$K$5+M129*$K$9/$K$5</f>
        <v>5031936.2499999991</v>
      </c>
      <c r="N131" s="739">
        <f>$H133/$K$4+SUM($I129:M129)/$K$5+N129*$K$9/$K$5</f>
        <v>5080088.7499999991</v>
      </c>
      <c r="O131" s="739">
        <f>$H133/$K$4+SUM($I129:N129)/$K$5+O129*$K$9/$K$5</f>
        <v>5128241.2499999991</v>
      </c>
      <c r="P131" s="739">
        <f>$H133/$K$4+SUM($I129:O129)/$K$5+P129*$K$9/$K$5</f>
        <v>5176393.7499999991</v>
      </c>
      <c r="Q131" s="739">
        <f>$H133/$K$4+SUM($I129:P129)/$K$5+Q129*$K$9/$K$5</f>
        <v>5224546.2499999991</v>
      </c>
      <c r="R131" s="739">
        <f>$H133/$K$4+SUM($I129:Q129)/$K$5+R129*$K$9/$K$5</f>
        <v>5272698.7499999991</v>
      </c>
      <c r="S131" s="739">
        <f>$H133/$K$4+SUM($I129:R129)/$K$5+S129*$K$9/$K$5</f>
        <v>5320851.2499999991</v>
      </c>
      <c r="T131" s="739">
        <f>$H133/$K$4+SUM($I129:S129)/$K$5+T129*$K$9/$K$5</f>
        <v>5369003.7499999991</v>
      </c>
      <c r="U131" s="739">
        <f>$H133/$K$4+SUM($I129:T129)/$K$5+U129*$K$9/$K$5</f>
        <v>5417156.2499999991</v>
      </c>
      <c r="V131" s="739">
        <f>$H133/$K$4+SUM($I129:U129)/$K$5+V129*$K$9/$K$5</f>
        <v>5465308.7499999991</v>
      </c>
      <c r="W131" s="739">
        <f>$H133/$K$4+SUM($I129:V129)/$K$5+W129*$K$9/$K$5</f>
        <v>5513461.2499999991</v>
      </c>
      <c r="X131" s="766"/>
    </row>
    <row r="132" spans="2:24" ht="12" customHeight="1" x14ac:dyDescent="0.2">
      <c r="D132" s="162"/>
      <c r="E132" s="743" t="s">
        <v>832</v>
      </c>
      <c r="F132" s="743" t="s">
        <v>836</v>
      </c>
      <c r="G132" s="738"/>
      <c r="H132" s="743"/>
      <c r="I132" s="743">
        <v>0</v>
      </c>
      <c r="J132" s="743">
        <v>0</v>
      </c>
      <c r="K132" s="743">
        <v>0</v>
      </c>
      <c r="L132" s="743">
        <v>0</v>
      </c>
      <c r="M132" s="743">
        <v>0</v>
      </c>
      <c r="N132" s="743">
        <v>0</v>
      </c>
      <c r="O132" s="743">
        <v>0</v>
      </c>
      <c r="P132" s="743">
        <v>0</v>
      </c>
      <c r="Q132" s="743">
        <v>0</v>
      </c>
      <c r="R132" s="743">
        <v>0</v>
      </c>
      <c r="S132" s="743">
        <v>0</v>
      </c>
      <c r="T132" s="743">
        <v>0</v>
      </c>
      <c r="U132" s="743">
        <v>0</v>
      </c>
      <c r="V132" s="743">
        <v>0</v>
      </c>
      <c r="W132" s="743">
        <v>0</v>
      </c>
      <c r="X132" s="766"/>
    </row>
    <row r="133" spans="2:24" ht="12" customHeight="1" x14ac:dyDescent="0.2">
      <c r="B133" s="731" t="str">
        <f>"Total Depreciation "&amp;D127&amp;" ("&amp;"Straight-Line"&amp;") over 30 years"</f>
        <v>Total Depreciation Imported Starch (Straight-Line) over 30 years</v>
      </c>
      <c r="D133" s="162"/>
      <c r="E133" s="743" t="s">
        <v>833</v>
      </c>
      <c r="F133" s="743" t="s">
        <v>836</v>
      </c>
      <c r="G133" s="738"/>
      <c r="H133" s="739">
        <f>INDEX($F$33:$F$40,MATCH(B133,$B$33:$B$40,0))</f>
        <v>144457499.99999997</v>
      </c>
      <c r="I133" s="739">
        <f>I128+I129-I131</f>
        <v>141062748.74999997</v>
      </c>
      <c r="J133" s="739">
        <f>J128+J129-J131</f>
        <v>137619844.99999997</v>
      </c>
      <c r="K133" s="739">
        <f t="shared" ref="K133:W133" si="53">K128+K129-K131</f>
        <v>134128788.74999997</v>
      </c>
      <c r="L133" s="739">
        <f t="shared" si="53"/>
        <v>130589579.99999997</v>
      </c>
      <c r="M133" s="739">
        <f t="shared" si="53"/>
        <v>127002218.74999997</v>
      </c>
      <c r="N133" s="739">
        <f t="shared" si="53"/>
        <v>123366704.99999997</v>
      </c>
      <c r="O133" s="739">
        <f t="shared" si="53"/>
        <v>119683038.74999997</v>
      </c>
      <c r="P133" s="739">
        <f t="shared" si="53"/>
        <v>115951219.99999997</v>
      </c>
      <c r="Q133" s="739">
        <f t="shared" si="53"/>
        <v>112171248.74999997</v>
      </c>
      <c r="R133" s="739">
        <f t="shared" si="53"/>
        <v>108343124.99999997</v>
      </c>
      <c r="S133" s="739">
        <f t="shared" si="53"/>
        <v>104466848.74999997</v>
      </c>
      <c r="T133" s="739">
        <f t="shared" si="53"/>
        <v>100542419.99999997</v>
      </c>
      <c r="U133" s="739">
        <f t="shared" si="53"/>
        <v>96569838.74999997</v>
      </c>
      <c r="V133" s="739">
        <f t="shared" si="53"/>
        <v>92549104.99999997</v>
      </c>
      <c r="W133" s="739">
        <f t="shared" si="53"/>
        <v>88480218.74999997</v>
      </c>
      <c r="X133" s="766"/>
    </row>
    <row r="134" spans="2:24" ht="12" customHeight="1" x14ac:dyDescent="0.2">
      <c r="E134" s="744"/>
      <c r="F134" s="744"/>
      <c r="G134" s="571"/>
      <c r="H134" s="744"/>
      <c r="I134" s="744"/>
      <c r="J134" s="744"/>
      <c r="K134" s="744"/>
      <c r="L134" s="744"/>
      <c r="M134" s="744"/>
      <c r="N134" s="744"/>
      <c r="O134" s="744"/>
      <c r="P134" s="744"/>
      <c r="Q134" s="744"/>
      <c r="R134" s="744"/>
      <c r="S134" s="744"/>
      <c r="T134" s="744"/>
      <c r="U134" s="744"/>
      <c r="V134" s="744"/>
      <c r="W134" s="744"/>
      <c r="X134" s="766"/>
    </row>
    <row r="135" spans="2:24" ht="12" customHeight="1" x14ac:dyDescent="0.2">
      <c r="D135" s="162"/>
      <c r="E135" s="881" t="s">
        <v>834</v>
      </c>
      <c r="F135" s="743"/>
      <c r="G135" s="738"/>
      <c r="H135" s="743"/>
      <c r="I135" s="739"/>
      <c r="J135" s="739"/>
      <c r="K135" s="739"/>
      <c r="L135" s="739"/>
      <c r="M135" s="739"/>
      <c r="N135" s="739"/>
      <c r="O135" s="739"/>
      <c r="P135" s="739"/>
      <c r="Q135" s="739"/>
      <c r="R135" s="739"/>
      <c r="S135" s="739"/>
      <c r="T135" s="739"/>
      <c r="U135" s="739"/>
      <c r="V135" s="739"/>
      <c r="W135" s="739"/>
      <c r="X135" s="766"/>
    </row>
    <row r="136" spans="2:24" ht="12" customHeight="1" x14ac:dyDescent="0.2">
      <c r="D136" s="162"/>
      <c r="E136" s="743" t="s">
        <v>835</v>
      </c>
      <c r="F136" s="743" t="s">
        <v>836</v>
      </c>
      <c r="G136" s="738"/>
      <c r="H136" s="743"/>
      <c r="I136" s="739">
        <f t="shared" ref="I136:W136" si="54">I128+I129*$K$9</f>
        <v>145179787.49999997</v>
      </c>
      <c r="J136" s="739">
        <f t="shared" si="54"/>
        <v>141785036.24999997</v>
      </c>
      <c r="K136" s="739">
        <f t="shared" si="54"/>
        <v>138342132.49999997</v>
      </c>
      <c r="L136" s="739">
        <f t="shared" si="54"/>
        <v>134851076.24999997</v>
      </c>
      <c r="M136" s="739">
        <f t="shared" si="54"/>
        <v>131311867.49999997</v>
      </c>
      <c r="N136" s="739">
        <f t="shared" si="54"/>
        <v>127724506.24999997</v>
      </c>
      <c r="O136" s="739">
        <f t="shared" si="54"/>
        <v>124088992.49999997</v>
      </c>
      <c r="P136" s="739">
        <f t="shared" si="54"/>
        <v>120405326.24999997</v>
      </c>
      <c r="Q136" s="739">
        <f t="shared" si="54"/>
        <v>116673507.49999997</v>
      </c>
      <c r="R136" s="739">
        <f t="shared" si="54"/>
        <v>112893536.24999997</v>
      </c>
      <c r="S136" s="739">
        <f t="shared" si="54"/>
        <v>109065412.49999997</v>
      </c>
      <c r="T136" s="739">
        <f t="shared" si="54"/>
        <v>105189136.24999997</v>
      </c>
      <c r="U136" s="739">
        <f t="shared" si="54"/>
        <v>101264707.49999997</v>
      </c>
      <c r="V136" s="739">
        <f t="shared" si="54"/>
        <v>97292126.24999997</v>
      </c>
      <c r="W136" s="739">
        <f t="shared" si="54"/>
        <v>93271392.49999997</v>
      </c>
      <c r="X136" s="766" t="s">
        <v>948</v>
      </c>
    </row>
    <row r="137" spans="2:24" ht="12" customHeight="1" x14ac:dyDescent="0.2">
      <c r="D137" s="162"/>
      <c r="E137" s="743" t="s">
        <v>851</v>
      </c>
      <c r="F137" s="743" t="s">
        <v>836</v>
      </c>
      <c r="G137" s="738"/>
      <c r="H137" s="743"/>
      <c r="I137" s="739">
        <f t="shared" ref="I137:W137" si="55">I136*$K$3</f>
        <v>10017405.337499999</v>
      </c>
      <c r="J137" s="739">
        <f t="shared" si="55"/>
        <v>9783167.5012499988</v>
      </c>
      <c r="K137" s="739">
        <f t="shared" si="55"/>
        <v>9545607.1424999982</v>
      </c>
      <c r="L137" s="739">
        <f t="shared" si="55"/>
        <v>9304724.2612499986</v>
      </c>
      <c r="M137" s="739">
        <f t="shared" si="55"/>
        <v>9060518.8574999981</v>
      </c>
      <c r="N137" s="739">
        <f t="shared" si="55"/>
        <v>8812990.9312499985</v>
      </c>
      <c r="O137" s="739">
        <f t="shared" si="55"/>
        <v>8562140.4824999981</v>
      </c>
      <c r="P137" s="739">
        <f t="shared" si="55"/>
        <v>8307967.5112499986</v>
      </c>
      <c r="Q137" s="739">
        <f t="shared" si="55"/>
        <v>8050472.0174999982</v>
      </c>
      <c r="R137" s="739">
        <f t="shared" si="55"/>
        <v>7789654.0012499988</v>
      </c>
      <c r="S137" s="739">
        <f t="shared" si="55"/>
        <v>7525513.4624999985</v>
      </c>
      <c r="T137" s="739">
        <f t="shared" si="55"/>
        <v>7258050.4012499982</v>
      </c>
      <c r="U137" s="739">
        <f t="shared" si="55"/>
        <v>6987264.817499999</v>
      </c>
      <c r="V137" s="739">
        <f t="shared" si="55"/>
        <v>6713156.7112499988</v>
      </c>
      <c r="W137" s="739">
        <f t="shared" si="55"/>
        <v>6435726.0824999986</v>
      </c>
      <c r="X137" s="766"/>
    </row>
    <row r="138" spans="2:24" ht="12" customHeight="1" x14ac:dyDescent="0.2">
      <c r="D138" s="171"/>
      <c r="E138" s="744"/>
      <c r="F138" s="744"/>
      <c r="G138" s="571"/>
      <c r="H138" s="744"/>
      <c r="I138" s="744"/>
      <c r="J138" s="744"/>
      <c r="K138" s="744"/>
      <c r="L138" s="744"/>
      <c r="M138" s="744"/>
      <c r="N138" s="744"/>
      <c r="O138" s="744"/>
      <c r="P138" s="744"/>
      <c r="Q138" s="744"/>
      <c r="R138" s="744"/>
      <c r="S138" s="744"/>
      <c r="T138" s="744"/>
      <c r="U138" s="744"/>
      <c r="V138" s="744"/>
      <c r="W138" s="744"/>
      <c r="X138" s="766"/>
    </row>
    <row r="139" spans="2:24" ht="12" customHeight="1" x14ac:dyDescent="0.2">
      <c r="D139" s="171"/>
      <c r="E139" s="744" t="str">
        <f>E100</f>
        <v>Return on asset base + depn, mid-year value</v>
      </c>
      <c r="F139" s="744"/>
      <c r="G139" s="571"/>
      <c r="H139" s="744"/>
      <c r="I139" s="891">
        <f>(I137+I131)/(1+$K$3)^0.5</f>
        <v>14369260.710969549</v>
      </c>
      <c r="J139" s="891">
        <f t="shared" ref="J139:W139" si="56">(J137+J131)/(1+$K$3)^0.5</f>
        <v>14189281.104060959</v>
      </c>
      <c r="K139" s="891">
        <f t="shared" si="56"/>
        <v>14006087.99142674</v>
      </c>
      <c r="L139" s="891">
        <f t="shared" si="56"/>
        <v>13819681.373066891</v>
      </c>
      <c r="M139" s="891">
        <f t="shared" si="56"/>
        <v>13630061.248981416</v>
      </c>
      <c r="N139" s="891">
        <f t="shared" si="56"/>
        <v>13437227.61917031</v>
      </c>
      <c r="O139" s="891">
        <f t="shared" si="56"/>
        <v>13241180.483633576</v>
      </c>
      <c r="P139" s="891">
        <f t="shared" si="56"/>
        <v>13041919.84237121</v>
      </c>
      <c r="Q139" s="891">
        <f t="shared" si="56"/>
        <v>12839445.695383221</v>
      </c>
      <c r="R139" s="891">
        <f t="shared" si="56"/>
        <v>12633758.0426696</v>
      </c>
      <c r="S139" s="891">
        <f t="shared" si="56"/>
        <v>12424856.884230351</v>
      </c>
      <c r="T139" s="891">
        <f t="shared" si="56"/>
        <v>12212742.220065471</v>
      </c>
      <c r="U139" s="891">
        <f t="shared" si="56"/>
        <v>11997414.050174965</v>
      </c>
      <c r="V139" s="891">
        <f t="shared" si="56"/>
        <v>11778872.374558827</v>
      </c>
      <c r="W139" s="891">
        <f t="shared" si="56"/>
        <v>11557117.193217061</v>
      </c>
      <c r="X139" s="766"/>
    </row>
    <row r="140" spans="2:24" ht="12" customHeight="1" x14ac:dyDescent="0.2">
      <c r="D140" s="171"/>
      <c r="E140" s="744"/>
      <c r="F140" s="744"/>
      <c r="G140" s="571"/>
      <c r="H140" s="744"/>
      <c r="I140" s="744"/>
      <c r="J140" s="744"/>
      <c r="K140" s="744"/>
      <c r="L140" s="744"/>
      <c r="M140" s="744"/>
      <c r="N140" s="744"/>
      <c r="O140" s="744"/>
      <c r="P140" s="744"/>
      <c r="Q140" s="744"/>
      <c r="R140" s="744"/>
      <c r="S140" s="744"/>
      <c r="T140" s="744"/>
      <c r="U140" s="744"/>
      <c r="V140" s="744"/>
      <c r="W140" s="744"/>
      <c r="X140" s="766"/>
    </row>
    <row r="141" spans="2:24" ht="12" customHeight="1" x14ac:dyDescent="0.2">
      <c r="D141" s="171"/>
      <c r="E141" s="254" t="str">
        <f>E$63</f>
        <v>Tax depreciation</v>
      </c>
      <c r="F141" s="515"/>
      <c r="G141" s="656"/>
      <c r="H141" s="515"/>
      <c r="I141" s="894"/>
      <c r="J141" s="894"/>
      <c r="K141" s="894"/>
      <c r="L141" s="894"/>
      <c r="M141" s="894"/>
      <c r="N141" s="894"/>
      <c r="O141" s="894"/>
      <c r="P141" s="894"/>
      <c r="Q141" s="894"/>
      <c r="R141" s="894"/>
      <c r="S141" s="894"/>
      <c r="T141" s="894"/>
      <c r="U141" s="894"/>
      <c r="V141" s="894"/>
      <c r="W141" s="894"/>
      <c r="X141" s="766"/>
    </row>
    <row r="142" spans="2:24" ht="12" customHeight="1" x14ac:dyDescent="0.2">
      <c r="D142" s="171"/>
      <c r="E142" s="515" t="str">
        <f>E$64</f>
        <v>Opening TVA</v>
      </c>
      <c r="F142" s="515" t="str">
        <f>F$64</f>
        <v>$'000 nominal</v>
      </c>
      <c r="G142" s="656"/>
      <c r="H142" s="744"/>
      <c r="I142" s="890">
        <f>H147</f>
        <v>147924479.99999997</v>
      </c>
      <c r="J142" s="891">
        <f t="shared" ref="J142:W142" si="57">I147</f>
        <v>144483164.89727995</v>
      </c>
      <c r="K142" s="891">
        <f t="shared" si="57"/>
        <v>141027106.26025468</v>
      </c>
      <c r="L142" s="891">
        <f t="shared" si="57"/>
        <v>137555950.24410081</v>
      </c>
      <c r="M142" s="891">
        <f t="shared" si="57"/>
        <v>134069334.51171923</v>
      </c>
      <c r="N142" s="891">
        <f t="shared" si="57"/>
        <v>130566888.0299205</v>
      </c>
      <c r="O142" s="891">
        <f t="shared" si="57"/>
        <v>127048230.86071859</v>
      </c>
      <c r="P142" s="891">
        <f t="shared" si="57"/>
        <v>123512973.94761583</v>
      </c>
      <c r="Q142" s="891">
        <f t="shared" si="57"/>
        <v>119960718.89675862</v>
      </c>
      <c r="R142" s="891">
        <f t="shared" si="57"/>
        <v>116391057.75284083</v>
      </c>
      <c r="S142" s="891">
        <f t="shared" si="57"/>
        <v>112803572.76962902</v>
      </c>
      <c r="T142" s="891">
        <f t="shared" si="57"/>
        <v>109197836.17498012</v>
      </c>
      <c r="U142" s="891">
        <f t="shared" si="57"/>
        <v>105573409.93021965</v>
      </c>
      <c r="V142" s="891">
        <f t="shared" si="57"/>
        <v>101929845.48374493</v>
      </c>
      <c r="W142" s="891">
        <f t="shared" si="57"/>
        <v>98266683.518714815</v>
      </c>
      <c r="X142" s="766"/>
    </row>
    <row r="143" spans="2:24" ht="12" customHeight="1" x14ac:dyDescent="0.2">
      <c r="D143" s="171"/>
      <c r="E143" s="515" t="str">
        <f>E$65</f>
        <v xml:space="preserve">  capex net of capital contributions </v>
      </c>
      <c r="F143" s="515" t="str">
        <f>F$65</f>
        <v>$'000 nominal</v>
      </c>
      <c r="G143" s="656"/>
      <c r="H143" s="744"/>
      <c r="I143" s="891">
        <f t="shared" ref="I143:W143" si="58">I129*I$48</f>
        <v>1514746.6751999999</v>
      </c>
      <c r="J143" s="891">
        <f t="shared" si="58"/>
        <v>1551100.5954048</v>
      </c>
      <c r="K143" s="891">
        <f t="shared" si="58"/>
        <v>1588327.0096945155</v>
      </c>
      <c r="L143" s="891">
        <f t="shared" si="58"/>
        <v>1626446.8579271841</v>
      </c>
      <c r="M143" s="891">
        <f t="shared" si="58"/>
        <v>1665481.5825174365</v>
      </c>
      <c r="N143" s="891">
        <f t="shared" si="58"/>
        <v>1705453.1404978549</v>
      </c>
      <c r="O143" s="891">
        <f t="shared" si="58"/>
        <v>1746384.0158698035</v>
      </c>
      <c r="P143" s="891">
        <f t="shared" si="58"/>
        <v>1788297.2322506788</v>
      </c>
      <c r="Q143" s="891">
        <f t="shared" si="58"/>
        <v>1831216.3658246952</v>
      </c>
      <c r="R143" s="891">
        <f t="shared" si="58"/>
        <v>1875165.5586044879</v>
      </c>
      <c r="S143" s="891">
        <f t="shared" si="58"/>
        <v>1920169.5320109958</v>
      </c>
      <c r="T143" s="891">
        <f t="shared" si="58"/>
        <v>1966253.6007792596</v>
      </c>
      <c r="U143" s="891">
        <f t="shared" si="58"/>
        <v>2013443.6871979621</v>
      </c>
      <c r="V143" s="891">
        <f t="shared" si="58"/>
        <v>2061766.3356907133</v>
      </c>
      <c r="W143" s="891">
        <f t="shared" si="58"/>
        <v>2111248.7277472904</v>
      </c>
      <c r="X143" s="766"/>
    </row>
    <row r="144" spans="2:24" ht="12" customHeight="1" x14ac:dyDescent="0.2">
      <c r="D144" s="171"/>
      <c r="E144" s="515" t="str">
        <f>E$66</f>
        <v xml:space="preserve">  disposals </v>
      </c>
      <c r="F144" s="515" t="str">
        <f>F$66</f>
        <v>$'000 nominal</v>
      </c>
      <c r="G144" s="656"/>
      <c r="H144" s="744"/>
      <c r="I144" s="744"/>
      <c r="J144" s="744"/>
      <c r="K144" s="744"/>
      <c r="L144" s="744"/>
      <c r="M144" s="744"/>
      <c r="N144" s="744"/>
      <c r="O144" s="744"/>
      <c r="P144" s="744"/>
      <c r="Q144" s="744"/>
      <c r="R144" s="744"/>
      <c r="S144" s="744"/>
      <c r="T144" s="744"/>
      <c r="U144" s="744"/>
      <c r="V144" s="744"/>
      <c r="W144" s="744"/>
      <c r="X144" s="766"/>
    </row>
    <row r="145" spans="4:24" ht="12" customHeight="1" x14ac:dyDescent="0.2">
      <c r="D145" s="171"/>
      <c r="E145" s="515" t="str">
        <f>E$67</f>
        <v xml:space="preserve">  depreciation</v>
      </c>
      <c r="F145" s="515" t="str">
        <f>F$67</f>
        <v>$'000 nominal</v>
      </c>
      <c r="G145" s="656"/>
      <c r="H145" s="744"/>
      <c r="I145" s="890">
        <f>$H147/$K$4+I143*$K$9/$K$5</f>
        <v>4956061.7779199993</v>
      </c>
      <c r="J145" s="739">
        <f>$H147/$K$4+SUM($I143:I143)/$K$5+J143*$K$9/$K$5</f>
        <v>5007159.232430079</v>
      </c>
      <c r="K145" s="739">
        <f>$H147/$K$4+SUM($I143:J143)/$K$5+K143*$K$9/$K$5</f>
        <v>5059483.0258484017</v>
      </c>
      <c r="L145" s="739">
        <f>$H147/$K$4+SUM($I143:K143)/$K$5+L143*$K$9/$K$5</f>
        <v>5113062.5903087631</v>
      </c>
      <c r="M145" s="739">
        <f>$H147/$K$4+SUM($I143:L143)/$K$5+M143*$K$9/$K$5</f>
        <v>5167928.0643161731</v>
      </c>
      <c r="N145" s="739">
        <f>$H147/$K$4+SUM($I143:M143)/$K$5+N143*$K$9/$K$5</f>
        <v>5224110.3096997617</v>
      </c>
      <c r="O145" s="739">
        <f>$H147/$K$4+SUM($I143:N143)/$K$5+O143*$K$9/$K$5</f>
        <v>5281640.9289725553</v>
      </c>
      <c r="P145" s="739">
        <f>$H147/$K$4+SUM($I143:O143)/$K$5+P143*$K$9/$K$5</f>
        <v>5340552.2831078973</v>
      </c>
      <c r="Q145" s="739">
        <f>$H147/$K$4+SUM($I143:P143)/$K$5+Q143*$K$9/$K$5</f>
        <v>5400877.5097424863</v>
      </c>
      <c r="R145" s="739">
        <f>$H147/$K$4+SUM($I143:Q143)/$K$5+R143*$K$9/$K$5</f>
        <v>5462650.5418163063</v>
      </c>
      <c r="S145" s="739">
        <f>$H147/$K$4+SUM($I143:R143)/$K$5+S143*$K$9/$K$5</f>
        <v>5525906.1266598981</v>
      </c>
      <c r="T145" s="739">
        <f>$H147/$K$4+SUM($I143:S143)/$K$5+T143*$K$9/$K$5</f>
        <v>5590679.8455397347</v>
      </c>
      <c r="U145" s="739">
        <f>$H147/$K$4+SUM($I143:T143)/$K$5+U143*$K$9/$K$5</f>
        <v>5657008.1336726891</v>
      </c>
      <c r="V145" s="739">
        <f>$H147/$K$4+SUM($I143:U143)/$K$5+V143*$K$9/$K$5</f>
        <v>5724928.3007208332</v>
      </c>
      <c r="W145" s="739">
        <f>$H147/$K$4+SUM($I143:V143)/$K$5+W143*$K$9/$K$5</f>
        <v>5794478.551778134</v>
      </c>
      <c r="X145" s="766"/>
    </row>
    <row r="146" spans="4:24" ht="12" customHeight="1" x14ac:dyDescent="0.2">
      <c r="D146" s="171"/>
      <c r="E146" s="515" t="str">
        <f>E$68</f>
        <v xml:space="preserve">  no indexation for TVA</v>
      </c>
      <c r="F146" s="515" t="str">
        <f>F$68</f>
        <v>$'000 nominal</v>
      </c>
      <c r="G146" s="656"/>
      <c r="H146" s="744"/>
      <c r="I146" s="891"/>
      <c r="J146" s="744"/>
      <c r="K146" s="744"/>
      <c r="L146" s="744"/>
      <c r="M146" s="744"/>
      <c r="N146" s="744"/>
      <c r="O146" s="744"/>
      <c r="P146" s="744"/>
      <c r="Q146" s="744"/>
      <c r="R146" s="744"/>
      <c r="S146" s="744"/>
      <c r="T146" s="744"/>
      <c r="U146" s="744"/>
      <c r="V146" s="744"/>
      <c r="W146" s="744"/>
      <c r="X146" s="766"/>
    </row>
    <row r="147" spans="4:24" ht="12" customHeight="1" x14ac:dyDescent="0.2">
      <c r="D147" s="171"/>
      <c r="E147" s="515" t="str">
        <f>E$69</f>
        <v>Closing TVA</v>
      </c>
      <c r="F147" s="515" t="str">
        <f>F$69</f>
        <v>$'000 nominal</v>
      </c>
      <c r="G147" s="656"/>
      <c r="H147" s="890">
        <f>H133*H$48</f>
        <v>147924479.99999997</v>
      </c>
      <c r="I147" s="891">
        <f>I142+I143-I145</f>
        <v>144483164.89727995</v>
      </c>
      <c r="J147" s="891">
        <f t="shared" ref="J147:W147" si="59">J142+J143-J145</f>
        <v>141027106.26025468</v>
      </c>
      <c r="K147" s="891">
        <f t="shared" si="59"/>
        <v>137555950.24410081</v>
      </c>
      <c r="L147" s="891">
        <f t="shared" si="59"/>
        <v>134069334.51171923</v>
      </c>
      <c r="M147" s="891">
        <f t="shared" si="59"/>
        <v>130566888.0299205</v>
      </c>
      <c r="N147" s="891">
        <f t="shared" si="59"/>
        <v>127048230.86071859</v>
      </c>
      <c r="O147" s="891">
        <f t="shared" si="59"/>
        <v>123512973.94761583</v>
      </c>
      <c r="P147" s="891">
        <f t="shared" si="59"/>
        <v>119960718.89675862</v>
      </c>
      <c r="Q147" s="891">
        <f t="shared" si="59"/>
        <v>116391057.75284083</v>
      </c>
      <c r="R147" s="891">
        <f t="shared" si="59"/>
        <v>112803572.76962902</v>
      </c>
      <c r="S147" s="891">
        <f t="shared" si="59"/>
        <v>109197836.17498012</v>
      </c>
      <c r="T147" s="891">
        <f t="shared" si="59"/>
        <v>105573409.93021965</v>
      </c>
      <c r="U147" s="891">
        <f t="shared" si="59"/>
        <v>101929845.48374493</v>
      </c>
      <c r="V147" s="891">
        <f t="shared" si="59"/>
        <v>98266683.518714815</v>
      </c>
      <c r="W147" s="891">
        <f t="shared" si="59"/>
        <v>94583453.694683969</v>
      </c>
      <c r="X147" s="766"/>
    </row>
    <row r="148" spans="4:24" ht="12" customHeight="1" x14ac:dyDescent="0.2">
      <c r="D148" s="171"/>
      <c r="E148" s="515"/>
      <c r="F148" s="515"/>
      <c r="G148" s="656"/>
      <c r="H148" s="744"/>
      <c r="I148" s="744"/>
      <c r="J148" s="744"/>
      <c r="K148" s="744"/>
      <c r="L148" s="744"/>
      <c r="M148" s="744"/>
      <c r="N148" s="744"/>
      <c r="O148" s="744"/>
      <c r="P148" s="744"/>
      <c r="Q148" s="744"/>
      <c r="R148" s="744"/>
      <c r="S148" s="744"/>
      <c r="T148" s="744"/>
      <c r="U148" s="744"/>
      <c r="V148" s="744"/>
      <c r="W148" s="744"/>
      <c r="X148" s="766"/>
    </row>
    <row r="149" spans="4:24" ht="12" customHeight="1" x14ac:dyDescent="0.2">
      <c r="D149" s="171"/>
      <c r="E149" s="254" t="str">
        <f>E$71</f>
        <v xml:space="preserve">Tax allowance </v>
      </c>
      <c r="F149" s="515"/>
      <c r="G149" s="656"/>
      <c r="H149" s="744"/>
      <c r="I149" s="744"/>
      <c r="J149" s="744"/>
      <c r="K149" s="744"/>
      <c r="L149" s="744"/>
      <c r="M149" s="744"/>
      <c r="N149" s="744"/>
      <c r="O149" s="744"/>
      <c r="P149" s="744"/>
      <c r="Q149" s="744"/>
      <c r="R149" s="744"/>
      <c r="S149" s="744"/>
      <c r="T149" s="744"/>
      <c r="U149" s="744"/>
      <c r="V149" s="744"/>
      <c r="W149" s="744"/>
      <c r="X149" s="766"/>
    </row>
    <row r="150" spans="4:24" ht="12" customHeight="1" x14ac:dyDescent="0.2">
      <c r="D150" s="171"/>
      <c r="E150" s="515" t="str">
        <f>E$72</f>
        <v>Required revenue excluding tax liability and opex</v>
      </c>
      <c r="F150" s="515" t="str">
        <f>F$72</f>
        <v>$'000 nominal</v>
      </c>
      <c r="G150" s="656"/>
      <c r="H150" s="892" t="s">
        <v>957</v>
      </c>
      <c r="I150" s="891">
        <f>I139</f>
        <v>14369260.710969549</v>
      </c>
      <c r="J150" s="891">
        <f t="shared" ref="J150:W150" si="60">J139</f>
        <v>14189281.104060959</v>
      </c>
      <c r="K150" s="891">
        <f t="shared" si="60"/>
        <v>14006087.99142674</v>
      </c>
      <c r="L150" s="891">
        <f t="shared" si="60"/>
        <v>13819681.373066891</v>
      </c>
      <c r="M150" s="891">
        <f t="shared" si="60"/>
        <v>13630061.248981416</v>
      </c>
      <c r="N150" s="891">
        <f t="shared" si="60"/>
        <v>13437227.61917031</v>
      </c>
      <c r="O150" s="891">
        <f t="shared" si="60"/>
        <v>13241180.483633576</v>
      </c>
      <c r="P150" s="891">
        <f t="shared" si="60"/>
        <v>13041919.84237121</v>
      </c>
      <c r="Q150" s="891">
        <f t="shared" si="60"/>
        <v>12839445.695383221</v>
      </c>
      <c r="R150" s="891">
        <f t="shared" si="60"/>
        <v>12633758.0426696</v>
      </c>
      <c r="S150" s="891">
        <f t="shared" si="60"/>
        <v>12424856.884230351</v>
      </c>
      <c r="T150" s="891">
        <f t="shared" si="60"/>
        <v>12212742.220065471</v>
      </c>
      <c r="U150" s="891">
        <f t="shared" si="60"/>
        <v>11997414.050174965</v>
      </c>
      <c r="V150" s="891">
        <f t="shared" si="60"/>
        <v>11778872.374558827</v>
      </c>
      <c r="W150" s="891">
        <f t="shared" si="60"/>
        <v>11557117.193217061</v>
      </c>
      <c r="X150" s="766"/>
    </row>
    <row r="151" spans="4:24" ht="12" customHeight="1" x14ac:dyDescent="0.2">
      <c r="D151" s="171"/>
      <c r="E151" s="515" t="str">
        <f>E$73</f>
        <v xml:space="preserve">  less</v>
      </c>
      <c r="F151" s="515"/>
      <c r="G151" s="656"/>
      <c r="H151" s="892" t="s">
        <v>959</v>
      </c>
      <c r="I151" s="891"/>
      <c r="J151" s="891"/>
      <c r="K151" s="891"/>
      <c r="L151" s="891"/>
      <c r="M151" s="891"/>
      <c r="N151" s="891"/>
      <c r="O151" s="891"/>
      <c r="P151" s="891"/>
      <c r="Q151" s="891"/>
      <c r="R151" s="891"/>
      <c r="S151" s="891"/>
      <c r="T151" s="891"/>
      <c r="U151" s="891"/>
      <c r="V151" s="891"/>
      <c r="W151" s="891"/>
      <c r="X151" s="766"/>
    </row>
    <row r="152" spans="4:24" ht="12" customHeight="1" x14ac:dyDescent="0.2">
      <c r="D152" s="171"/>
      <c r="E152" s="515" t="str">
        <f>E$74</f>
        <v>NA - Operating expenditure</v>
      </c>
      <c r="F152" s="515" t="str">
        <f>F$74</f>
        <v>$'000 nominal</v>
      </c>
      <c r="G152" s="656"/>
      <c r="H152" s="744"/>
      <c r="I152" s="893">
        <v>0</v>
      </c>
      <c r="J152" s="893">
        <v>0</v>
      </c>
      <c r="K152" s="893">
        <v>0</v>
      </c>
      <c r="L152" s="893">
        <v>0</v>
      </c>
      <c r="M152" s="893">
        <v>0</v>
      </c>
      <c r="N152" s="893">
        <v>0</v>
      </c>
      <c r="O152" s="893">
        <v>0</v>
      </c>
      <c r="P152" s="893">
        <v>0</v>
      </c>
      <c r="Q152" s="893">
        <v>0</v>
      </c>
      <c r="R152" s="893">
        <v>0</v>
      </c>
      <c r="S152" s="893">
        <v>0</v>
      </c>
      <c r="T152" s="893">
        <v>0</v>
      </c>
      <c r="U152" s="893">
        <v>0</v>
      </c>
      <c r="V152" s="893">
        <v>0</v>
      </c>
      <c r="W152" s="893">
        <v>0</v>
      </c>
      <c r="X152" s="766"/>
    </row>
    <row r="153" spans="4:24" ht="12" customHeight="1" x14ac:dyDescent="0.2">
      <c r="D153" s="171"/>
      <c r="E153" s="515" t="str">
        <f>E$75</f>
        <v>Tax depreciation</v>
      </c>
      <c r="F153" s="515" t="str">
        <f>F$75</f>
        <v>$'000 nominal</v>
      </c>
      <c r="G153" s="656"/>
      <c r="H153" s="744"/>
      <c r="I153" s="891">
        <f>I145</f>
        <v>4956061.7779199993</v>
      </c>
      <c r="J153" s="891">
        <f t="shared" ref="J153:W153" si="61">J145</f>
        <v>5007159.232430079</v>
      </c>
      <c r="K153" s="891">
        <f t="shared" si="61"/>
        <v>5059483.0258484017</v>
      </c>
      <c r="L153" s="891">
        <f t="shared" si="61"/>
        <v>5113062.5903087631</v>
      </c>
      <c r="M153" s="891">
        <f t="shared" si="61"/>
        <v>5167928.0643161731</v>
      </c>
      <c r="N153" s="891">
        <f t="shared" si="61"/>
        <v>5224110.3096997617</v>
      </c>
      <c r="O153" s="891">
        <f t="shared" si="61"/>
        <v>5281640.9289725553</v>
      </c>
      <c r="P153" s="891">
        <f t="shared" si="61"/>
        <v>5340552.2831078973</v>
      </c>
      <c r="Q153" s="891">
        <f t="shared" si="61"/>
        <v>5400877.5097424863</v>
      </c>
      <c r="R153" s="891">
        <f t="shared" si="61"/>
        <v>5462650.5418163063</v>
      </c>
      <c r="S153" s="891">
        <f t="shared" si="61"/>
        <v>5525906.1266598981</v>
      </c>
      <c r="T153" s="891">
        <f t="shared" si="61"/>
        <v>5590679.8455397347</v>
      </c>
      <c r="U153" s="891">
        <f t="shared" si="61"/>
        <v>5657008.1336726891</v>
      </c>
      <c r="V153" s="891">
        <f t="shared" si="61"/>
        <v>5724928.3007208332</v>
      </c>
      <c r="W153" s="891">
        <f t="shared" si="61"/>
        <v>5794478.551778134</v>
      </c>
      <c r="X153" s="766"/>
    </row>
    <row r="154" spans="4:24" ht="12" customHeight="1" x14ac:dyDescent="0.2">
      <c r="D154" s="171"/>
      <c r="E154" s="515" t="str">
        <f>E$76</f>
        <v>Interest deductible</v>
      </c>
      <c r="F154" s="515" t="str">
        <f>F$76</f>
        <v>$'000 nominal</v>
      </c>
      <c r="G154" s="656"/>
      <c r="H154" s="744"/>
      <c r="I154" s="891">
        <f>AVERAGE(I128,I133)*I$48*$K$10*$K$11</f>
        <v>1571795.8218547199</v>
      </c>
      <c r="J154" s="891">
        <f t="shared" ref="J154:W154" si="62">AVERAGE(J128,J133)*J$48*$K$10*$K$11</f>
        <v>1570974.0717834241</v>
      </c>
      <c r="K154" s="891">
        <f t="shared" si="62"/>
        <v>1568651.6088619246</v>
      </c>
      <c r="L154" s="891">
        <f t="shared" si="62"/>
        <v>1564743.530254571</v>
      </c>
      <c r="M154" s="891">
        <f t="shared" si="62"/>
        <v>1559161.4019934793</v>
      </c>
      <c r="N154" s="891">
        <f t="shared" si="62"/>
        <v>1551813.1307032541</v>
      </c>
      <c r="O154" s="891">
        <f t="shared" si="62"/>
        <v>1542602.8310179955</v>
      </c>
      <c r="P154" s="891">
        <f t="shared" si="62"/>
        <v>1531430.6885532718</v>
      </c>
      <c r="Q154" s="891">
        <f t="shared" si="62"/>
        <v>1518192.8182915361</v>
      </c>
      <c r="R154" s="891">
        <f t="shared" si="62"/>
        <v>1502781.1182351189</v>
      </c>
      <c r="S154" s="891">
        <f t="shared" si="62"/>
        <v>1485083.1181764537</v>
      </c>
      <c r="T154" s="891">
        <f t="shared" si="62"/>
        <v>1464981.8234305966</v>
      </c>
      <c r="U154" s="891">
        <f t="shared" si="62"/>
        <v>1442355.5533703498</v>
      </c>
      <c r="V154" s="891">
        <f t="shared" si="62"/>
        <v>1417077.7745994229</v>
      </c>
      <c r="W154" s="891">
        <f t="shared" si="62"/>
        <v>1389016.9285940386</v>
      </c>
      <c r="X154" s="766"/>
    </row>
    <row r="155" spans="4:24" ht="12" customHeight="1" x14ac:dyDescent="0.2">
      <c r="D155" s="171"/>
      <c r="E155" s="515" t="str">
        <f>E$77</f>
        <v>Taxable income for the year</v>
      </c>
      <c r="F155" s="515" t="str">
        <f>F$77</f>
        <v>$'000 nominal</v>
      </c>
      <c r="G155" s="656"/>
      <c r="H155" s="744"/>
      <c r="I155" s="891">
        <f>I150-I153-I154</f>
        <v>7841403.1111948285</v>
      </c>
      <c r="J155" s="891">
        <f t="shared" ref="J155:W155" si="63">J150-J153-J154</f>
        <v>7611147.7998474566</v>
      </c>
      <c r="K155" s="891">
        <f t="shared" si="63"/>
        <v>7377953.3567164131</v>
      </c>
      <c r="L155" s="891">
        <f t="shared" si="63"/>
        <v>7141875.2525035571</v>
      </c>
      <c r="M155" s="891">
        <f t="shared" si="63"/>
        <v>6902971.7826717645</v>
      </c>
      <c r="N155" s="891">
        <f t="shared" si="63"/>
        <v>6661304.1787672937</v>
      </c>
      <c r="O155" s="891">
        <f t="shared" si="63"/>
        <v>6416936.7236430254</v>
      </c>
      <c r="P155" s="891">
        <f t="shared" si="63"/>
        <v>6169936.8707100414</v>
      </c>
      <c r="Q155" s="891">
        <f t="shared" si="63"/>
        <v>5920375.3673491981</v>
      </c>
      <c r="R155" s="891">
        <f t="shared" si="63"/>
        <v>5668326.3826181749</v>
      </c>
      <c r="S155" s="891">
        <f t="shared" si="63"/>
        <v>5413867.6393939992</v>
      </c>
      <c r="T155" s="891">
        <f t="shared" si="63"/>
        <v>5157080.5510951392</v>
      </c>
      <c r="U155" s="891">
        <f t="shared" si="63"/>
        <v>4898050.3631319255</v>
      </c>
      <c r="V155" s="891">
        <f t="shared" si="63"/>
        <v>4636866.299238571</v>
      </c>
      <c r="W155" s="891">
        <f t="shared" si="63"/>
        <v>4373621.7128448887</v>
      </c>
      <c r="X155" s="766"/>
    </row>
    <row r="156" spans="4:24" ht="12" customHeight="1" x14ac:dyDescent="0.2">
      <c r="D156" s="171"/>
      <c r="E156" s="515"/>
      <c r="F156" s="515"/>
      <c r="G156" s="656"/>
      <c r="H156" s="744"/>
      <c r="I156" s="744"/>
      <c r="J156" s="744"/>
      <c r="K156" s="744"/>
      <c r="L156" s="744"/>
      <c r="M156" s="744"/>
      <c r="N156" s="744"/>
      <c r="O156" s="744"/>
      <c r="P156" s="744"/>
      <c r="Q156" s="744"/>
      <c r="R156" s="744"/>
      <c r="S156" s="744"/>
      <c r="T156" s="744"/>
      <c r="U156" s="744"/>
      <c r="V156" s="744"/>
      <c r="W156" s="744"/>
      <c r="X156" s="766"/>
    </row>
    <row r="157" spans="4:24" ht="12" customHeight="1" x14ac:dyDescent="0.2">
      <c r="D157" s="171"/>
      <c r="E157" s="515" t="str">
        <f>E$79</f>
        <v>Tax before adjustment for franking credits</v>
      </c>
      <c r="F157" s="515" t="str">
        <f>F$79</f>
        <v>$'000 nominal</v>
      </c>
      <c r="G157" s="656"/>
      <c r="H157" s="744"/>
      <c r="I157" s="891">
        <f>I155*$K$13/(1-$K$13*(1-$K$12))</f>
        <v>3035381.849494772</v>
      </c>
      <c r="J157" s="891">
        <f t="shared" ref="J157:W157" si="64">J155*$K$13/(1-$K$13*(1-$K$12))</f>
        <v>2946250.7612312734</v>
      </c>
      <c r="K157" s="891">
        <f t="shared" si="64"/>
        <v>2855981.9445353854</v>
      </c>
      <c r="L157" s="891">
        <f t="shared" si="64"/>
        <v>2764596.871936861</v>
      </c>
      <c r="M157" s="891">
        <f t="shared" si="64"/>
        <v>2672118.1094213282</v>
      </c>
      <c r="N157" s="891">
        <f t="shared" si="64"/>
        <v>2578569.3595228232</v>
      </c>
      <c r="O157" s="891">
        <f t="shared" si="64"/>
        <v>2483975.5059263324</v>
      </c>
      <c r="P157" s="891">
        <f t="shared" si="64"/>
        <v>2388362.6596296933</v>
      </c>
      <c r="Q157" s="891">
        <f t="shared" si="64"/>
        <v>2291758.2067158185</v>
      </c>
      <c r="R157" s="891">
        <f t="shared" si="64"/>
        <v>2194190.8577876803</v>
      </c>
      <c r="S157" s="891">
        <f t="shared" si="64"/>
        <v>2095690.6991202575</v>
      </c>
      <c r="T157" s="891">
        <f t="shared" si="64"/>
        <v>1996289.245585215</v>
      </c>
      <c r="U157" s="891">
        <f t="shared" si="64"/>
        <v>1896019.4954059066</v>
      </c>
      <c r="V157" s="891">
        <f t="shared" si="64"/>
        <v>1794915.9868020273</v>
      </c>
      <c r="W157" s="891">
        <f t="shared" si="64"/>
        <v>1693014.8565851182</v>
      </c>
      <c r="X157" s="766"/>
    </row>
    <row r="158" spans="4:24" ht="12" customHeight="1" x14ac:dyDescent="0.2">
      <c r="D158" s="171"/>
      <c r="E158" s="515" t="str">
        <f>E$80</f>
        <v>Adjustment for franking credits</v>
      </c>
      <c r="F158" s="515" t="str">
        <f>F$80</f>
        <v>$'000 nominal</v>
      </c>
      <c r="G158" s="656"/>
      <c r="H158" s="744"/>
      <c r="I158" s="891">
        <f>-I157*$K$12</f>
        <v>-758845.46237369301</v>
      </c>
      <c r="J158" s="891">
        <f t="shared" ref="J158:W158" si="65">-J157*$K$12</f>
        <v>-736562.69030781835</v>
      </c>
      <c r="K158" s="891">
        <f t="shared" si="65"/>
        <v>-713995.48613384634</v>
      </c>
      <c r="L158" s="891">
        <f t="shared" si="65"/>
        <v>-691149.21798421524</v>
      </c>
      <c r="M158" s="891">
        <f t="shared" si="65"/>
        <v>-668029.52735533204</v>
      </c>
      <c r="N158" s="891">
        <f t="shared" si="65"/>
        <v>-644642.33988070581</v>
      </c>
      <c r="O158" s="891">
        <f t="shared" si="65"/>
        <v>-620993.87648158311</v>
      </c>
      <c r="P158" s="891">
        <f t="shared" si="65"/>
        <v>-597090.66490742331</v>
      </c>
      <c r="Q158" s="891">
        <f t="shared" si="65"/>
        <v>-572939.55167895462</v>
      </c>
      <c r="R158" s="891">
        <f t="shared" si="65"/>
        <v>-548547.71444692009</v>
      </c>
      <c r="S158" s="891">
        <f t="shared" si="65"/>
        <v>-523922.67478006438</v>
      </c>
      <c r="T158" s="891">
        <f t="shared" si="65"/>
        <v>-499072.31139630376</v>
      </c>
      <c r="U158" s="891">
        <f t="shared" si="65"/>
        <v>-474004.87385147664</v>
      </c>
      <c r="V158" s="891">
        <f t="shared" si="65"/>
        <v>-448728.99670050683</v>
      </c>
      <c r="W158" s="891">
        <f t="shared" si="65"/>
        <v>-423253.71414627956</v>
      </c>
      <c r="X158" s="766"/>
    </row>
    <row r="159" spans="4:24" ht="12" customHeight="1" x14ac:dyDescent="0.2">
      <c r="D159" s="171"/>
      <c r="E159" s="515" t="str">
        <f>E$81</f>
        <v>Tax net of adjustment for franking credits</v>
      </c>
      <c r="F159" s="515" t="str">
        <f>F$81</f>
        <v>$'000 nominal</v>
      </c>
      <c r="G159" s="656"/>
      <c r="H159" s="744"/>
      <c r="I159" s="891">
        <f>SUM(I157:I158)</f>
        <v>2276536.387121079</v>
      </c>
      <c r="J159" s="891">
        <f t="shared" ref="J159:W159" si="66">SUM(J157:J158)</f>
        <v>2209688.0709234551</v>
      </c>
      <c r="K159" s="891">
        <f t="shared" si="66"/>
        <v>2141986.4584015389</v>
      </c>
      <c r="L159" s="891">
        <f t="shared" si="66"/>
        <v>2073447.6539526456</v>
      </c>
      <c r="M159" s="891">
        <f t="shared" si="66"/>
        <v>2004088.5820659962</v>
      </c>
      <c r="N159" s="891">
        <f t="shared" si="66"/>
        <v>1933927.0196421174</v>
      </c>
      <c r="O159" s="891">
        <f t="shared" si="66"/>
        <v>1862981.6294447493</v>
      </c>
      <c r="P159" s="891">
        <f t="shared" si="66"/>
        <v>1791271.9947222699</v>
      </c>
      <c r="Q159" s="891">
        <f t="shared" si="66"/>
        <v>1718818.6550368639</v>
      </c>
      <c r="R159" s="891">
        <f t="shared" si="66"/>
        <v>1645643.1433407604</v>
      </c>
      <c r="S159" s="891">
        <f t="shared" si="66"/>
        <v>1571768.0243401933</v>
      </c>
      <c r="T159" s="891">
        <f t="shared" si="66"/>
        <v>1497216.9341889112</v>
      </c>
      <c r="U159" s="891">
        <f t="shared" si="66"/>
        <v>1422014.6215544299</v>
      </c>
      <c r="V159" s="891">
        <f t="shared" si="66"/>
        <v>1346186.9901015204</v>
      </c>
      <c r="W159" s="891">
        <f t="shared" si="66"/>
        <v>1269761.1424388387</v>
      </c>
      <c r="X159" s="766"/>
    </row>
    <row r="160" spans="4:24" ht="12" customHeight="1" x14ac:dyDescent="0.2">
      <c r="D160" s="171"/>
      <c r="E160" s="515" t="str">
        <f>E$82</f>
        <v>Tax net of adjustment for franking credits</v>
      </c>
      <c r="F160" s="515" t="str">
        <f>F$82</f>
        <v>$'000 real</v>
      </c>
      <c r="G160" s="656"/>
      <c r="H160" s="744"/>
      <c r="I160" s="891">
        <f>I159/I$48</f>
        <v>2171074.2827616492</v>
      </c>
      <c r="J160" s="891">
        <f t="shared" ref="J160:W160" si="67">J159/J$48</f>
        <v>2057932.3833095422</v>
      </c>
      <c r="K160" s="891">
        <f t="shared" si="67"/>
        <v>1948125.3351855581</v>
      </c>
      <c r="L160" s="891">
        <f t="shared" si="67"/>
        <v>1841591.4606185923</v>
      </c>
      <c r="M160" s="891">
        <f t="shared" si="67"/>
        <v>1738269.7556234773</v>
      </c>
      <c r="N160" s="891">
        <f t="shared" si="67"/>
        <v>1638099.9032221874</v>
      </c>
      <c r="O160" s="891">
        <f t="shared" si="67"/>
        <v>1541022.2854191449</v>
      </c>
      <c r="P160" s="891">
        <f t="shared" si="67"/>
        <v>1446977.9939877444</v>
      </c>
      <c r="Q160" s="891">
        <f t="shared" si="67"/>
        <v>1355908.8401231419</v>
      </c>
      <c r="R160" s="891">
        <f t="shared" si="67"/>
        <v>1267757.3630142021</v>
      </c>
      <c r="S160" s="891">
        <f t="shared" si="67"/>
        <v>1182466.8373856025</v>
      </c>
      <c r="T160" s="891">
        <f t="shared" si="67"/>
        <v>1099981.2800590806</v>
      </c>
      <c r="U160" s="891">
        <f t="shared" si="67"/>
        <v>1020245.4555810086</v>
      </c>
      <c r="V160" s="891">
        <f t="shared" si="67"/>
        <v>943204.88096165354</v>
      </c>
      <c r="W160" s="891">
        <f t="shared" si="67"/>
        <v>868805.82956976024</v>
      </c>
      <c r="X160" s="766"/>
    </row>
    <row r="161" spans="2:29" ht="12" customHeight="1" x14ac:dyDescent="0.2">
      <c r="E161" s="744"/>
      <c r="F161" s="744"/>
      <c r="G161" s="571"/>
      <c r="H161" s="744"/>
      <c r="I161" s="735"/>
      <c r="J161" s="735"/>
      <c r="K161" s="735"/>
      <c r="L161" s="735"/>
      <c r="M161" s="735"/>
      <c r="N161" s="735"/>
      <c r="O161" s="735"/>
      <c r="P161" s="735"/>
      <c r="Q161" s="735"/>
      <c r="R161" s="735"/>
      <c r="S161" s="735"/>
      <c r="T161" s="735"/>
      <c r="U161" s="735"/>
      <c r="V161" s="735"/>
      <c r="W161" s="735"/>
    </row>
    <row r="162" spans="2:29" ht="12" customHeight="1" x14ac:dyDescent="0.2">
      <c r="E162" s="380" t="s">
        <v>852</v>
      </c>
      <c r="F162" s="571" t="s">
        <v>853</v>
      </c>
      <c r="G162" s="571"/>
      <c r="H162" s="571"/>
      <c r="I162" s="895">
        <f>I139+I160</f>
        <v>16540334.993731197</v>
      </c>
      <c r="J162" s="895">
        <f t="shared" ref="J162:W162" si="68">J139+J160</f>
        <v>16247213.487370502</v>
      </c>
      <c r="K162" s="895">
        <f t="shared" si="68"/>
        <v>15954213.326612297</v>
      </c>
      <c r="L162" s="895">
        <f t="shared" si="68"/>
        <v>15661272.833685484</v>
      </c>
      <c r="M162" s="895">
        <f t="shared" si="68"/>
        <v>15368331.004604893</v>
      </c>
      <c r="N162" s="895">
        <f t="shared" si="68"/>
        <v>15075327.522392496</v>
      </c>
      <c r="O162" s="895">
        <f t="shared" si="68"/>
        <v>14782202.769052722</v>
      </c>
      <c r="P162" s="895">
        <f t="shared" si="68"/>
        <v>14488897.836358955</v>
      </c>
      <c r="Q162" s="895">
        <f t="shared" si="68"/>
        <v>14195354.535506362</v>
      </c>
      <c r="R162" s="895">
        <f t="shared" si="68"/>
        <v>13901515.405683802</v>
      </c>
      <c r="S162" s="895">
        <f t="shared" si="68"/>
        <v>13607323.721615953</v>
      </c>
      <c r="T162" s="895">
        <f t="shared" si="68"/>
        <v>13312723.500124551</v>
      </c>
      <c r="U162" s="895">
        <f t="shared" si="68"/>
        <v>13017659.505755974</v>
      </c>
      <c r="V162" s="895">
        <f t="shared" si="68"/>
        <v>12722077.25552048</v>
      </c>
      <c r="W162" s="895">
        <f t="shared" si="68"/>
        <v>12425923.022786822</v>
      </c>
    </row>
    <row r="163" spans="2:29" ht="12" customHeight="1" x14ac:dyDescent="0.2">
      <c r="B163" s="731" t="str">
        <f>E163&amp;"."&amp;D127</f>
        <v>Annual Ethanol Charge.Imported Starch</v>
      </c>
      <c r="E163" s="380" t="s">
        <v>845</v>
      </c>
      <c r="F163" s="571" t="s">
        <v>838</v>
      </c>
      <c r="G163" s="571"/>
      <c r="H163" s="571"/>
      <c r="I163" s="736">
        <f t="shared" ref="I163:W163" si="69">I162/($K$7*10^6)</f>
        <v>0.16540334993731198</v>
      </c>
      <c r="J163" s="736">
        <f t="shared" si="69"/>
        <v>0.16247213487370502</v>
      </c>
      <c r="K163" s="736">
        <f t="shared" si="69"/>
        <v>0.15954213326612299</v>
      </c>
      <c r="L163" s="736">
        <f t="shared" si="69"/>
        <v>0.15661272833685483</v>
      </c>
      <c r="M163" s="736">
        <f t="shared" si="69"/>
        <v>0.15368331004604893</v>
      </c>
      <c r="N163" s="736">
        <f t="shared" si="69"/>
        <v>0.15075327522392495</v>
      </c>
      <c r="O163" s="736">
        <f t="shared" si="69"/>
        <v>0.14782202769052721</v>
      </c>
      <c r="P163" s="736">
        <f t="shared" si="69"/>
        <v>0.14488897836358955</v>
      </c>
      <c r="Q163" s="736">
        <f t="shared" si="69"/>
        <v>0.14195354535506363</v>
      </c>
      <c r="R163" s="736">
        <f t="shared" si="69"/>
        <v>0.13901515405683804</v>
      </c>
      <c r="S163" s="736">
        <f t="shared" si="69"/>
        <v>0.13607323721615952</v>
      </c>
      <c r="T163" s="736">
        <f t="shared" si="69"/>
        <v>0.13312723500124551</v>
      </c>
      <c r="U163" s="736">
        <f t="shared" si="69"/>
        <v>0.13017659505755974</v>
      </c>
      <c r="V163" s="736">
        <f t="shared" si="69"/>
        <v>0.12722077255520481</v>
      </c>
      <c r="W163" s="736">
        <f t="shared" si="69"/>
        <v>0.12425923022786822</v>
      </c>
    </row>
    <row r="164" spans="2:29" ht="12" customHeight="1" x14ac:dyDescent="0.2">
      <c r="B164" s="731" t="str">
        <f>E164&amp;"."&amp;D127</f>
        <v>15 year average Ethanol Charge.Imported Starch</v>
      </c>
      <c r="E164" s="380" t="str">
        <f>$K$8&amp;" year average Ethanol Charge"</f>
        <v>15 year average Ethanol Charge</v>
      </c>
      <c r="F164" s="571" t="s">
        <v>838</v>
      </c>
      <c r="G164" s="571"/>
      <c r="H164" s="571"/>
      <c r="I164" s="747">
        <f ca="1">AVERAGE($I163:OFFSET($I163,0,$K$8-1))</f>
        <v>0.14486691381386835</v>
      </c>
      <c r="J164" s="747"/>
      <c r="K164" s="747"/>
      <c r="L164" s="747"/>
      <c r="M164" s="747"/>
      <c r="N164" s="747"/>
      <c r="O164" s="747"/>
      <c r="P164" s="747"/>
      <c r="Q164" s="747"/>
      <c r="R164" s="747"/>
      <c r="S164" s="747"/>
      <c r="T164" s="747"/>
      <c r="U164" s="747"/>
      <c r="V164" s="747"/>
      <c r="W164" s="747"/>
    </row>
    <row r="165" spans="2:29" ht="12" customHeight="1" x14ac:dyDescent="0.2"/>
    <row r="166" spans="2:29" ht="12" customHeight="1" x14ac:dyDescent="0.25">
      <c r="D166" s="754" t="str">
        <f>E14</f>
        <v>Sorghum (Starch)</v>
      </c>
      <c r="E166" s="751"/>
      <c r="F166" s="751"/>
      <c r="G166" s="751"/>
      <c r="H166" s="751"/>
      <c r="I166" s="751"/>
      <c r="J166" s="751"/>
      <c r="K166" s="751"/>
      <c r="L166" s="751"/>
      <c r="M166" s="751"/>
      <c r="N166" s="751"/>
      <c r="O166" s="751"/>
      <c r="P166" s="751"/>
      <c r="Q166" s="751"/>
      <c r="R166" s="751"/>
      <c r="S166" s="751"/>
      <c r="T166" s="751"/>
      <c r="U166" s="751"/>
      <c r="V166" s="751"/>
      <c r="W166" s="751"/>
    </row>
    <row r="167" spans="2:29" ht="12" customHeight="1" x14ac:dyDescent="0.2">
      <c r="C167" s="218"/>
      <c r="D167" s="873"/>
      <c r="E167" s="743" t="s">
        <v>828</v>
      </c>
      <c r="F167" s="743" t="s">
        <v>836</v>
      </c>
      <c r="G167" s="738"/>
      <c r="H167" s="743"/>
      <c r="I167" s="739">
        <f>H172</f>
        <v>179850000.00000003</v>
      </c>
      <c r="J167" s="739">
        <f>I172</f>
        <v>175623525.00000003</v>
      </c>
      <c r="K167" s="739">
        <f t="shared" ref="K167:W167" si="70">J172</f>
        <v>171337100.00000003</v>
      </c>
      <c r="L167" s="739">
        <f t="shared" si="70"/>
        <v>166990725.00000003</v>
      </c>
      <c r="M167" s="739">
        <f t="shared" si="70"/>
        <v>162584400.00000003</v>
      </c>
      <c r="N167" s="739">
        <f t="shared" si="70"/>
        <v>158118125.00000003</v>
      </c>
      <c r="O167" s="739">
        <f t="shared" si="70"/>
        <v>153591900.00000003</v>
      </c>
      <c r="P167" s="739">
        <f t="shared" si="70"/>
        <v>149005725.00000003</v>
      </c>
      <c r="Q167" s="739">
        <f t="shared" si="70"/>
        <v>144359600.00000003</v>
      </c>
      <c r="R167" s="739">
        <f t="shared" si="70"/>
        <v>139653525.00000003</v>
      </c>
      <c r="S167" s="739">
        <f t="shared" si="70"/>
        <v>134887500.00000003</v>
      </c>
      <c r="T167" s="739">
        <f t="shared" si="70"/>
        <v>130061525.00000003</v>
      </c>
      <c r="U167" s="739">
        <f t="shared" si="70"/>
        <v>125175600.00000003</v>
      </c>
      <c r="V167" s="739">
        <f t="shared" si="70"/>
        <v>120229725.00000003</v>
      </c>
      <c r="W167" s="739">
        <f t="shared" si="70"/>
        <v>115223900.00000003</v>
      </c>
      <c r="X167" s="766"/>
      <c r="Y167" s="766"/>
      <c r="Z167" s="766"/>
      <c r="AA167" s="766"/>
      <c r="AB167" s="766"/>
      <c r="AC167" s="766"/>
    </row>
    <row r="168" spans="2:29" ht="12" customHeight="1" x14ac:dyDescent="0.2">
      <c r="C168" s="218"/>
      <c r="D168" s="873"/>
      <c r="E168" s="743" t="s">
        <v>829</v>
      </c>
      <c r="F168" s="743" t="s">
        <v>836</v>
      </c>
      <c r="G168" s="738"/>
      <c r="H168" s="743"/>
      <c r="I168" s="739">
        <f>INDEX($F$11:$F$18,MATCH(D166,$E$11:$E$18,0))</f>
        <v>1798500.0000000002</v>
      </c>
      <c r="J168" s="739">
        <f>I168</f>
        <v>1798500.0000000002</v>
      </c>
      <c r="K168" s="739">
        <f t="shared" ref="K168:W169" si="71">J168</f>
        <v>1798500.0000000002</v>
      </c>
      <c r="L168" s="739">
        <f t="shared" si="71"/>
        <v>1798500.0000000002</v>
      </c>
      <c r="M168" s="739">
        <f t="shared" si="71"/>
        <v>1798500.0000000002</v>
      </c>
      <c r="N168" s="739">
        <f t="shared" si="71"/>
        <v>1798500.0000000002</v>
      </c>
      <c r="O168" s="739">
        <f t="shared" si="71"/>
        <v>1798500.0000000002</v>
      </c>
      <c r="P168" s="739">
        <f t="shared" si="71"/>
        <v>1798500.0000000002</v>
      </c>
      <c r="Q168" s="739">
        <f t="shared" si="71"/>
        <v>1798500.0000000002</v>
      </c>
      <c r="R168" s="739">
        <f t="shared" si="71"/>
        <v>1798500.0000000002</v>
      </c>
      <c r="S168" s="739">
        <f t="shared" si="71"/>
        <v>1798500.0000000002</v>
      </c>
      <c r="T168" s="739">
        <f t="shared" si="71"/>
        <v>1798500.0000000002</v>
      </c>
      <c r="U168" s="739">
        <f t="shared" si="71"/>
        <v>1798500.0000000002</v>
      </c>
      <c r="V168" s="739">
        <f t="shared" si="71"/>
        <v>1798500.0000000002</v>
      </c>
      <c r="W168" s="739">
        <f t="shared" si="71"/>
        <v>1798500.0000000002</v>
      </c>
      <c r="X168" s="766"/>
      <c r="Y168" s="766"/>
      <c r="Z168" s="766"/>
      <c r="AA168" s="766"/>
      <c r="AB168" s="766"/>
      <c r="AC168" s="766"/>
    </row>
    <row r="169" spans="2:29" ht="12" customHeight="1" x14ac:dyDescent="0.2">
      <c r="C169" s="218"/>
      <c r="D169" s="873"/>
      <c r="E169" s="743" t="s">
        <v>830</v>
      </c>
      <c r="F169" s="743" t="s">
        <v>836</v>
      </c>
      <c r="G169" s="738"/>
      <c r="H169" s="743"/>
      <c r="I169" s="743">
        <v>0</v>
      </c>
      <c r="J169" s="743">
        <f>I169</f>
        <v>0</v>
      </c>
      <c r="K169" s="743">
        <f t="shared" si="71"/>
        <v>0</v>
      </c>
      <c r="L169" s="743">
        <f t="shared" si="71"/>
        <v>0</v>
      </c>
      <c r="M169" s="743">
        <f t="shared" si="71"/>
        <v>0</v>
      </c>
      <c r="N169" s="743">
        <f t="shared" si="71"/>
        <v>0</v>
      </c>
      <c r="O169" s="743">
        <f t="shared" si="71"/>
        <v>0</v>
      </c>
      <c r="P169" s="743">
        <f t="shared" si="71"/>
        <v>0</v>
      </c>
      <c r="Q169" s="743">
        <f t="shared" si="71"/>
        <v>0</v>
      </c>
      <c r="R169" s="743">
        <f t="shared" si="71"/>
        <v>0</v>
      </c>
      <c r="S169" s="743">
        <f t="shared" si="71"/>
        <v>0</v>
      </c>
      <c r="T169" s="743">
        <f t="shared" si="71"/>
        <v>0</v>
      </c>
      <c r="U169" s="743">
        <f t="shared" si="71"/>
        <v>0</v>
      </c>
      <c r="V169" s="743">
        <f t="shared" si="71"/>
        <v>0</v>
      </c>
      <c r="W169" s="743">
        <f t="shared" si="71"/>
        <v>0</v>
      </c>
      <c r="X169" s="766"/>
      <c r="Y169" s="766"/>
      <c r="Z169" s="766"/>
      <c r="AA169" s="766"/>
      <c r="AB169" s="766"/>
      <c r="AC169" s="766"/>
    </row>
    <row r="170" spans="2:29" ht="12" customHeight="1" x14ac:dyDescent="0.2">
      <c r="B170" s="731" t="str">
        <f>"Total Depreciation "&amp;D166&amp;" ("&amp;"Straight-Line"&amp;") over 30 years"</f>
        <v>Total Depreciation Sorghum (Starch) (Straight-Line) over 30 years</v>
      </c>
      <c r="C170" s="218"/>
      <c r="D170" s="873"/>
      <c r="E170" s="743" t="s">
        <v>831</v>
      </c>
      <c r="F170" s="743" t="s">
        <v>836</v>
      </c>
      <c r="G170" s="738"/>
      <c r="H170" s="743"/>
      <c r="I170" s="890">
        <f>$H172/$K$4+I168*$K$9/$K$5</f>
        <v>6024975.0000000009</v>
      </c>
      <c r="J170" s="739">
        <f>$H172/$K$4+SUM($I168:I168)/$K$5+J168*$K$9/$K$5</f>
        <v>6084925.0000000009</v>
      </c>
      <c r="K170" s="739">
        <f>$H172/$K$4+SUM($I168:J168)/$K$5+K168*$K$9/$K$5</f>
        <v>6144875.0000000009</v>
      </c>
      <c r="L170" s="739">
        <f>$H172/$K$4+SUM($I168:K168)/$K$5+L168*$K$9/$K$5</f>
        <v>6204825.0000000009</v>
      </c>
      <c r="M170" s="739">
        <f>$H172/$K$4+SUM($I168:L168)/$K$5+M168*$K$9/$K$5</f>
        <v>6264775.0000000009</v>
      </c>
      <c r="N170" s="739">
        <f>$H172/$K$4+SUM($I168:M168)/$K$5+N168*$K$9/$K$5</f>
        <v>6324725.0000000009</v>
      </c>
      <c r="O170" s="739">
        <f>$H172/$K$4+SUM($I168:N168)/$K$5+O168*$K$9/$K$5</f>
        <v>6384675.0000000009</v>
      </c>
      <c r="P170" s="739">
        <f>$H172/$K$4+SUM($I168:O168)/$K$5+P168*$K$9/$K$5</f>
        <v>6444625.0000000009</v>
      </c>
      <c r="Q170" s="739">
        <f>$H172/$K$4+SUM($I168:P168)/$K$5+Q168*$K$9/$K$5</f>
        <v>6504575.0000000009</v>
      </c>
      <c r="R170" s="739">
        <f>$H172/$K$4+SUM($I168:Q168)/$K$5+R168*$K$9/$K$5</f>
        <v>6564525.0000000009</v>
      </c>
      <c r="S170" s="739">
        <f>$H172/$K$4+SUM($I168:R168)/$K$5+S168*$K$9/$K$5</f>
        <v>6624475.0000000009</v>
      </c>
      <c r="T170" s="739">
        <f>$H172/$K$4+SUM($I168:S168)/$K$5+T168*$K$9/$K$5</f>
        <v>6684425.0000000009</v>
      </c>
      <c r="U170" s="739">
        <f>$H172/$K$4+SUM($I168:T168)/$K$5+U168*$K$9/$K$5</f>
        <v>6744375.0000000009</v>
      </c>
      <c r="V170" s="739">
        <f>$H172/$K$4+SUM($I168:U168)/$K$5+V168*$K$9/$K$5</f>
        <v>6804325.0000000009</v>
      </c>
      <c r="W170" s="739">
        <f>$H172/$K$4+SUM($I168:V168)/$K$5+W168*$K$9/$K$5</f>
        <v>6864275.0000000009</v>
      </c>
      <c r="X170" s="766"/>
      <c r="Y170" s="766"/>
      <c r="Z170" s="766"/>
      <c r="AA170" s="766"/>
      <c r="AB170" s="766"/>
      <c r="AC170" s="766"/>
    </row>
    <row r="171" spans="2:29" ht="12" customHeight="1" x14ac:dyDescent="0.2">
      <c r="C171" s="218"/>
      <c r="D171" s="873"/>
      <c r="E171" s="743" t="s">
        <v>832</v>
      </c>
      <c r="F171" s="743" t="s">
        <v>836</v>
      </c>
      <c r="G171" s="738"/>
      <c r="H171" s="743"/>
      <c r="I171" s="743">
        <v>0</v>
      </c>
      <c r="J171" s="743">
        <v>0</v>
      </c>
      <c r="K171" s="743">
        <v>0</v>
      </c>
      <c r="L171" s="743">
        <v>0</v>
      </c>
      <c r="M171" s="743">
        <v>0</v>
      </c>
      <c r="N171" s="743">
        <v>0</v>
      </c>
      <c r="O171" s="743">
        <v>0</v>
      </c>
      <c r="P171" s="743">
        <v>0</v>
      </c>
      <c r="Q171" s="743">
        <v>0</v>
      </c>
      <c r="R171" s="743">
        <v>0</v>
      </c>
      <c r="S171" s="743">
        <v>0</v>
      </c>
      <c r="T171" s="743">
        <v>0</v>
      </c>
      <c r="U171" s="743">
        <v>0</v>
      </c>
      <c r="V171" s="743">
        <v>0</v>
      </c>
      <c r="W171" s="743">
        <v>0</v>
      </c>
      <c r="X171" s="766"/>
      <c r="Y171" s="766"/>
      <c r="Z171" s="766"/>
      <c r="AA171" s="766"/>
      <c r="AB171" s="766"/>
      <c r="AC171" s="766"/>
    </row>
    <row r="172" spans="2:29" ht="12" customHeight="1" x14ac:dyDescent="0.2">
      <c r="B172" s="731" t="str">
        <f>"Total Depreciation "&amp;D166&amp;" ("&amp;"Straight-Line"&amp;") over 30 years"</f>
        <v>Total Depreciation Sorghum (Starch) (Straight-Line) over 30 years</v>
      </c>
      <c r="C172" s="218"/>
      <c r="D172" s="873"/>
      <c r="E172" s="743" t="s">
        <v>833</v>
      </c>
      <c r="F172" s="743" t="s">
        <v>836</v>
      </c>
      <c r="G172" s="738"/>
      <c r="H172" s="739">
        <f>INDEX($F$33:$F$40,MATCH(B172,$B$33:$B$40,0))</f>
        <v>179850000.00000003</v>
      </c>
      <c r="I172" s="739">
        <f>I167+I168-I170</f>
        <v>175623525.00000003</v>
      </c>
      <c r="J172" s="739">
        <f>J167+J168-J170</f>
        <v>171337100.00000003</v>
      </c>
      <c r="K172" s="739">
        <f t="shared" ref="K172:W172" si="72">K167+K168-K170</f>
        <v>166990725.00000003</v>
      </c>
      <c r="L172" s="739">
        <f t="shared" si="72"/>
        <v>162584400.00000003</v>
      </c>
      <c r="M172" s="739">
        <f t="shared" si="72"/>
        <v>158118125.00000003</v>
      </c>
      <c r="N172" s="739">
        <f t="shared" si="72"/>
        <v>153591900.00000003</v>
      </c>
      <c r="O172" s="739">
        <f t="shared" si="72"/>
        <v>149005725.00000003</v>
      </c>
      <c r="P172" s="739">
        <f t="shared" si="72"/>
        <v>144359600.00000003</v>
      </c>
      <c r="Q172" s="739">
        <f t="shared" si="72"/>
        <v>139653525.00000003</v>
      </c>
      <c r="R172" s="739">
        <f t="shared" si="72"/>
        <v>134887500.00000003</v>
      </c>
      <c r="S172" s="739">
        <f t="shared" si="72"/>
        <v>130061525.00000003</v>
      </c>
      <c r="T172" s="739">
        <f t="shared" si="72"/>
        <v>125175600.00000003</v>
      </c>
      <c r="U172" s="739">
        <f t="shared" si="72"/>
        <v>120229725.00000003</v>
      </c>
      <c r="V172" s="739">
        <f t="shared" si="72"/>
        <v>115223900.00000003</v>
      </c>
      <c r="W172" s="739">
        <f t="shared" si="72"/>
        <v>110158125.00000003</v>
      </c>
      <c r="X172" s="766"/>
      <c r="Y172" s="766"/>
      <c r="Z172" s="766"/>
      <c r="AA172" s="766"/>
      <c r="AB172" s="766"/>
      <c r="AC172" s="766"/>
    </row>
    <row r="173" spans="2:29" ht="12" customHeight="1" x14ac:dyDescent="0.2">
      <c r="C173" s="218"/>
      <c r="D173" s="766"/>
      <c r="E173" s="744"/>
      <c r="F173" s="744"/>
      <c r="G173" s="571"/>
      <c r="H173" s="744"/>
      <c r="I173" s="744"/>
      <c r="J173" s="744"/>
      <c r="K173" s="744"/>
      <c r="L173" s="744"/>
      <c r="M173" s="744"/>
      <c r="N173" s="744"/>
      <c r="O173" s="744"/>
      <c r="P173" s="744"/>
      <c r="Q173" s="744"/>
      <c r="R173" s="744"/>
      <c r="S173" s="744"/>
      <c r="T173" s="744"/>
      <c r="U173" s="744"/>
      <c r="V173" s="744"/>
      <c r="W173" s="744"/>
      <c r="X173" s="766"/>
      <c r="Y173" s="766"/>
      <c r="Z173" s="766"/>
      <c r="AA173" s="766"/>
      <c r="AB173" s="766"/>
      <c r="AC173" s="766"/>
    </row>
    <row r="174" spans="2:29" ht="12" customHeight="1" x14ac:dyDescent="0.2">
      <c r="C174" s="218"/>
      <c r="D174" s="873"/>
      <c r="E174" s="881" t="s">
        <v>834</v>
      </c>
      <c r="F174" s="743"/>
      <c r="G174" s="738"/>
      <c r="H174" s="743"/>
      <c r="I174" s="739"/>
      <c r="J174" s="739"/>
      <c r="K174" s="739"/>
      <c r="L174" s="739"/>
      <c r="M174" s="739"/>
      <c r="N174" s="739"/>
      <c r="O174" s="739"/>
      <c r="P174" s="739"/>
      <c r="Q174" s="739"/>
      <c r="R174" s="739"/>
      <c r="S174" s="739"/>
      <c r="T174" s="739"/>
      <c r="U174" s="739"/>
      <c r="V174" s="739"/>
      <c r="W174" s="739"/>
      <c r="X174" s="766"/>
      <c r="Y174" s="766"/>
      <c r="Z174" s="766"/>
      <c r="AA174" s="766"/>
      <c r="AB174" s="766"/>
      <c r="AC174" s="766"/>
    </row>
    <row r="175" spans="2:29" ht="12" customHeight="1" x14ac:dyDescent="0.2">
      <c r="C175" s="218"/>
      <c r="D175" s="873"/>
      <c r="E175" s="743" t="s">
        <v>835</v>
      </c>
      <c r="F175" s="743" t="s">
        <v>836</v>
      </c>
      <c r="G175" s="738"/>
      <c r="H175" s="743"/>
      <c r="I175" s="739">
        <f t="shared" ref="I175:W175" si="73">I167+I168*$K$9</f>
        <v>180749250.00000003</v>
      </c>
      <c r="J175" s="739">
        <f t="shared" si="73"/>
        <v>176522775.00000003</v>
      </c>
      <c r="K175" s="739">
        <f t="shared" si="73"/>
        <v>172236350.00000003</v>
      </c>
      <c r="L175" s="739">
        <f t="shared" si="73"/>
        <v>167889975.00000003</v>
      </c>
      <c r="M175" s="739">
        <f t="shared" si="73"/>
        <v>163483650.00000003</v>
      </c>
      <c r="N175" s="739">
        <f t="shared" si="73"/>
        <v>159017375.00000003</v>
      </c>
      <c r="O175" s="739">
        <f t="shared" si="73"/>
        <v>154491150.00000003</v>
      </c>
      <c r="P175" s="739">
        <f t="shared" si="73"/>
        <v>149904975.00000003</v>
      </c>
      <c r="Q175" s="739">
        <f t="shared" si="73"/>
        <v>145258850.00000003</v>
      </c>
      <c r="R175" s="739">
        <f t="shared" si="73"/>
        <v>140552775.00000003</v>
      </c>
      <c r="S175" s="739">
        <f t="shared" si="73"/>
        <v>135786750.00000003</v>
      </c>
      <c r="T175" s="739">
        <f t="shared" si="73"/>
        <v>130960775.00000003</v>
      </c>
      <c r="U175" s="739">
        <f t="shared" si="73"/>
        <v>126074850.00000003</v>
      </c>
      <c r="V175" s="739">
        <f t="shared" si="73"/>
        <v>121128975.00000003</v>
      </c>
      <c r="W175" s="739">
        <f t="shared" si="73"/>
        <v>116123150.00000003</v>
      </c>
      <c r="X175" s="766" t="s">
        <v>948</v>
      </c>
      <c r="Y175" s="766"/>
      <c r="Z175" s="766"/>
      <c r="AA175" s="766"/>
      <c r="AB175" s="766"/>
      <c r="AC175" s="766"/>
    </row>
    <row r="176" spans="2:29" ht="12" customHeight="1" x14ac:dyDescent="0.2">
      <c r="C176" s="218"/>
      <c r="D176" s="873"/>
      <c r="E176" s="743" t="str">
        <f>E$59</f>
        <v>Return on asset base (post-tax, year end value)</v>
      </c>
      <c r="F176" s="743" t="s">
        <v>836</v>
      </c>
      <c r="G176" s="738"/>
      <c r="H176" s="743"/>
      <c r="I176" s="739">
        <f t="shared" ref="I176:W176" si="74">I175*$K$3</f>
        <v>12471698.250000004</v>
      </c>
      <c r="J176" s="739">
        <f t="shared" si="74"/>
        <v>12180071.475000003</v>
      </c>
      <c r="K176" s="739">
        <f t="shared" si="74"/>
        <v>11884308.150000002</v>
      </c>
      <c r="L176" s="739">
        <f t="shared" si="74"/>
        <v>11584408.275000002</v>
      </c>
      <c r="M176" s="739">
        <f t="shared" si="74"/>
        <v>11280371.850000003</v>
      </c>
      <c r="N176" s="739">
        <f t="shared" si="74"/>
        <v>10972198.875000004</v>
      </c>
      <c r="O176" s="739">
        <f t="shared" si="74"/>
        <v>10659889.350000003</v>
      </c>
      <c r="P176" s="739">
        <f t="shared" si="74"/>
        <v>10343443.275000002</v>
      </c>
      <c r="Q176" s="739">
        <f t="shared" si="74"/>
        <v>10022860.650000002</v>
      </c>
      <c r="R176" s="739">
        <f t="shared" si="74"/>
        <v>9698141.4750000034</v>
      </c>
      <c r="S176" s="739">
        <f t="shared" si="74"/>
        <v>9369285.7500000037</v>
      </c>
      <c r="T176" s="739">
        <f t="shared" si="74"/>
        <v>9036293.4750000034</v>
      </c>
      <c r="U176" s="739">
        <f t="shared" si="74"/>
        <v>8699164.6500000022</v>
      </c>
      <c r="V176" s="739">
        <f t="shared" si="74"/>
        <v>8357899.2750000032</v>
      </c>
      <c r="W176" s="739">
        <f t="shared" si="74"/>
        <v>8012497.3500000024</v>
      </c>
      <c r="X176" s="766"/>
      <c r="Y176" s="766"/>
      <c r="Z176" s="766"/>
      <c r="AA176" s="766"/>
      <c r="AB176" s="766"/>
      <c r="AC176" s="766"/>
    </row>
    <row r="177" spans="3:29" x14ac:dyDescent="0.2">
      <c r="C177" s="218"/>
      <c r="D177" s="766"/>
      <c r="E177" s="744"/>
      <c r="F177" s="744"/>
      <c r="G177" s="571"/>
      <c r="H177" s="744"/>
      <c r="I177" s="744"/>
      <c r="J177" s="744"/>
      <c r="K177" s="744"/>
      <c r="L177" s="744"/>
      <c r="M177" s="744"/>
      <c r="N177" s="744"/>
      <c r="O177" s="744"/>
      <c r="P177" s="744"/>
      <c r="Q177" s="744"/>
      <c r="R177" s="744"/>
      <c r="S177" s="744"/>
      <c r="T177" s="744"/>
      <c r="U177" s="744"/>
      <c r="V177" s="744"/>
      <c r="W177" s="744"/>
      <c r="X177" s="766"/>
      <c r="Y177" s="766"/>
      <c r="Z177" s="766"/>
      <c r="AA177" s="766"/>
      <c r="AB177" s="766"/>
      <c r="AC177" s="766"/>
    </row>
    <row r="178" spans="3:29" x14ac:dyDescent="0.2">
      <c r="C178" s="218"/>
      <c r="D178" s="766"/>
      <c r="E178" s="744" t="str">
        <f>E139</f>
        <v>Return on asset base + depn, mid-year value</v>
      </c>
      <c r="F178" s="744"/>
      <c r="G178" s="571"/>
      <c r="H178" s="744"/>
      <c r="I178" s="891">
        <f>(I176+I170)/(1+$K$3)^0.5</f>
        <v>17889770.616741076</v>
      </c>
      <c r="J178" s="891">
        <f t="shared" ref="J178:W178" si="75">(J176+J170)/(1+$K$3)^0.5</f>
        <v>17665695.492206112</v>
      </c>
      <c r="K178" s="891">
        <f t="shared" si="75"/>
        <v>17437619.543866534</v>
      </c>
      <c r="L178" s="891">
        <f t="shared" si="75"/>
        <v>17205542.77172235</v>
      </c>
      <c r="M178" s="891">
        <f t="shared" si="75"/>
        <v>16969465.175773557</v>
      </c>
      <c r="N178" s="891">
        <f t="shared" si="75"/>
        <v>16729386.756020153</v>
      </c>
      <c r="O178" s="891">
        <f t="shared" si="75"/>
        <v>16485307.512462141</v>
      </c>
      <c r="P178" s="891">
        <f t="shared" si="75"/>
        <v>16237227.445099516</v>
      </c>
      <c r="Q178" s="891">
        <f t="shared" si="75"/>
        <v>15985146.553932283</v>
      </c>
      <c r="R178" s="891">
        <f t="shared" si="75"/>
        <v>15729064.838960446</v>
      </c>
      <c r="S178" s="891">
        <f t="shared" si="75"/>
        <v>15468982.300183995</v>
      </c>
      <c r="T178" s="891">
        <f t="shared" si="75"/>
        <v>15204898.937602935</v>
      </c>
      <c r="U178" s="891">
        <f t="shared" si="75"/>
        <v>14936814.751217265</v>
      </c>
      <c r="V178" s="891">
        <f t="shared" si="75"/>
        <v>14664729.741026988</v>
      </c>
      <c r="W178" s="891">
        <f t="shared" si="75"/>
        <v>14388643.907032099</v>
      </c>
      <c r="X178" s="766"/>
      <c r="Y178" s="766"/>
      <c r="Z178" s="766"/>
      <c r="AA178" s="766"/>
      <c r="AB178" s="766"/>
      <c r="AC178" s="766"/>
    </row>
    <row r="179" spans="3:29" x14ac:dyDescent="0.2">
      <c r="C179" s="218"/>
      <c r="D179" s="766"/>
      <c r="E179" s="744"/>
      <c r="F179" s="744"/>
      <c r="G179" s="571"/>
      <c r="H179" s="744"/>
      <c r="I179" s="744"/>
      <c r="J179" s="744"/>
      <c r="K179" s="744"/>
      <c r="L179" s="744"/>
      <c r="M179" s="744"/>
      <c r="N179" s="744"/>
      <c r="O179" s="744"/>
      <c r="P179" s="744"/>
      <c r="Q179" s="744"/>
      <c r="R179" s="744"/>
      <c r="S179" s="744"/>
      <c r="T179" s="744"/>
      <c r="U179" s="744"/>
      <c r="V179" s="744"/>
      <c r="W179" s="744"/>
      <c r="X179" s="766"/>
      <c r="Y179" s="766"/>
      <c r="Z179" s="766"/>
      <c r="AA179" s="766"/>
      <c r="AB179" s="766"/>
      <c r="AC179" s="766"/>
    </row>
    <row r="180" spans="3:29" x14ac:dyDescent="0.2">
      <c r="C180" s="218"/>
      <c r="D180" s="766"/>
      <c r="E180" s="254" t="str">
        <f>E$63</f>
        <v>Tax depreciation</v>
      </c>
      <c r="F180" s="515"/>
      <c r="G180" s="656"/>
      <c r="H180" s="515"/>
      <c r="I180" s="894"/>
      <c r="J180" s="894"/>
      <c r="K180" s="894"/>
      <c r="L180" s="894"/>
      <c r="M180" s="894"/>
      <c r="N180" s="894"/>
      <c r="O180" s="894"/>
      <c r="P180" s="894"/>
      <c r="Q180" s="894"/>
      <c r="R180" s="894"/>
      <c r="S180" s="894"/>
      <c r="T180" s="894"/>
      <c r="U180" s="894"/>
      <c r="V180" s="894"/>
      <c r="W180" s="894"/>
      <c r="X180" s="766"/>
      <c r="Y180" s="766"/>
      <c r="Z180" s="766"/>
      <c r="AA180" s="766"/>
      <c r="AB180" s="766"/>
      <c r="AC180" s="766"/>
    </row>
    <row r="181" spans="3:29" x14ac:dyDescent="0.2">
      <c r="C181" s="218"/>
      <c r="D181" s="766"/>
      <c r="E181" s="515" t="str">
        <f>E$64</f>
        <v>Opening TVA</v>
      </c>
      <c r="F181" s="515" t="str">
        <f>F$64</f>
        <v>$'000 nominal</v>
      </c>
      <c r="G181" s="656"/>
      <c r="H181" s="744"/>
      <c r="I181" s="890">
        <f>H186</f>
        <v>184166400.00000003</v>
      </c>
      <c r="J181" s="891">
        <f t="shared" ref="J181:W181" si="76">I186</f>
        <v>179881952.87040001</v>
      </c>
      <c r="K181" s="891">
        <f t="shared" si="76"/>
        <v>175579149.99848962</v>
      </c>
      <c r="L181" s="891">
        <f t="shared" si="76"/>
        <v>171257550.84645337</v>
      </c>
      <c r="M181" s="891">
        <f t="shared" si="76"/>
        <v>166916704.30356824</v>
      </c>
      <c r="N181" s="891">
        <f t="shared" si="76"/>
        <v>162556148.43245387</v>
      </c>
      <c r="O181" s="891">
        <f t="shared" si="76"/>
        <v>158175410.20923275</v>
      </c>
      <c r="P181" s="891">
        <f t="shared" si="76"/>
        <v>153774005.25745434</v>
      </c>
      <c r="Q181" s="891">
        <f t="shared" si="76"/>
        <v>149351437.57563323</v>
      </c>
      <c r="R181" s="891">
        <f t="shared" si="76"/>
        <v>144907199.25824845</v>
      </c>
      <c r="S181" s="891">
        <f t="shared" si="76"/>
        <v>140440770.21004641</v>
      </c>
      <c r="T181" s="891">
        <f t="shared" si="76"/>
        <v>135951617.85348752</v>
      </c>
      <c r="U181" s="891">
        <f t="shared" si="76"/>
        <v>131439196.82917121</v>
      </c>
      <c r="V181" s="891">
        <f t="shared" si="76"/>
        <v>126902948.68907131</v>
      </c>
      <c r="W181" s="891">
        <f t="shared" si="76"/>
        <v>122342301.58240902</v>
      </c>
      <c r="X181" s="766"/>
      <c r="Y181" s="766"/>
      <c r="Z181" s="766"/>
      <c r="AA181" s="766"/>
      <c r="AB181" s="766"/>
      <c r="AC181" s="766"/>
    </row>
    <row r="182" spans="3:29" x14ac:dyDescent="0.2">
      <c r="C182" s="218"/>
      <c r="D182" s="766"/>
      <c r="E182" s="515" t="str">
        <f>E$65</f>
        <v xml:space="preserve">  capex net of capital contributions </v>
      </c>
      <c r="F182" s="515" t="str">
        <f>F$65</f>
        <v>$'000 nominal</v>
      </c>
      <c r="G182" s="656"/>
      <c r="H182" s="744"/>
      <c r="I182" s="891">
        <f t="shared" ref="I182:W182" si="77">I168*I$48</f>
        <v>1885863.9360000002</v>
      </c>
      <c r="J182" s="891">
        <f t="shared" si="77"/>
        <v>1931124.6704640004</v>
      </c>
      <c r="K182" s="891">
        <f t="shared" si="77"/>
        <v>1977471.6625551367</v>
      </c>
      <c r="L182" s="891">
        <f t="shared" si="77"/>
        <v>2024930.9824564601</v>
      </c>
      <c r="M182" s="891">
        <f t="shared" si="77"/>
        <v>2073529.3260354151</v>
      </c>
      <c r="N182" s="891">
        <f t="shared" si="77"/>
        <v>2123294.0298602651</v>
      </c>
      <c r="O182" s="891">
        <f t="shared" si="77"/>
        <v>2174253.0865769116</v>
      </c>
      <c r="P182" s="891">
        <f t="shared" si="77"/>
        <v>2226435.1606547576</v>
      </c>
      <c r="Q182" s="891">
        <f t="shared" si="77"/>
        <v>2279869.6045104717</v>
      </c>
      <c r="R182" s="891">
        <f t="shared" si="77"/>
        <v>2334586.4750187229</v>
      </c>
      <c r="S182" s="891">
        <f t="shared" si="77"/>
        <v>2390616.5504191727</v>
      </c>
      <c r="T182" s="891">
        <f t="shared" si="77"/>
        <v>2447991.3476292328</v>
      </c>
      <c r="U182" s="891">
        <f t="shared" si="77"/>
        <v>2506743.1399723343</v>
      </c>
      <c r="V182" s="891">
        <f t="shared" si="77"/>
        <v>2566904.9753316706</v>
      </c>
      <c r="W182" s="891">
        <f t="shared" si="77"/>
        <v>2628510.6947396309</v>
      </c>
      <c r="X182" s="766"/>
      <c r="Y182" s="766"/>
      <c r="Z182" s="766"/>
      <c r="AA182" s="766"/>
      <c r="AB182" s="766"/>
      <c r="AC182" s="766"/>
    </row>
    <row r="183" spans="3:29" x14ac:dyDescent="0.2">
      <c r="C183" s="218"/>
      <c r="D183" s="766"/>
      <c r="E183" s="515" t="str">
        <f>E$66</f>
        <v xml:space="preserve">  disposals </v>
      </c>
      <c r="F183" s="515" t="str">
        <f>F$66</f>
        <v>$'000 nominal</v>
      </c>
      <c r="G183" s="656"/>
      <c r="H183" s="744"/>
      <c r="I183" s="744"/>
      <c r="J183" s="744"/>
      <c r="K183" s="744"/>
      <c r="L183" s="744"/>
      <c r="M183" s="744"/>
      <c r="N183" s="744"/>
      <c r="O183" s="744"/>
      <c r="P183" s="744"/>
      <c r="Q183" s="744"/>
      <c r="R183" s="744"/>
      <c r="S183" s="744"/>
      <c r="T183" s="744"/>
      <c r="U183" s="744"/>
      <c r="V183" s="744"/>
      <c r="W183" s="744"/>
      <c r="X183" s="766"/>
      <c r="Y183" s="766"/>
      <c r="Z183" s="766"/>
      <c r="AA183" s="766"/>
      <c r="AB183" s="766"/>
      <c r="AC183" s="766"/>
    </row>
    <row r="184" spans="3:29" x14ac:dyDescent="0.2">
      <c r="C184" s="218"/>
      <c r="D184" s="766"/>
      <c r="E184" s="515" t="str">
        <f>E$67</f>
        <v xml:space="preserve">  depreciation</v>
      </c>
      <c r="F184" s="515" t="str">
        <f>F$67</f>
        <v>$'000 nominal</v>
      </c>
      <c r="G184" s="656"/>
      <c r="H184" s="744"/>
      <c r="I184" s="890">
        <f>$H186/$K$4+I182*$K$9/$K$5</f>
        <v>6170311.0656000013</v>
      </c>
      <c r="J184" s="739">
        <f>$H186/$K$4+SUM($I182:I182)/$K$5+J182*$K$9/$K$5</f>
        <v>6233927.5423744004</v>
      </c>
      <c r="K184" s="739">
        <f>$H186/$K$4+SUM($I182:J182)/$K$5+K182*$K$9/$K$5</f>
        <v>6299070.8145913864</v>
      </c>
      <c r="L184" s="739">
        <f>$H186/$K$4+SUM($I182:K182)/$K$5+L182*$K$9/$K$5</f>
        <v>6365777.5253415806</v>
      </c>
      <c r="M184" s="739">
        <f>$H186/$K$4+SUM($I182:L182)/$K$5+M182*$K$9/$K$5</f>
        <v>6434085.1971497778</v>
      </c>
      <c r="N184" s="739">
        <f>$H186/$K$4+SUM($I182:M182)/$K$5+N182*$K$9/$K$5</f>
        <v>6504032.253081372</v>
      </c>
      <c r="O184" s="739">
        <f>$H186/$K$4+SUM($I182:N182)/$K$5+O182*$K$9/$K$5</f>
        <v>6575658.0383553253</v>
      </c>
      <c r="P184" s="739">
        <f>$H186/$K$4+SUM($I182:O182)/$K$5+P182*$K$9/$K$5</f>
        <v>6649002.8424758529</v>
      </c>
      <c r="Q184" s="739">
        <f>$H186/$K$4+SUM($I182:P182)/$K$5+Q182*$K$9/$K$5</f>
        <v>6724107.921895274</v>
      </c>
      <c r="R184" s="739">
        <f>$H186/$K$4+SUM($I182:Q182)/$K$5+R182*$K$9/$K$5</f>
        <v>6801015.5232207598</v>
      </c>
      <c r="S184" s="739">
        <f>$H186/$K$4+SUM($I182:R182)/$K$5+S182*$K$9/$K$5</f>
        <v>6879768.9069780586</v>
      </c>
      <c r="T184" s="739">
        <f>$H186/$K$4+SUM($I182:S182)/$K$5+T182*$K$9/$K$5</f>
        <v>6960412.371945532</v>
      </c>
      <c r="U184" s="739">
        <f>$H186/$K$4+SUM($I182:T182)/$K$5+U182*$K$9/$K$5</f>
        <v>7042991.2800722253</v>
      </c>
      <c r="V184" s="739">
        <f>$H186/$K$4+SUM($I182:U182)/$K$5+V182*$K$9/$K$5</f>
        <v>7127552.081993958</v>
      </c>
      <c r="W184" s="739">
        <f>$H186/$K$4+SUM($I182:V182)/$K$5+W182*$K$9/$K$5</f>
        <v>7214142.343161813</v>
      </c>
      <c r="X184" s="766"/>
      <c r="Y184" s="766"/>
      <c r="Z184" s="766"/>
      <c r="AA184" s="766"/>
      <c r="AB184" s="766"/>
      <c r="AC184" s="766"/>
    </row>
    <row r="185" spans="3:29" x14ac:dyDescent="0.2">
      <c r="C185" s="218"/>
      <c r="D185" s="766"/>
      <c r="E185" s="515" t="str">
        <f>E$68</f>
        <v xml:space="preserve">  no indexation for TVA</v>
      </c>
      <c r="F185" s="515" t="str">
        <f>F$68</f>
        <v>$'000 nominal</v>
      </c>
      <c r="G185" s="656"/>
      <c r="H185" s="744"/>
      <c r="I185" s="891"/>
      <c r="J185" s="744"/>
      <c r="K185" s="744"/>
      <c r="L185" s="744"/>
      <c r="M185" s="744"/>
      <c r="N185" s="744"/>
      <c r="O185" s="744"/>
      <c r="P185" s="744"/>
      <c r="Q185" s="744"/>
      <c r="R185" s="744"/>
      <c r="S185" s="744"/>
      <c r="T185" s="744"/>
      <c r="U185" s="744"/>
      <c r="V185" s="744"/>
      <c r="W185" s="744"/>
      <c r="X185" s="766"/>
      <c r="Y185" s="766"/>
      <c r="Z185" s="766"/>
      <c r="AA185" s="766"/>
      <c r="AB185" s="766"/>
      <c r="AC185" s="766"/>
    </row>
    <row r="186" spans="3:29" x14ac:dyDescent="0.2">
      <c r="C186" s="218"/>
      <c r="D186" s="766"/>
      <c r="E186" s="515" t="str">
        <f>E$69</f>
        <v>Closing TVA</v>
      </c>
      <c r="F186" s="515" t="str">
        <f>F$69</f>
        <v>$'000 nominal</v>
      </c>
      <c r="G186" s="656"/>
      <c r="H186" s="890">
        <f>H172*H$48</f>
        <v>184166400.00000003</v>
      </c>
      <c r="I186" s="891">
        <f>I181+I182-I184</f>
        <v>179881952.87040001</v>
      </c>
      <c r="J186" s="891">
        <f t="shared" ref="J186:W186" si="78">J181+J182-J184</f>
        <v>175579149.99848962</v>
      </c>
      <c r="K186" s="891">
        <f t="shared" si="78"/>
        <v>171257550.84645337</v>
      </c>
      <c r="L186" s="891">
        <f t="shared" si="78"/>
        <v>166916704.30356824</v>
      </c>
      <c r="M186" s="891">
        <f t="shared" si="78"/>
        <v>162556148.43245387</v>
      </c>
      <c r="N186" s="891">
        <f t="shared" si="78"/>
        <v>158175410.20923275</v>
      </c>
      <c r="O186" s="891">
        <f t="shared" si="78"/>
        <v>153774005.25745434</v>
      </c>
      <c r="P186" s="891">
        <f t="shared" si="78"/>
        <v>149351437.57563323</v>
      </c>
      <c r="Q186" s="891">
        <f t="shared" si="78"/>
        <v>144907199.25824845</v>
      </c>
      <c r="R186" s="891">
        <f t="shared" si="78"/>
        <v>140440770.21004641</v>
      </c>
      <c r="S186" s="891">
        <f t="shared" si="78"/>
        <v>135951617.85348752</v>
      </c>
      <c r="T186" s="891">
        <f t="shared" si="78"/>
        <v>131439196.82917121</v>
      </c>
      <c r="U186" s="891">
        <f t="shared" si="78"/>
        <v>126902948.68907131</v>
      </c>
      <c r="V186" s="891">
        <f t="shared" si="78"/>
        <v>122342301.58240902</v>
      </c>
      <c r="W186" s="891">
        <f t="shared" si="78"/>
        <v>117756669.93398684</v>
      </c>
      <c r="X186" s="766"/>
      <c r="Y186" s="766"/>
      <c r="Z186" s="766"/>
      <c r="AA186" s="766"/>
      <c r="AB186" s="766"/>
      <c r="AC186" s="766"/>
    </row>
    <row r="187" spans="3:29" x14ac:dyDescent="0.2">
      <c r="C187" s="218"/>
      <c r="D187" s="766"/>
      <c r="E187" s="515"/>
      <c r="F187" s="515"/>
      <c r="G187" s="656"/>
      <c r="H187" s="744"/>
      <c r="I187" s="744"/>
      <c r="J187" s="744"/>
      <c r="K187" s="744"/>
      <c r="L187" s="744"/>
      <c r="M187" s="744"/>
      <c r="N187" s="744"/>
      <c r="O187" s="744"/>
      <c r="P187" s="744"/>
      <c r="Q187" s="744"/>
      <c r="R187" s="744"/>
      <c r="S187" s="744"/>
      <c r="T187" s="744"/>
      <c r="U187" s="744"/>
      <c r="V187" s="744"/>
      <c r="W187" s="744"/>
      <c r="X187" s="766"/>
      <c r="Y187" s="766"/>
      <c r="Z187" s="766"/>
      <c r="AA187" s="766"/>
      <c r="AB187" s="766"/>
      <c r="AC187" s="766"/>
    </row>
    <row r="188" spans="3:29" x14ac:dyDescent="0.2">
      <c r="C188" s="218"/>
      <c r="D188" s="766"/>
      <c r="E188" s="254" t="str">
        <f>E$71</f>
        <v xml:space="preserve">Tax allowance </v>
      </c>
      <c r="F188" s="515"/>
      <c r="G188" s="656"/>
      <c r="H188" s="744"/>
      <c r="I188" s="744"/>
      <c r="J188" s="744"/>
      <c r="K188" s="744"/>
      <c r="L188" s="744"/>
      <c r="M188" s="744"/>
      <c r="N188" s="744"/>
      <c r="O188" s="744"/>
      <c r="P188" s="744"/>
      <c r="Q188" s="744"/>
      <c r="R188" s="744"/>
      <c r="S188" s="744"/>
      <c r="T188" s="744"/>
      <c r="U188" s="744"/>
      <c r="V188" s="744"/>
      <c r="W188" s="744"/>
      <c r="X188" s="766"/>
      <c r="Y188" s="766"/>
      <c r="Z188" s="766"/>
      <c r="AA188" s="766"/>
      <c r="AB188" s="766"/>
      <c r="AC188" s="766"/>
    </row>
    <row r="189" spans="3:29" x14ac:dyDescent="0.2">
      <c r="C189" s="218"/>
      <c r="D189" s="766"/>
      <c r="E189" s="515" t="str">
        <f>E$72</f>
        <v>Required revenue excluding tax liability and opex</v>
      </c>
      <c r="F189" s="515" t="str">
        <f>F$72</f>
        <v>$'000 nominal</v>
      </c>
      <c r="G189" s="656"/>
      <c r="H189" s="892" t="s">
        <v>957</v>
      </c>
      <c r="I189" s="891">
        <f>I178</f>
        <v>17889770.616741076</v>
      </c>
      <c r="J189" s="891">
        <f t="shared" ref="J189:W189" si="79">J178</f>
        <v>17665695.492206112</v>
      </c>
      <c r="K189" s="891">
        <f t="shared" si="79"/>
        <v>17437619.543866534</v>
      </c>
      <c r="L189" s="891">
        <f t="shared" si="79"/>
        <v>17205542.77172235</v>
      </c>
      <c r="M189" s="891">
        <f t="shared" si="79"/>
        <v>16969465.175773557</v>
      </c>
      <c r="N189" s="891">
        <f t="shared" si="79"/>
        <v>16729386.756020153</v>
      </c>
      <c r="O189" s="891">
        <f t="shared" si="79"/>
        <v>16485307.512462141</v>
      </c>
      <c r="P189" s="891">
        <f t="shared" si="79"/>
        <v>16237227.445099516</v>
      </c>
      <c r="Q189" s="891">
        <f t="shared" si="79"/>
        <v>15985146.553932283</v>
      </c>
      <c r="R189" s="891">
        <f t="shared" si="79"/>
        <v>15729064.838960446</v>
      </c>
      <c r="S189" s="891">
        <f t="shared" si="79"/>
        <v>15468982.300183995</v>
      </c>
      <c r="T189" s="891">
        <f t="shared" si="79"/>
        <v>15204898.937602935</v>
      </c>
      <c r="U189" s="891">
        <f t="shared" si="79"/>
        <v>14936814.751217265</v>
      </c>
      <c r="V189" s="891">
        <f t="shared" si="79"/>
        <v>14664729.741026988</v>
      </c>
      <c r="W189" s="891">
        <f t="shared" si="79"/>
        <v>14388643.907032099</v>
      </c>
      <c r="X189" s="766"/>
      <c r="Y189" s="766"/>
      <c r="Z189" s="766"/>
      <c r="AA189" s="766"/>
      <c r="AB189" s="766"/>
      <c r="AC189" s="766"/>
    </row>
    <row r="190" spans="3:29" x14ac:dyDescent="0.2">
      <c r="C190" s="218"/>
      <c r="D190" s="766"/>
      <c r="E190" s="515" t="str">
        <f>E$73</f>
        <v xml:space="preserve">  less</v>
      </c>
      <c r="F190" s="515"/>
      <c r="G190" s="656"/>
      <c r="H190" s="892" t="s">
        <v>959</v>
      </c>
      <c r="I190" s="891"/>
      <c r="J190" s="891"/>
      <c r="K190" s="891"/>
      <c r="L190" s="891"/>
      <c r="M190" s="891"/>
      <c r="N190" s="891"/>
      <c r="O190" s="891"/>
      <c r="P190" s="891"/>
      <c r="Q190" s="891"/>
      <c r="R190" s="891"/>
      <c r="S190" s="891"/>
      <c r="T190" s="891"/>
      <c r="U190" s="891"/>
      <c r="V190" s="891"/>
      <c r="W190" s="891"/>
      <c r="X190" s="766"/>
      <c r="Y190" s="766"/>
      <c r="Z190" s="766"/>
      <c r="AA190" s="766"/>
      <c r="AB190" s="766"/>
      <c r="AC190" s="766"/>
    </row>
    <row r="191" spans="3:29" x14ac:dyDescent="0.2">
      <c r="C191" s="218"/>
      <c r="D191" s="766"/>
      <c r="E191" s="515" t="str">
        <f>E$74</f>
        <v>NA - Operating expenditure</v>
      </c>
      <c r="F191" s="515" t="str">
        <f>F$74</f>
        <v>$'000 nominal</v>
      </c>
      <c r="G191" s="656"/>
      <c r="H191" s="744"/>
      <c r="I191" s="893">
        <v>0</v>
      </c>
      <c r="J191" s="893">
        <v>0</v>
      </c>
      <c r="K191" s="893">
        <v>0</v>
      </c>
      <c r="L191" s="893">
        <v>0</v>
      </c>
      <c r="M191" s="893">
        <v>0</v>
      </c>
      <c r="N191" s="893">
        <v>0</v>
      </c>
      <c r="O191" s="893">
        <v>0</v>
      </c>
      <c r="P191" s="893">
        <v>0</v>
      </c>
      <c r="Q191" s="893">
        <v>0</v>
      </c>
      <c r="R191" s="893">
        <v>0</v>
      </c>
      <c r="S191" s="893">
        <v>0</v>
      </c>
      <c r="T191" s="893">
        <v>0</v>
      </c>
      <c r="U191" s="893">
        <v>0</v>
      </c>
      <c r="V191" s="893">
        <v>0</v>
      </c>
      <c r="W191" s="893">
        <v>0</v>
      </c>
      <c r="X191" s="766"/>
      <c r="Y191" s="766"/>
      <c r="Z191" s="766"/>
      <c r="AA191" s="766"/>
      <c r="AB191" s="766"/>
      <c r="AC191" s="766"/>
    </row>
    <row r="192" spans="3:29" x14ac:dyDescent="0.2">
      <c r="C192" s="218"/>
      <c r="D192" s="766"/>
      <c r="E192" s="515" t="str">
        <f>E$75</f>
        <v>Tax depreciation</v>
      </c>
      <c r="F192" s="515" t="str">
        <f>F$75</f>
        <v>$'000 nominal</v>
      </c>
      <c r="G192" s="656"/>
      <c r="H192" s="744"/>
      <c r="I192" s="891">
        <f>I184</f>
        <v>6170311.0656000013</v>
      </c>
      <c r="J192" s="891">
        <f t="shared" ref="J192:W192" si="80">J184</f>
        <v>6233927.5423744004</v>
      </c>
      <c r="K192" s="891">
        <f t="shared" si="80"/>
        <v>6299070.8145913864</v>
      </c>
      <c r="L192" s="891">
        <f t="shared" si="80"/>
        <v>6365777.5253415806</v>
      </c>
      <c r="M192" s="891">
        <f t="shared" si="80"/>
        <v>6434085.1971497778</v>
      </c>
      <c r="N192" s="891">
        <f t="shared" si="80"/>
        <v>6504032.253081372</v>
      </c>
      <c r="O192" s="891">
        <f t="shared" si="80"/>
        <v>6575658.0383553253</v>
      </c>
      <c r="P192" s="891">
        <f t="shared" si="80"/>
        <v>6649002.8424758529</v>
      </c>
      <c r="Q192" s="891">
        <f t="shared" si="80"/>
        <v>6724107.921895274</v>
      </c>
      <c r="R192" s="891">
        <f t="shared" si="80"/>
        <v>6801015.5232207598</v>
      </c>
      <c r="S192" s="891">
        <f t="shared" si="80"/>
        <v>6879768.9069780586</v>
      </c>
      <c r="T192" s="891">
        <f t="shared" si="80"/>
        <v>6960412.371945532</v>
      </c>
      <c r="U192" s="891">
        <f t="shared" si="80"/>
        <v>7042991.2800722253</v>
      </c>
      <c r="V192" s="891">
        <f t="shared" si="80"/>
        <v>7127552.081993958</v>
      </c>
      <c r="W192" s="891">
        <f t="shared" si="80"/>
        <v>7214142.343161813</v>
      </c>
      <c r="X192" s="766"/>
      <c r="Y192" s="766"/>
      <c r="Z192" s="766"/>
      <c r="AA192" s="766"/>
      <c r="AB192" s="766"/>
      <c r="AC192" s="766"/>
    </row>
    <row r="193" spans="2:29" x14ac:dyDescent="0.2">
      <c r="C193" s="218"/>
      <c r="D193" s="766"/>
      <c r="E193" s="515" t="str">
        <f>E$76</f>
        <v>Interest deductible</v>
      </c>
      <c r="F193" s="515" t="str">
        <f>F$76</f>
        <v>$'000 nominal</v>
      </c>
      <c r="G193" s="656"/>
      <c r="H193" s="744"/>
      <c r="I193" s="891">
        <f>AVERAGE(I167,I172)*I$48*$K$10*$K$11</f>
        <v>1956890.2864896003</v>
      </c>
      <c r="J193" s="891">
        <f t="shared" ref="J193:W193" si="81">AVERAGE(J167,J172)*J$48*$K$10*$K$11</f>
        <v>1955867.2053043207</v>
      </c>
      <c r="K193" s="891">
        <f t="shared" si="81"/>
        <v>1952975.7323352352</v>
      </c>
      <c r="L193" s="891">
        <f t="shared" si="81"/>
        <v>1948110.1633095185</v>
      </c>
      <c r="M193" s="891">
        <f t="shared" si="81"/>
        <v>1941160.3976846293</v>
      </c>
      <c r="N193" s="891">
        <f t="shared" si="81"/>
        <v>1932011.7789452288</v>
      </c>
      <c r="O193" s="891">
        <f t="shared" si="81"/>
        <v>1920544.9295369685</v>
      </c>
      <c r="P193" s="891">
        <f t="shared" si="81"/>
        <v>1906635.5802662103</v>
      </c>
      <c r="Q193" s="891">
        <f t="shared" si="81"/>
        <v>1890154.3939894631</v>
      </c>
      <c r="R193" s="891">
        <f t="shared" si="81"/>
        <v>1870966.7834109426</v>
      </c>
      <c r="S193" s="891">
        <f t="shared" si="81"/>
        <v>1848932.7228010686</v>
      </c>
      <c r="T193" s="891">
        <f t="shared" si="81"/>
        <v>1823906.5534430055</v>
      </c>
      <c r="U193" s="891">
        <f t="shared" si="81"/>
        <v>1795736.7826084318</v>
      </c>
      <c r="V193" s="891">
        <f t="shared" si="81"/>
        <v>1764265.8758576491</v>
      </c>
      <c r="W193" s="891">
        <f t="shared" si="81"/>
        <v>1729330.0424528876</v>
      </c>
      <c r="X193" s="766" t="s">
        <v>962</v>
      </c>
      <c r="Y193" s="766"/>
      <c r="Z193" s="766"/>
      <c r="AA193" s="766"/>
      <c r="AB193" s="766"/>
      <c r="AC193" s="766"/>
    </row>
    <row r="194" spans="2:29" x14ac:dyDescent="0.2">
      <c r="C194" s="218"/>
      <c r="D194" s="766"/>
      <c r="E194" s="515" t="str">
        <f>E$77</f>
        <v>Taxable income for the year</v>
      </c>
      <c r="F194" s="515" t="str">
        <f>F$77</f>
        <v>$'000 nominal</v>
      </c>
      <c r="G194" s="656"/>
      <c r="H194" s="744"/>
      <c r="I194" s="891">
        <f>I189-I192-I193</f>
        <v>9762569.2646514755</v>
      </c>
      <c r="J194" s="891">
        <f t="shared" ref="J194:W194" si="82">J189-J192-J193</f>
        <v>9475900.7445273902</v>
      </c>
      <c r="K194" s="891">
        <f t="shared" si="82"/>
        <v>9185572.9969399124</v>
      </c>
      <c r="L194" s="891">
        <f t="shared" si="82"/>
        <v>8891655.0830712505</v>
      </c>
      <c r="M194" s="891">
        <f t="shared" si="82"/>
        <v>8594219.5809391495</v>
      </c>
      <c r="N194" s="891">
        <f t="shared" si="82"/>
        <v>8293342.7239935519</v>
      </c>
      <c r="O194" s="891">
        <f t="shared" si="82"/>
        <v>7989104.5445698462</v>
      </c>
      <c r="P194" s="891">
        <f t="shared" si="82"/>
        <v>7681589.0223574536</v>
      </c>
      <c r="Q194" s="891">
        <f t="shared" si="82"/>
        <v>7370884.2380475467</v>
      </c>
      <c r="R194" s="891">
        <f t="shared" si="82"/>
        <v>7057082.5323287454</v>
      </c>
      <c r="S194" s="891">
        <f t="shared" si="82"/>
        <v>6740280.6704048682</v>
      </c>
      <c r="T194" s="891">
        <f t="shared" si="82"/>
        <v>6420580.012214398</v>
      </c>
      <c r="U194" s="891">
        <f t="shared" si="82"/>
        <v>6098086.6885366077</v>
      </c>
      <c r="V194" s="891">
        <f t="shared" si="82"/>
        <v>5772911.7831753809</v>
      </c>
      <c r="W194" s="891">
        <f t="shared" si="82"/>
        <v>5445171.521417398</v>
      </c>
      <c r="X194" s="766"/>
      <c r="Y194" s="766"/>
      <c r="Z194" s="766"/>
      <c r="AA194" s="766"/>
      <c r="AB194" s="766"/>
      <c r="AC194" s="766"/>
    </row>
    <row r="195" spans="2:29" x14ac:dyDescent="0.2">
      <c r="C195" s="218"/>
      <c r="D195" s="766"/>
      <c r="E195" s="515"/>
      <c r="F195" s="515"/>
      <c r="G195" s="656"/>
      <c r="H195" s="744"/>
      <c r="I195" s="744"/>
      <c r="J195" s="744"/>
      <c r="K195" s="744"/>
      <c r="L195" s="744"/>
      <c r="M195" s="744"/>
      <c r="N195" s="744"/>
      <c r="O195" s="744"/>
      <c r="P195" s="744"/>
      <c r="Q195" s="744"/>
      <c r="R195" s="744"/>
      <c r="S195" s="744"/>
      <c r="T195" s="744"/>
      <c r="U195" s="744"/>
      <c r="V195" s="744"/>
      <c r="W195" s="744"/>
      <c r="X195" s="766"/>
      <c r="Y195" s="766"/>
      <c r="Z195" s="766"/>
      <c r="AA195" s="766"/>
      <c r="AB195" s="766"/>
      <c r="AC195" s="766"/>
    </row>
    <row r="196" spans="2:29" x14ac:dyDescent="0.2">
      <c r="C196" s="218"/>
      <c r="D196" s="766"/>
      <c r="E196" s="515" t="str">
        <f>E$79</f>
        <v>Tax before adjustment for franking credits</v>
      </c>
      <c r="F196" s="515" t="str">
        <f>F$79</f>
        <v>$'000 nominal</v>
      </c>
      <c r="G196" s="656"/>
      <c r="H196" s="744"/>
      <c r="I196" s="891">
        <f>I194*$K$13/(1-$K$13*(1-$K$12))</f>
        <v>3779059.0701876674</v>
      </c>
      <c r="J196" s="891">
        <f t="shared" ref="J196:W196" si="83">J194*$K$13/(1-$K$13*(1-$K$12))</f>
        <v>3668090.6107847961</v>
      </c>
      <c r="K196" s="891">
        <f t="shared" si="83"/>
        <v>3555705.676234805</v>
      </c>
      <c r="L196" s="891">
        <f t="shared" si="83"/>
        <v>3441930.9998985482</v>
      </c>
      <c r="M196" s="891">
        <f t="shared" si="83"/>
        <v>3326794.6764925742</v>
      </c>
      <c r="N196" s="891">
        <f t="shared" si="83"/>
        <v>3210326.2157394392</v>
      </c>
      <c r="O196" s="891">
        <f t="shared" si="83"/>
        <v>3092556.5978980046</v>
      </c>
      <c r="P196" s="891">
        <f t="shared" si="83"/>
        <v>2973518.3312351429</v>
      </c>
      <c r="Q196" s="891">
        <f t="shared" si="83"/>
        <v>2853245.5115022762</v>
      </c>
      <c r="R196" s="891">
        <f t="shared" si="83"/>
        <v>2731773.8834820944</v>
      </c>
      <c r="S196" s="891">
        <f t="shared" si="83"/>
        <v>2609140.9046728523</v>
      </c>
      <c r="T196" s="891">
        <f t="shared" si="83"/>
        <v>2485385.8111797669</v>
      </c>
      <c r="U196" s="891">
        <f t="shared" si="83"/>
        <v>2360549.6858851383</v>
      </c>
      <c r="V196" s="891">
        <f t="shared" si="83"/>
        <v>2234675.5289711151</v>
      </c>
      <c r="W196" s="891">
        <f t="shared" si="83"/>
        <v>2107808.3308712505</v>
      </c>
      <c r="X196" s="766"/>
      <c r="Y196" s="766"/>
      <c r="Z196" s="766"/>
      <c r="AA196" s="766"/>
      <c r="AB196" s="766"/>
      <c r="AC196" s="766"/>
    </row>
    <row r="197" spans="2:29" x14ac:dyDescent="0.2">
      <c r="C197" s="218"/>
      <c r="D197" s="766"/>
      <c r="E197" s="515" t="str">
        <f>E$80</f>
        <v>Adjustment for franking credits</v>
      </c>
      <c r="F197" s="515" t="str">
        <f>F$80</f>
        <v>$'000 nominal</v>
      </c>
      <c r="G197" s="656"/>
      <c r="H197" s="744"/>
      <c r="I197" s="891">
        <f>-I196*$K$12</f>
        <v>-944764.76754691685</v>
      </c>
      <c r="J197" s="891">
        <f t="shared" ref="J197:W197" si="84">-J196*$K$12</f>
        <v>-917022.65269619902</v>
      </c>
      <c r="K197" s="891">
        <f t="shared" si="84"/>
        <v>-888926.41905870126</v>
      </c>
      <c r="L197" s="891">
        <f t="shared" si="84"/>
        <v>-860482.74997463706</v>
      </c>
      <c r="M197" s="891">
        <f t="shared" si="84"/>
        <v>-831698.66912314354</v>
      </c>
      <c r="N197" s="891">
        <f t="shared" si="84"/>
        <v>-802581.55393485981</v>
      </c>
      <c r="O197" s="891">
        <f t="shared" si="84"/>
        <v>-773139.14947450114</v>
      </c>
      <c r="P197" s="891">
        <f t="shared" si="84"/>
        <v>-743379.58280878572</v>
      </c>
      <c r="Q197" s="891">
        <f t="shared" si="84"/>
        <v>-713311.37787556904</v>
      </c>
      <c r="R197" s="891">
        <f t="shared" si="84"/>
        <v>-682943.4708705236</v>
      </c>
      <c r="S197" s="891">
        <f t="shared" si="84"/>
        <v>-652285.22616821306</v>
      </c>
      <c r="T197" s="891">
        <f t="shared" si="84"/>
        <v>-621346.45279494172</v>
      </c>
      <c r="U197" s="891">
        <f t="shared" si="84"/>
        <v>-590137.42147128459</v>
      </c>
      <c r="V197" s="891">
        <f t="shared" si="84"/>
        <v>-558668.88224277878</v>
      </c>
      <c r="W197" s="891">
        <f t="shared" si="84"/>
        <v>-526952.08271781262</v>
      </c>
      <c r="X197" s="766"/>
      <c r="Y197" s="766"/>
      <c r="Z197" s="766"/>
      <c r="AA197" s="766"/>
      <c r="AB197" s="766"/>
      <c r="AC197" s="766"/>
    </row>
    <row r="198" spans="2:29" x14ac:dyDescent="0.2">
      <c r="C198" s="218"/>
      <c r="D198" s="766"/>
      <c r="E198" s="515" t="str">
        <f>E$81</f>
        <v>Tax net of adjustment for franking credits</v>
      </c>
      <c r="F198" s="515" t="str">
        <f>F$81</f>
        <v>$'000 nominal</v>
      </c>
      <c r="G198" s="656"/>
      <c r="H198" s="744"/>
      <c r="I198" s="891">
        <f>SUM(I196:I197)</f>
        <v>2834294.3026407505</v>
      </c>
      <c r="J198" s="891">
        <f t="shared" ref="J198:W198" si="85">SUM(J196:J197)</f>
        <v>2751067.9580885973</v>
      </c>
      <c r="K198" s="891">
        <f t="shared" si="85"/>
        <v>2666779.257176104</v>
      </c>
      <c r="L198" s="891">
        <f t="shared" si="85"/>
        <v>2581448.2499239109</v>
      </c>
      <c r="M198" s="891">
        <f t="shared" si="85"/>
        <v>2495096.0073694307</v>
      </c>
      <c r="N198" s="891">
        <f t="shared" si="85"/>
        <v>2407744.6618045792</v>
      </c>
      <c r="O198" s="891">
        <f t="shared" si="85"/>
        <v>2319417.4484235034</v>
      </c>
      <c r="P198" s="891">
        <f t="shared" si="85"/>
        <v>2230138.7484263573</v>
      </c>
      <c r="Q198" s="891">
        <f t="shared" si="85"/>
        <v>2139934.1336267069</v>
      </c>
      <c r="R198" s="891">
        <f t="shared" si="85"/>
        <v>2048830.4126115707</v>
      </c>
      <c r="S198" s="891">
        <f t="shared" si="85"/>
        <v>1956855.6785046393</v>
      </c>
      <c r="T198" s="891">
        <f t="shared" si="85"/>
        <v>1864039.3583848253</v>
      </c>
      <c r="U198" s="891">
        <f t="shared" si="85"/>
        <v>1770412.2644138536</v>
      </c>
      <c r="V198" s="891">
        <f t="shared" si="85"/>
        <v>1676006.6467283363</v>
      </c>
      <c r="W198" s="891">
        <f t="shared" si="85"/>
        <v>1580856.2481534379</v>
      </c>
      <c r="X198" s="766"/>
      <c r="Y198" s="766"/>
      <c r="Z198" s="766"/>
      <c r="AA198" s="766"/>
      <c r="AB198" s="766"/>
      <c r="AC198" s="766"/>
    </row>
    <row r="199" spans="2:29" x14ac:dyDescent="0.2">
      <c r="C199" s="218"/>
      <c r="D199" s="766"/>
      <c r="E199" s="515" t="str">
        <f>E$82</f>
        <v>Tax net of adjustment for franking credits</v>
      </c>
      <c r="F199" s="515" t="str">
        <f>F$82</f>
        <v>$'000 real</v>
      </c>
      <c r="G199" s="656"/>
      <c r="H199" s="744"/>
      <c r="I199" s="891">
        <f>I198/I$48</f>
        <v>2702993.6815650468</v>
      </c>
      <c r="J199" s="891">
        <f t="shared" ref="J199:W199" si="86">J198/J$48</f>
        <v>2562131.6936692195</v>
      </c>
      <c r="K199" s="891">
        <f t="shared" si="86"/>
        <v>2425421.6051996113</v>
      </c>
      <c r="L199" s="891">
        <f t="shared" si="86"/>
        <v>2292786.6271550725</v>
      </c>
      <c r="M199" s="891">
        <f t="shared" si="86"/>
        <v>2164150.8093998753</v>
      </c>
      <c r="N199" s="891">
        <f t="shared" si="86"/>
        <v>2039439.0571241407</v>
      </c>
      <c r="O199" s="891">
        <f t="shared" si="86"/>
        <v>1918577.1457531336</v>
      </c>
      <c r="P199" s="891">
        <f t="shared" si="86"/>
        <v>1801491.7343765195</v>
      </c>
      <c r="Q199" s="891">
        <f t="shared" si="86"/>
        <v>1688110.3777661049</v>
      </c>
      <c r="R199" s="891">
        <f t="shared" si="86"/>
        <v>1578361.5370479512</v>
      </c>
      <c r="S199" s="891">
        <f t="shared" si="86"/>
        <v>1472174.5890922989</v>
      </c>
      <c r="T199" s="891">
        <f t="shared" si="86"/>
        <v>1369479.8346823517</v>
      </c>
      <c r="U199" s="891">
        <f t="shared" si="86"/>
        <v>1270208.5055206164</v>
      </c>
      <c r="V199" s="891">
        <f t="shared" si="86"/>
        <v>1174292.7701293014</v>
      </c>
      <c r="W199" s="891">
        <f t="shared" si="86"/>
        <v>1081665.7386990739</v>
      </c>
      <c r="X199" s="766"/>
      <c r="Y199" s="766"/>
      <c r="Z199" s="766"/>
      <c r="AA199" s="766"/>
      <c r="AB199" s="766"/>
      <c r="AC199" s="766"/>
    </row>
    <row r="200" spans="2:29" x14ac:dyDescent="0.2">
      <c r="C200" s="218"/>
      <c r="D200" s="766"/>
      <c r="E200" s="744"/>
      <c r="F200" s="744"/>
      <c r="G200" s="571"/>
      <c r="H200" s="744"/>
      <c r="I200" s="744"/>
      <c r="J200" s="744"/>
      <c r="K200" s="744"/>
      <c r="L200" s="744"/>
      <c r="M200" s="744"/>
      <c r="N200" s="744"/>
      <c r="O200" s="744"/>
      <c r="P200" s="744"/>
      <c r="Q200" s="744"/>
      <c r="R200" s="744"/>
      <c r="S200" s="744"/>
      <c r="T200" s="744"/>
      <c r="U200" s="744"/>
      <c r="V200" s="744"/>
      <c r="W200" s="744"/>
      <c r="X200" s="766"/>
      <c r="Y200" s="766"/>
      <c r="Z200" s="766"/>
      <c r="AA200" s="766"/>
      <c r="AB200" s="766"/>
      <c r="AC200" s="766"/>
    </row>
    <row r="201" spans="2:29" x14ac:dyDescent="0.2">
      <c r="E201" s="380" t="s">
        <v>852</v>
      </c>
      <c r="F201" s="571" t="s">
        <v>853</v>
      </c>
      <c r="G201" s="571"/>
      <c r="H201" s="571"/>
      <c r="I201" s="895">
        <f>I178+I199</f>
        <v>20592764.298306122</v>
      </c>
      <c r="J201" s="895">
        <f t="shared" ref="J201:W201" si="87">J178+J199</f>
        <v>20227827.18587533</v>
      </c>
      <c r="K201" s="895">
        <f t="shared" si="87"/>
        <v>19863041.149066146</v>
      </c>
      <c r="L201" s="895">
        <f t="shared" si="87"/>
        <v>19498329.398877423</v>
      </c>
      <c r="M201" s="895">
        <f t="shared" si="87"/>
        <v>19133615.985173434</v>
      </c>
      <c r="N201" s="895">
        <f t="shared" si="87"/>
        <v>18768825.813144293</v>
      </c>
      <c r="O201" s="895">
        <f t="shared" si="87"/>
        <v>18403884.658215273</v>
      </c>
      <c r="P201" s="895">
        <f t="shared" si="87"/>
        <v>18038719.179476034</v>
      </c>
      <c r="Q201" s="895">
        <f t="shared" si="87"/>
        <v>17673256.931698389</v>
      </c>
      <c r="R201" s="895">
        <f t="shared" si="87"/>
        <v>17307426.376008399</v>
      </c>
      <c r="S201" s="895">
        <f t="shared" si="87"/>
        <v>16941156.889276292</v>
      </c>
      <c r="T201" s="895">
        <f t="shared" si="87"/>
        <v>16574378.772285286</v>
      </c>
      <c r="U201" s="895">
        <f t="shared" si="87"/>
        <v>16207023.25673788</v>
      </c>
      <c r="V201" s="895">
        <f t="shared" si="87"/>
        <v>15839022.511156289</v>
      </c>
      <c r="W201" s="895">
        <f t="shared" si="87"/>
        <v>15470309.645731173</v>
      </c>
    </row>
    <row r="202" spans="2:29" x14ac:dyDescent="0.2">
      <c r="B202" s="731" t="str">
        <f>E202&amp;"."&amp;D166</f>
        <v>Annual Ethanol Charge.Sorghum (Starch)</v>
      </c>
      <c r="E202" s="380" t="s">
        <v>845</v>
      </c>
      <c r="F202" s="571" t="s">
        <v>838</v>
      </c>
      <c r="G202" s="571"/>
      <c r="H202" s="571"/>
      <c r="I202" s="736">
        <f t="shared" ref="I202:W202" si="88">I201/($K$7*10^6)</f>
        <v>0.20592764298306124</v>
      </c>
      <c r="J202" s="736">
        <f t="shared" si="88"/>
        <v>0.2022782718587533</v>
      </c>
      <c r="K202" s="736">
        <f t="shared" si="88"/>
        <v>0.19863041149066146</v>
      </c>
      <c r="L202" s="736">
        <f t="shared" si="88"/>
        <v>0.19498329398877423</v>
      </c>
      <c r="M202" s="736">
        <f t="shared" si="88"/>
        <v>0.19133615985173433</v>
      </c>
      <c r="N202" s="736">
        <f t="shared" si="88"/>
        <v>0.18768825813144294</v>
      </c>
      <c r="O202" s="736">
        <f t="shared" si="88"/>
        <v>0.18403884658215272</v>
      </c>
      <c r="P202" s="736">
        <f t="shared" si="88"/>
        <v>0.18038719179476034</v>
      </c>
      <c r="Q202" s="736">
        <f t="shared" si="88"/>
        <v>0.17673256931698389</v>
      </c>
      <c r="R202" s="736">
        <f t="shared" si="88"/>
        <v>0.173074263760084</v>
      </c>
      <c r="S202" s="736">
        <f t="shared" si="88"/>
        <v>0.16941156889276293</v>
      </c>
      <c r="T202" s="736">
        <f t="shared" si="88"/>
        <v>0.16574378772285286</v>
      </c>
      <c r="U202" s="736">
        <f t="shared" si="88"/>
        <v>0.16207023256737879</v>
      </c>
      <c r="V202" s="736">
        <f t="shared" si="88"/>
        <v>0.15839022511156289</v>
      </c>
      <c r="W202" s="736">
        <f t="shared" si="88"/>
        <v>0.15470309645731173</v>
      </c>
    </row>
    <row r="203" spans="2:29" x14ac:dyDescent="0.2">
      <c r="B203" s="731" t="str">
        <f>E203&amp;"."&amp;D166</f>
        <v>15 year average Ethanol Charge.Sorghum (Starch)</v>
      </c>
      <c r="E203" s="380" t="str">
        <f>$K$8&amp;" year average Ethanol Charge"</f>
        <v>15 year average Ethanol Charge</v>
      </c>
      <c r="F203" s="571" t="s">
        <v>838</v>
      </c>
      <c r="G203" s="571"/>
      <c r="H203" s="571"/>
      <c r="I203" s="747">
        <f ca="1">AVERAGE($I202:OFFSET($I202,0,$K$8-1))</f>
        <v>0.18035972136735184</v>
      </c>
      <c r="J203" s="747"/>
      <c r="K203" s="747"/>
      <c r="L203" s="747"/>
      <c r="M203" s="747"/>
      <c r="N203" s="747"/>
      <c r="O203" s="747"/>
      <c r="P203" s="747"/>
      <c r="Q203" s="747"/>
      <c r="R203" s="747"/>
      <c r="S203" s="747"/>
      <c r="T203" s="747"/>
      <c r="U203" s="747"/>
      <c r="V203" s="747"/>
      <c r="W203" s="747"/>
    </row>
    <row r="205" spans="2:29" ht="15" x14ac:dyDescent="0.25">
      <c r="D205" s="745" t="str">
        <f>E15</f>
        <v>C-Syrup (Sucrosic)</v>
      </c>
      <c r="E205" s="169"/>
      <c r="F205" s="169"/>
      <c r="G205" s="169"/>
      <c r="H205" s="169"/>
      <c r="I205" s="169"/>
      <c r="J205" s="169"/>
      <c r="K205" s="169"/>
      <c r="L205" s="169"/>
      <c r="M205" s="169"/>
      <c r="N205" s="169"/>
      <c r="O205" s="169"/>
      <c r="P205" s="169"/>
      <c r="Q205" s="169"/>
      <c r="R205" s="169"/>
      <c r="S205" s="169"/>
      <c r="T205" s="169"/>
      <c r="U205" s="169"/>
      <c r="V205" s="169"/>
      <c r="W205" s="169"/>
    </row>
    <row r="206" spans="2:29" x14ac:dyDescent="0.2">
      <c r="D206" s="162"/>
      <c r="E206" s="743" t="s">
        <v>828</v>
      </c>
      <c r="F206" s="743" t="s">
        <v>836</v>
      </c>
      <c r="G206" s="738"/>
      <c r="H206" s="743"/>
      <c r="I206" s="739">
        <f>H211</f>
        <v>147860625</v>
      </c>
      <c r="J206" s="739">
        <f>I211</f>
        <v>144385900.3125</v>
      </c>
      <c r="K206" s="739">
        <f t="shared" ref="K206:W206" si="89">J211</f>
        <v>140861888.75</v>
      </c>
      <c r="L206" s="739">
        <f t="shared" si="89"/>
        <v>137288590.3125</v>
      </c>
      <c r="M206" s="739">
        <f t="shared" si="89"/>
        <v>133666005</v>
      </c>
      <c r="N206" s="739">
        <f t="shared" si="89"/>
        <v>129994132.8125</v>
      </c>
      <c r="O206" s="739">
        <f t="shared" si="89"/>
        <v>126272973.75</v>
      </c>
      <c r="P206" s="739">
        <f t="shared" si="89"/>
        <v>122502527.8125</v>
      </c>
      <c r="Q206" s="739">
        <f t="shared" si="89"/>
        <v>118682795</v>
      </c>
      <c r="R206" s="739">
        <f t="shared" si="89"/>
        <v>114813775.3125</v>
      </c>
      <c r="S206" s="739">
        <f t="shared" si="89"/>
        <v>110895468.75</v>
      </c>
      <c r="T206" s="739">
        <f t="shared" si="89"/>
        <v>106927875.3125</v>
      </c>
      <c r="U206" s="739">
        <f t="shared" si="89"/>
        <v>102910995</v>
      </c>
      <c r="V206" s="739">
        <f t="shared" si="89"/>
        <v>98844827.8125</v>
      </c>
      <c r="W206" s="739">
        <f t="shared" si="89"/>
        <v>94729373.75</v>
      </c>
      <c r="X206" s="766"/>
      <c r="Y206" s="766"/>
    </row>
    <row r="207" spans="2:29" x14ac:dyDescent="0.2">
      <c r="D207" s="162"/>
      <c r="E207" s="743" t="s">
        <v>829</v>
      </c>
      <c r="F207" s="743" t="s">
        <v>836</v>
      </c>
      <c r="G207" s="738"/>
      <c r="H207" s="743"/>
      <c r="I207" s="739">
        <f>INDEX($F$11:$F$18,MATCH(D205,$E$11:$E$18,0))</f>
        <v>1478606.2500000002</v>
      </c>
      <c r="J207" s="739">
        <f>I207</f>
        <v>1478606.2500000002</v>
      </c>
      <c r="K207" s="739">
        <f t="shared" ref="K207:W208" si="90">J207</f>
        <v>1478606.2500000002</v>
      </c>
      <c r="L207" s="739">
        <f t="shared" si="90"/>
        <v>1478606.2500000002</v>
      </c>
      <c r="M207" s="739">
        <f t="shared" si="90"/>
        <v>1478606.2500000002</v>
      </c>
      <c r="N207" s="739">
        <f t="shared" si="90"/>
        <v>1478606.2500000002</v>
      </c>
      <c r="O207" s="739">
        <f t="shared" si="90"/>
        <v>1478606.2500000002</v>
      </c>
      <c r="P207" s="739">
        <f t="shared" si="90"/>
        <v>1478606.2500000002</v>
      </c>
      <c r="Q207" s="739">
        <f t="shared" si="90"/>
        <v>1478606.2500000002</v>
      </c>
      <c r="R207" s="739">
        <f t="shared" si="90"/>
        <v>1478606.2500000002</v>
      </c>
      <c r="S207" s="739">
        <f t="shared" si="90"/>
        <v>1478606.2500000002</v>
      </c>
      <c r="T207" s="739">
        <f t="shared" si="90"/>
        <v>1478606.2500000002</v>
      </c>
      <c r="U207" s="739">
        <f t="shared" si="90"/>
        <v>1478606.2500000002</v>
      </c>
      <c r="V207" s="739">
        <f t="shared" si="90"/>
        <v>1478606.2500000002</v>
      </c>
      <c r="W207" s="739">
        <f t="shared" si="90"/>
        <v>1478606.2500000002</v>
      </c>
      <c r="X207" s="766"/>
      <c r="Y207" s="766"/>
    </row>
    <row r="208" spans="2:29" x14ac:dyDescent="0.2">
      <c r="D208" s="162"/>
      <c r="E208" s="743" t="s">
        <v>830</v>
      </c>
      <c r="F208" s="743" t="s">
        <v>836</v>
      </c>
      <c r="G208" s="738"/>
      <c r="H208" s="743"/>
      <c r="I208" s="743">
        <v>0</v>
      </c>
      <c r="J208" s="743">
        <f>I208</f>
        <v>0</v>
      </c>
      <c r="K208" s="743">
        <f t="shared" si="90"/>
        <v>0</v>
      </c>
      <c r="L208" s="743">
        <f t="shared" si="90"/>
        <v>0</v>
      </c>
      <c r="M208" s="743">
        <f t="shared" si="90"/>
        <v>0</v>
      </c>
      <c r="N208" s="743">
        <f t="shared" si="90"/>
        <v>0</v>
      </c>
      <c r="O208" s="743">
        <f t="shared" si="90"/>
        <v>0</v>
      </c>
      <c r="P208" s="743">
        <f t="shared" si="90"/>
        <v>0</v>
      </c>
      <c r="Q208" s="743">
        <f t="shared" si="90"/>
        <v>0</v>
      </c>
      <c r="R208" s="743">
        <f t="shared" si="90"/>
        <v>0</v>
      </c>
      <c r="S208" s="743">
        <f t="shared" si="90"/>
        <v>0</v>
      </c>
      <c r="T208" s="743">
        <f t="shared" si="90"/>
        <v>0</v>
      </c>
      <c r="U208" s="743">
        <f t="shared" si="90"/>
        <v>0</v>
      </c>
      <c r="V208" s="743">
        <f t="shared" si="90"/>
        <v>0</v>
      </c>
      <c r="W208" s="743">
        <f t="shared" si="90"/>
        <v>0</v>
      </c>
      <c r="X208" s="766"/>
      <c r="Y208" s="766"/>
    </row>
    <row r="209" spans="2:25" x14ac:dyDescent="0.2">
      <c r="B209" s="731" t="str">
        <f>"Total Depreciation "&amp;D205&amp;" ("&amp;"Straight-Line"&amp;") over 30 years"</f>
        <v>Total Depreciation C-Syrup (Sucrosic) (Straight-Line) over 30 years</v>
      </c>
      <c r="D209" s="162"/>
      <c r="E209" s="743" t="s">
        <v>831</v>
      </c>
      <c r="F209" s="743" t="s">
        <v>836</v>
      </c>
      <c r="G209" s="738"/>
      <c r="H209" s="743"/>
      <c r="I209" s="890">
        <f>$H211/$K$4+I207*$K$9/$K$5</f>
        <v>4953330.9375</v>
      </c>
      <c r="J209" s="739">
        <f>$H211/$K$4+SUM($I207:I207)/$K$5+J207*$K$9/$K$5</f>
        <v>5002617.8125</v>
      </c>
      <c r="K209" s="739">
        <f>$H211/$K$4+SUM($I207:J207)/$K$5+K207*$K$9/$K$5</f>
        <v>5051904.6875</v>
      </c>
      <c r="L209" s="739">
        <f>$H211/$K$4+SUM($I207:K207)/$K$5+L207*$K$9/$K$5</f>
        <v>5101191.5625</v>
      </c>
      <c r="M209" s="739">
        <f>$H211/$K$4+SUM($I207:L207)/$K$5+M207*$K$9/$K$5</f>
        <v>5150478.4375</v>
      </c>
      <c r="N209" s="739">
        <f>$H211/$K$4+SUM($I207:M207)/$K$5+N207*$K$9/$K$5</f>
        <v>5199765.3125</v>
      </c>
      <c r="O209" s="739">
        <f>$H211/$K$4+SUM($I207:N207)/$K$5+O207*$K$9/$K$5</f>
        <v>5249052.1875</v>
      </c>
      <c r="P209" s="739">
        <f>$H211/$K$4+SUM($I207:O207)/$K$5+P207*$K$9/$K$5</f>
        <v>5298339.0625</v>
      </c>
      <c r="Q209" s="739">
        <f>$H211/$K$4+SUM($I207:P207)/$K$5+Q207*$K$9/$K$5</f>
        <v>5347625.9375</v>
      </c>
      <c r="R209" s="739">
        <f>$H211/$K$4+SUM($I207:Q207)/$K$5+R207*$K$9/$K$5</f>
        <v>5396912.8125</v>
      </c>
      <c r="S209" s="739">
        <f>$H211/$K$4+SUM($I207:R207)/$K$5+S207*$K$9/$K$5</f>
        <v>5446199.6875</v>
      </c>
      <c r="T209" s="739">
        <f>$H211/$K$4+SUM($I207:S207)/$K$5+T207*$K$9/$K$5</f>
        <v>5495486.5625</v>
      </c>
      <c r="U209" s="739">
        <f>$H211/$K$4+SUM($I207:T207)/$K$5+U207*$K$9/$K$5</f>
        <v>5544773.4375</v>
      </c>
      <c r="V209" s="739">
        <f>$H211/$K$4+SUM($I207:U207)/$K$5+V207*$K$9/$K$5</f>
        <v>5594060.3125</v>
      </c>
      <c r="W209" s="739">
        <f>$H211/$K$4+SUM($I207:V207)/$K$5+W207*$K$9/$K$5</f>
        <v>5643347.1875</v>
      </c>
      <c r="X209" s="766"/>
      <c r="Y209" s="766"/>
    </row>
    <row r="210" spans="2:25" x14ac:dyDescent="0.2">
      <c r="D210" s="162"/>
      <c r="E210" s="743" t="s">
        <v>832</v>
      </c>
      <c r="F210" s="743" t="s">
        <v>836</v>
      </c>
      <c r="G210" s="738"/>
      <c r="H210" s="743"/>
      <c r="I210" s="743">
        <v>0</v>
      </c>
      <c r="J210" s="743">
        <v>0</v>
      </c>
      <c r="K210" s="743">
        <v>0</v>
      </c>
      <c r="L210" s="743">
        <v>0</v>
      </c>
      <c r="M210" s="743">
        <v>0</v>
      </c>
      <c r="N210" s="743">
        <v>0</v>
      </c>
      <c r="O210" s="743">
        <v>0</v>
      </c>
      <c r="P210" s="743">
        <v>0</v>
      </c>
      <c r="Q210" s="743">
        <v>0</v>
      </c>
      <c r="R210" s="743">
        <v>0</v>
      </c>
      <c r="S210" s="743">
        <v>0</v>
      </c>
      <c r="T210" s="743">
        <v>0</v>
      </c>
      <c r="U210" s="743">
        <v>0</v>
      </c>
      <c r="V210" s="743">
        <v>0</v>
      </c>
      <c r="W210" s="743">
        <v>0</v>
      </c>
      <c r="X210" s="766"/>
      <c r="Y210" s="766"/>
    </row>
    <row r="211" spans="2:25" x14ac:dyDescent="0.2">
      <c r="B211" s="731" t="str">
        <f>"Total Depreciation "&amp;D205&amp;" ("&amp;"Straight-Line"&amp;") over 30 years"</f>
        <v>Total Depreciation C-Syrup (Sucrosic) (Straight-Line) over 30 years</v>
      </c>
      <c r="D211" s="162"/>
      <c r="E211" s="743" t="s">
        <v>833</v>
      </c>
      <c r="F211" s="743" t="s">
        <v>836</v>
      </c>
      <c r="G211" s="738"/>
      <c r="H211" s="739">
        <f>INDEX($F$33:$F$40,MATCH(B211,$B$33:$B$40,0))</f>
        <v>147860625</v>
      </c>
      <c r="I211" s="739">
        <f>I206+I207-I209</f>
        <v>144385900.3125</v>
      </c>
      <c r="J211" s="739">
        <f>J206+J207-J209</f>
        <v>140861888.75</v>
      </c>
      <c r="K211" s="739">
        <f t="shared" ref="K211:W211" si="91">K206+K207-K209</f>
        <v>137288590.3125</v>
      </c>
      <c r="L211" s="739">
        <f t="shared" si="91"/>
        <v>133666005</v>
      </c>
      <c r="M211" s="739">
        <f t="shared" si="91"/>
        <v>129994132.8125</v>
      </c>
      <c r="N211" s="739">
        <f t="shared" si="91"/>
        <v>126272973.75</v>
      </c>
      <c r="O211" s="739">
        <f t="shared" si="91"/>
        <v>122502527.8125</v>
      </c>
      <c r="P211" s="739">
        <f t="shared" si="91"/>
        <v>118682795</v>
      </c>
      <c r="Q211" s="739">
        <f t="shared" si="91"/>
        <v>114813775.3125</v>
      </c>
      <c r="R211" s="739">
        <f t="shared" si="91"/>
        <v>110895468.75</v>
      </c>
      <c r="S211" s="739">
        <f t="shared" si="91"/>
        <v>106927875.3125</v>
      </c>
      <c r="T211" s="739">
        <f t="shared" si="91"/>
        <v>102910995</v>
      </c>
      <c r="U211" s="739">
        <f t="shared" si="91"/>
        <v>98844827.8125</v>
      </c>
      <c r="V211" s="739">
        <f t="shared" si="91"/>
        <v>94729373.75</v>
      </c>
      <c r="W211" s="739">
        <f t="shared" si="91"/>
        <v>90564632.8125</v>
      </c>
      <c r="X211" s="766"/>
      <c r="Y211" s="766"/>
    </row>
    <row r="212" spans="2:25" x14ac:dyDescent="0.2">
      <c r="E212" s="744"/>
      <c r="F212" s="744"/>
      <c r="G212" s="571"/>
      <c r="H212" s="744"/>
      <c r="I212" s="744"/>
      <c r="J212" s="744"/>
      <c r="K212" s="744"/>
      <c r="L212" s="744"/>
      <c r="M212" s="744"/>
      <c r="N212" s="744"/>
      <c r="O212" s="744"/>
      <c r="P212" s="744"/>
      <c r="Q212" s="744"/>
      <c r="R212" s="744"/>
      <c r="S212" s="744"/>
      <c r="T212" s="744"/>
      <c r="U212" s="744"/>
      <c r="V212" s="744"/>
      <c r="W212" s="744"/>
      <c r="X212" s="766"/>
      <c r="Y212" s="766"/>
    </row>
    <row r="213" spans="2:25" x14ac:dyDescent="0.2">
      <c r="D213" s="162"/>
      <c r="E213" s="881" t="s">
        <v>834</v>
      </c>
      <c r="F213" s="743"/>
      <c r="G213" s="738"/>
      <c r="H213" s="743"/>
      <c r="I213" s="739"/>
      <c r="J213" s="739"/>
      <c r="K213" s="739"/>
      <c r="L213" s="739"/>
      <c r="M213" s="739"/>
      <c r="N213" s="739"/>
      <c r="O213" s="739"/>
      <c r="P213" s="739"/>
      <c r="Q213" s="739"/>
      <c r="R213" s="739"/>
      <c r="S213" s="739"/>
      <c r="T213" s="739"/>
      <c r="U213" s="739"/>
      <c r="V213" s="739"/>
      <c r="W213" s="739"/>
      <c r="X213" s="766"/>
      <c r="Y213" s="766"/>
    </row>
    <row r="214" spans="2:25" x14ac:dyDescent="0.2">
      <c r="D214" s="162"/>
      <c r="E214" s="743" t="s">
        <v>835</v>
      </c>
      <c r="F214" s="743" t="s">
        <v>836</v>
      </c>
      <c r="G214" s="738"/>
      <c r="H214" s="743"/>
      <c r="I214" s="739">
        <f t="shared" ref="I214:W214" si="92">I206+I207*$K$9</f>
        <v>148599928.125</v>
      </c>
      <c r="J214" s="739">
        <f t="shared" si="92"/>
        <v>145125203.4375</v>
      </c>
      <c r="K214" s="739">
        <f t="shared" si="92"/>
        <v>141601191.875</v>
      </c>
      <c r="L214" s="739">
        <f t="shared" si="92"/>
        <v>138027893.4375</v>
      </c>
      <c r="M214" s="739">
        <f t="shared" si="92"/>
        <v>134405308.125</v>
      </c>
      <c r="N214" s="739">
        <f t="shared" si="92"/>
        <v>130733435.9375</v>
      </c>
      <c r="O214" s="739">
        <f t="shared" si="92"/>
        <v>127012276.875</v>
      </c>
      <c r="P214" s="739">
        <f t="shared" si="92"/>
        <v>123241830.9375</v>
      </c>
      <c r="Q214" s="739">
        <f t="shared" si="92"/>
        <v>119422098.125</v>
      </c>
      <c r="R214" s="739">
        <f t="shared" si="92"/>
        <v>115553078.4375</v>
      </c>
      <c r="S214" s="739">
        <f t="shared" si="92"/>
        <v>111634771.875</v>
      </c>
      <c r="T214" s="739">
        <f t="shared" si="92"/>
        <v>107667178.4375</v>
      </c>
      <c r="U214" s="739">
        <f t="shared" si="92"/>
        <v>103650298.125</v>
      </c>
      <c r="V214" s="739">
        <f t="shared" si="92"/>
        <v>99584130.9375</v>
      </c>
      <c r="W214" s="739">
        <f t="shared" si="92"/>
        <v>95468676.875</v>
      </c>
      <c r="X214" s="766" t="s">
        <v>948</v>
      </c>
      <c r="Y214" s="766"/>
    </row>
    <row r="215" spans="2:25" x14ac:dyDescent="0.2">
      <c r="D215" s="162"/>
      <c r="E215" s="743" t="str">
        <f>E$59</f>
        <v>Return on asset base (post-tax, year end value)</v>
      </c>
      <c r="F215" s="743" t="s">
        <v>836</v>
      </c>
      <c r="G215" s="738"/>
      <c r="H215" s="743"/>
      <c r="I215" s="739">
        <f t="shared" ref="I215:W215" si="93">I214*$K$3</f>
        <v>10253395.040625</v>
      </c>
      <c r="J215" s="739">
        <f t="shared" si="93"/>
        <v>10013639.0371875</v>
      </c>
      <c r="K215" s="739">
        <f t="shared" si="93"/>
        <v>9770482.2393750008</v>
      </c>
      <c r="L215" s="739">
        <f t="shared" si="93"/>
        <v>9523924.6471875012</v>
      </c>
      <c r="M215" s="739">
        <f t="shared" si="93"/>
        <v>9273966.260625001</v>
      </c>
      <c r="N215" s="739">
        <f t="shared" si="93"/>
        <v>9020607.0796875004</v>
      </c>
      <c r="O215" s="739">
        <f t="shared" si="93"/>
        <v>8763847.104375001</v>
      </c>
      <c r="P215" s="739">
        <f t="shared" si="93"/>
        <v>8503686.3346875012</v>
      </c>
      <c r="Q215" s="739">
        <f t="shared" si="93"/>
        <v>8240124.7706250008</v>
      </c>
      <c r="R215" s="739">
        <f t="shared" si="93"/>
        <v>7973162.4121875009</v>
      </c>
      <c r="S215" s="739">
        <f t="shared" si="93"/>
        <v>7702799.2593750004</v>
      </c>
      <c r="T215" s="739">
        <f t="shared" si="93"/>
        <v>7429035.3121875003</v>
      </c>
      <c r="U215" s="739">
        <f t="shared" si="93"/>
        <v>7151870.5706250006</v>
      </c>
      <c r="V215" s="739">
        <f t="shared" si="93"/>
        <v>6871305.0346875004</v>
      </c>
      <c r="W215" s="739">
        <f t="shared" si="93"/>
        <v>6587338.7043750007</v>
      </c>
      <c r="X215" s="766"/>
      <c r="Y215" s="766"/>
    </row>
    <row r="216" spans="2:25" x14ac:dyDescent="0.2">
      <c r="E216" s="744"/>
      <c r="F216" s="744"/>
      <c r="G216" s="571"/>
      <c r="H216" s="744"/>
      <c r="I216" s="744"/>
      <c r="J216" s="744"/>
      <c r="K216" s="744"/>
      <c r="L216" s="744"/>
      <c r="M216" s="744"/>
      <c r="N216" s="744"/>
      <c r="O216" s="744"/>
      <c r="P216" s="744"/>
      <c r="Q216" s="744"/>
      <c r="R216" s="744"/>
      <c r="S216" s="744"/>
      <c r="T216" s="744"/>
      <c r="U216" s="744"/>
      <c r="V216" s="744"/>
      <c r="W216" s="744"/>
      <c r="X216" s="766"/>
      <c r="Y216" s="766"/>
    </row>
    <row r="217" spans="2:25" x14ac:dyDescent="0.2">
      <c r="E217" s="744" t="str">
        <f>E178</f>
        <v>Return on asset base + depn, mid-year value</v>
      </c>
      <c r="F217" s="744"/>
      <c r="G217" s="571"/>
      <c r="H217" s="744"/>
      <c r="I217" s="891">
        <f>(I215+I209)/(1+$K$3)^0.5</f>
        <v>14707771.278832197</v>
      </c>
      <c r="J217" s="891">
        <f t="shared" ref="J217:W217" si="94">(J215+J209)/(1+$K$3)^0.5</f>
        <v>14523551.718305686</v>
      </c>
      <c r="K217" s="891">
        <f t="shared" si="94"/>
        <v>14336042.948392106</v>
      </c>
      <c r="L217" s="891">
        <f t="shared" si="94"/>
        <v>14145244.969091458</v>
      </c>
      <c r="M217" s="891">
        <f t="shared" si="94"/>
        <v>13951157.780403739</v>
      </c>
      <c r="N217" s="891">
        <f t="shared" si="94"/>
        <v>13753781.38232895</v>
      </c>
      <c r="O217" s="891">
        <f t="shared" si="94"/>
        <v>13553115.774867093</v>
      </c>
      <c r="P217" s="891">
        <f t="shared" si="94"/>
        <v>13349160.958018167</v>
      </c>
      <c r="Q217" s="891">
        <f t="shared" si="94"/>
        <v>13141916.931782171</v>
      </c>
      <c r="R217" s="891">
        <f t="shared" si="94"/>
        <v>12931383.696159108</v>
      </c>
      <c r="S217" s="891">
        <f t="shared" si="94"/>
        <v>12717561.251148971</v>
      </c>
      <c r="T217" s="891">
        <f t="shared" si="94"/>
        <v>12500449.596751768</v>
      </c>
      <c r="U217" s="891">
        <f t="shared" si="94"/>
        <v>12280048.732967494</v>
      </c>
      <c r="V217" s="891">
        <f t="shared" si="94"/>
        <v>12056358.659796152</v>
      </c>
      <c r="W217" s="891">
        <f t="shared" si="94"/>
        <v>11829379.377237741</v>
      </c>
      <c r="X217" s="766"/>
      <c r="Y217" s="766"/>
    </row>
    <row r="218" spans="2:25" x14ac:dyDescent="0.2">
      <c r="E218" s="744"/>
      <c r="F218" s="744"/>
      <c r="G218" s="571"/>
      <c r="H218" s="744"/>
      <c r="I218" s="744"/>
      <c r="J218" s="744"/>
      <c r="K218" s="744"/>
      <c r="L218" s="744"/>
      <c r="M218" s="744"/>
      <c r="N218" s="744"/>
      <c r="O218" s="744"/>
      <c r="P218" s="744"/>
      <c r="Q218" s="744"/>
      <c r="R218" s="744"/>
      <c r="S218" s="744"/>
      <c r="T218" s="744"/>
      <c r="U218" s="744"/>
      <c r="V218" s="744"/>
      <c r="W218" s="744"/>
      <c r="X218" s="766"/>
      <c r="Y218" s="766"/>
    </row>
    <row r="219" spans="2:25" x14ac:dyDescent="0.2">
      <c r="E219" s="254" t="str">
        <f>E$63</f>
        <v>Tax depreciation</v>
      </c>
      <c r="F219" s="515"/>
      <c r="G219" s="656"/>
      <c r="H219" s="515"/>
      <c r="I219" s="894"/>
      <c r="J219" s="894"/>
      <c r="K219" s="894"/>
      <c r="L219" s="894"/>
      <c r="M219" s="894"/>
      <c r="N219" s="894"/>
      <c r="O219" s="894"/>
      <c r="P219" s="894"/>
      <c r="Q219" s="894"/>
      <c r="R219" s="894"/>
      <c r="S219" s="894"/>
      <c r="T219" s="894"/>
      <c r="U219" s="894"/>
      <c r="V219" s="894"/>
      <c r="W219" s="894"/>
      <c r="X219" s="766"/>
      <c r="Y219" s="766"/>
    </row>
    <row r="220" spans="2:25" x14ac:dyDescent="0.2">
      <c r="E220" s="515" t="str">
        <f>E$64</f>
        <v>Opening TVA</v>
      </c>
      <c r="F220" s="515" t="str">
        <f>F$64</f>
        <v>$'000 nominal</v>
      </c>
      <c r="G220" s="656"/>
      <c r="H220" s="744"/>
      <c r="I220" s="890">
        <f>H225</f>
        <v>151409280</v>
      </c>
      <c r="J220" s="891">
        <f t="shared" ref="J220:W220" si="95">I225</f>
        <v>147886894.51008001</v>
      </c>
      <c r="K220" s="891">
        <f t="shared" si="95"/>
        <v>144349418.15816191</v>
      </c>
      <c r="L220" s="891">
        <f t="shared" si="95"/>
        <v>140796488.76355779</v>
      </c>
      <c r="M220" s="891">
        <f t="shared" si="95"/>
        <v>137227735.4532432</v>
      </c>
      <c r="N220" s="891">
        <f t="shared" si="95"/>
        <v>133642778.45324104</v>
      </c>
      <c r="O220" s="891">
        <f t="shared" si="95"/>
        <v>130041228.87499882</v>
      </c>
      <c r="P220" s="891">
        <f t="shared" si="95"/>
        <v>126422688.4966388</v>
      </c>
      <c r="Q220" s="891">
        <f t="shared" si="95"/>
        <v>122786749.53895813</v>
      </c>
      <c r="R220" s="891">
        <f t="shared" si="95"/>
        <v>119132994.43605313</v>
      </c>
      <c r="S220" s="891">
        <f t="shared" si="95"/>
        <v>115460995.6004384</v>
      </c>
      <c r="T220" s="891">
        <f t="shared" si="95"/>
        <v>111770315.18252893</v>
      </c>
      <c r="U220" s="891">
        <f t="shared" si="95"/>
        <v>108060504.82434961</v>
      </c>
      <c r="V220" s="891">
        <f t="shared" si="95"/>
        <v>104331105.407334</v>
      </c>
      <c r="W220" s="891">
        <f t="shared" si="95"/>
        <v>100581646.79407002</v>
      </c>
      <c r="X220" s="766"/>
      <c r="Y220" s="766"/>
    </row>
    <row r="221" spans="2:25" x14ac:dyDescent="0.2">
      <c r="E221" s="515" t="str">
        <f>E$65</f>
        <v xml:space="preserve">  capex net of capital contributions </v>
      </c>
      <c r="F221" s="515" t="str">
        <f>F$65</f>
        <v>$'000 nominal</v>
      </c>
      <c r="G221" s="656"/>
      <c r="H221" s="744"/>
      <c r="I221" s="891">
        <f t="shared" ref="I221:W221" si="96">I207*I$48</f>
        <v>1550431.0272000001</v>
      </c>
      <c r="J221" s="891">
        <f t="shared" si="96"/>
        <v>1587641.3718528003</v>
      </c>
      <c r="K221" s="891">
        <f t="shared" si="96"/>
        <v>1625744.7647772678</v>
      </c>
      <c r="L221" s="891">
        <f t="shared" si="96"/>
        <v>1664762.6391319223</v>
      </c>
      <c r="M221" s="891">
        <f t="shared" si="96"/>
        <v>1704716.9424710884</v>
      </c>
      <c r="N221" s="891">
        <f t="shared" si="96"/>
        <v>1745630.1490903946</v>
      </c>
      <c r="O221" s="891">
        <f t="shared" si="96"/>
        <v>1787525.272668564</v>
      </c>
      <c r="P221" s="891">
        <f t="shared" si="96"/>
        <v>1830425.8792126097</v>
      </c>
      <c r="Q221" s="891">
        <f t="shared" si="96"/>
        <v>1874356.1003137126</v>
      </c>
      <c r="R221" s="891">
        <f t="shared" si="96"/>
        <v>1919340.6467212415</v>
      </c>
      <c r="S221" s="891">
        <f t="shared" si="96"/>
        <v>1965404.8222425515</v>
      </c>
      <c r="T221" s="891">
        <f t="shared" si="96"/>
        <v>2012574.5379763725</v>
      </c>
      <c r="U221" s="891">
        <f t="shared" si="96"/>
        <v>2060876.3268878057</v>
      </c>
      <c r="V221" s="891">
        <f t="shared" si="96"/>
        <v>2110337.3587331134</v>
      </c>
      <c r="W221" s="891">
        <f t="shared" si="96"/>
        <v>2160985.4553427082</v>
      </c>
      <c r="X221" s="766"/>
      <c r="Y221" s="766"/>
    </row>
    <row r="222" spans="2:25" x14ac:dyDescent="0.2">
      <c r="E222" s="515" t="str">
        <f>E$66</f>
        <v xml:space="preserve">  disposals </v>
      </c>
      <c r="F222" s="515" t="str">
        <f>F$66</f>
        <v>$'000 nominal</v>
      </c>
      <c r="G222" s="656"/>
      <c r="H222" s="744"/>
      <c r="I222" s="744"/>
      <c r="J222" s="744"/>
      <c r="K222" s="744"/>
      <c r="L222" s="744"/>
      <c r="M222" s="744"/>
      <c r="N222" s="744"/>
      <c r="O222" s="744"/>
      <c r="P222" s="744"/>
      <c r="Q222" s="744"/>
      <c r="R222" s="744"/>
      <c r="S222" s="744"/>
      <c r="T222" s="744"/>
      <c r="U222" s="744"/>
      <c r="V222" s="744"/>
      <c r="W222" s="744"/>
      <c r="X222" s="766"/>
      <c r="Y222" s="766"/>
    </row>
    <row r="223" spans="2:25" x14ac:dyDescent="0.2">
      <c r="E223" s="515" t="str">
        <f>E$67</f>
        <v xml:space="preserve">  depreciation</v>
      </c>
      <c r="F223" s="515" t="str">
        <f>F$67</f>
        <v>$'000 nominal</v>
      </c>
      <c r="G223" s="656"/>
      <c r="H223" s="744"/>
      <c r="I223" s="890">
        <f>$H225/$K$4+I221*$K$9/$K$5</f>
        <v>5072816.51712</v>
      </c>
      <c r="J223" s="739">
        <f>$H225/$K$4+SUM($I221:I221)/$K$5+J221*$K$9/$K$5</f>
        <v>5125117.7237708801</v>
      </c>
      <c r="K223" s="739">
        <f>$H225/$K$4+SUM($I221:J221)/$K$5+K221*$K$9/$K$5</f>
        <v>5178674.1593813812</v>
      </c>
      <c r="L223" s="739">
        <f>$H225/$K$4+SUM($I221:K221)/$K$5+L221*$K$9/$K$5</f>
        <v>5233515.9494465338</v>
      </c>
      <c r="M223" s="739">
        <f>$H225/$K$4+SUM($I221:L221)/$K$5+M221*$K$9/$K$5</f>
        <v>5289673.9424732514</v>
      </c>
      <c r="N223" s="739">
        <f>$H225/$K$4+SUM($I221:M221)/$K$5+N221*$K$9/$K$5</f>
        <v>5347179.7273326097</v>
      </c>
      <c r="O223" s="739">
        <f>$H225/$K$4+SUM($I221:N221)/$K$5+O221*$K$9/$K$5</f>
        <v>5406065.6510285912</v>
      </c>
      <c r="P223" s="739">
        <f>$H225/$K$4+SUM($I221:O221)/$K$5+P221*$K$9/$K$5</f>
        <v>5466364.8368932782</v>
      </c>
      <c r="Q223" s="739">
        <f>$H225/$K$4+SUM($I221:P221)/$K$5+Q221*$K$9/$K$5</f>
        <v>5528111.2032187171</v>
      </c>
      <c r="R223" s="739">
        <f>$H225/$K$4+SUM($I221:Q221)/$K$5+R221*$K$9/$K$5</f>
        <v>5591339.4823359661</v>
      </c>
      <c r="S223" s="739">
        <f>$H225/$K$4+SUM($I221:R221)/$K$5+S221*$K$9/$K$5</f>
        <v>5656085.2401520293</v>
      </c>
      <c r="T223" s="739">
        <f>$H225/$K$4+SUM($I221:S221)/$K$5+T221*$K$9/$K$5</f>
        <v>5722384.8961556777</v>
      </c>
      <c r="U223" s="739">
        <f>$H225/$K$4+SUM($I221:T221)/$K$5+U221*$K$9/$K$5</f>
        <v>5790275.7439034143</v>
      </c>
      <c r="V223" s="739">
        <f>$H225/$K$4+SUM($I221:U221)/$K$5+V221*$K$9/$K$5</f>
        <v>5859795.9719970962</v>
      </c>
      <c r="W223" s="739">
        <f>$H225/$K$4+SUM($I221:V221)/$K$5+W221*$K$9/$K$5</f>
        <v>5930984.6855650265</v>
      </c>
      <c r="X223" s="766"/>
      <c r="Y223" s="766"/>
    </row>
    <row r="224" spans="2:25" x14ac:dyDescent="0.2">
      <c r="E224" s="515" t="str">
        <f>E$68</f>
        <v xml:space="preserve">  no indexation for TVA</v>
      </c>
      <c r="F224" s="515" t="str">
        <f>F$68</f>
        <v>$'000 nominal</v>
      </c>
      <c r="G224" s="656"/>
      <c r="H224" s="744"/>
      <c r="I224" s="891"/>
      <c r="J224" s="744"/>
      <c r="K224" s="744"/>
      <c r="L224" s="744"/>
      <c r="M224" s="744"/>
      <c r="N224" s="744"/>
      <c r="O224" s="744"/>
      <c r="P224" s="744"/>
      <c r="Q224" s="744"/>
      <c r="R224" s="744"/>
      <c r="S224" s="744"/>
      <c r="T224" s="744"/>
      <c r="U224" s="744"/>
      <c r="V224" s="744"/>
      <c r="W224" s="744"/>
      <c r="X224" s="766"/>
      <c r="Y224" s="766"/>
    </row>
    <row r="225" spans="5:25" x14ac:dyDescent="0.2">
      <c r="E225" s="515" t="str">
        <f>E$69</f>
        <v>Closing TVA</v>
      </c>
      <c r="F225" s="515" t="str">
        <f>F$69</f>
        <v>$'000 nominal</v>
      </c>
      <c r="G225" s="656"/>
      <c r="H225" s="890">
        <f>H211*H$48</f>
        <v>151409280</v>
      </c>
      <c r="I225" s="891">
        <f>I220+I221-I223</f>
        <v>147886894.51008001</v>
      </c>
      <c r="J225" s="891">
        <f t="shared" ref="J225:W225" si="97">J220+J221-J223</f>
        <v>144349418.15816191</v>
      </c>
      <c r="K225" s="891">
        <f t="shared" si="97"/>
        <v>140796488.76355779</v>
      </c>
      <c r="L225" s="891">
        <f t="shared" si="97"/>
        <v>137227735.4532432</v>
      </c>
      <c r="M225" s="891">
        <f t="shared" si="97"/>
        <v>133642778.45324104</v>
      </c>
      <c r="N225" s="891">
        <f t="shared" si="97"/>
        <v>130041228.87499882</v>
      </c>
      <c r="O225" s="891">
        <f t="shared" si="97"/>
        <v>126422688.4966388</v>
      </c>
      <c r="P225" s="891">
        <f t="shared" si="97"/>
        <v>122786749.53895813</v>
      </c>
      <c r="Q225" s="891">
        <f t="shared" si="97"/>
        <v>119132994.43605313</v>
      </c>
      <c r="R225" s="891">
        <f t="shared" si="97"/>
        <v>115460995.6004384</v>
      </c>
      <c r="S225" s="891">
        <f t="shared" si="97"/>
        <v>111770315.18252893</v>
      </c>
      <c r="T225" s="891">
        <f t="shared" si="97"/>
        <v>108060504.82434961</v>
      </c>
      <c r="U225" s="891">
        <f t="shared" si="97"/>
        <v>104331105.407334</v>
      </c>
      <c r="V225" s="891">
        <f t="shared" si="97"/>
        <v>100581646.79407002</v>
      </c>
      <c r="W225" s="891">
        <f t="shared" si="97"/>
        <v>96811647.563847706</v>
      </c>
      <c r="X225" s="766"/>
      <c r="Y225" s="766"/>
    </row>
    <row r="226" spans="5:25" x14ac:dyDescent="0.2">
      <c r="E226" s="515"/>
      <c r="F226" s="515"/>
      <c r="G226" s="656"/>
      <c r="H226" s="744"/>
      <c r="I226" s="744"/>
      <c r="J226" s="744"/>
      <c r="K226" s="744"/>
      <c r="L226" s="744"/>
      <c r="M226" s="744"/>
      <c r="N226" s="744"/>
      <c r="O226" s="744"/>
      <c r="P226" s="744"/>
      <c r="Q226" s="744"/>
      <c r="R226" s="744"/>
      <c r="S226" s="744"/>
      <c r="T226" s="744"/>
      <c r="U226" s="744"/>
      <c r="V226" s="744"/>
      <c r="W226" s="744"/>
      <c r="X226" s="766"/>
      <c r="Y226" s="766"/>
    </row>
    <row r="227" spans="5:25" x14ac:dyDescent="0.2">
      <c r="E227" s="254" t="str">
        <f>E$71</f>
        <v xml:space="preserve">Tax allowance </v>
      </c>
      <c r="F227" s="515"/>
      <c r="G227" s="656"/>
      <c r="H227" s="744"/>
      <c r="I227" s="744"/>
      <c r="J227" s="744"/>
      <c r="K227" s="744"/>
      <c r="L227" s="744"/>
      <c r="M227" s="744"/>
      <c r="N227" s="744"/>
      <c r="O227" s="744"/>
      <c r="P227" s="744"/>
      <c r="Q227" s="744"/>
      <c r="R227" s="744"/>
      <c r="S227" s="744"/>
      <c r="T227" s="744"/>
      <c r="U227" s="744"/>
      <c r="V227" s="744"/>
      <c r="W227" s="744"/>
      <c r="X227" s="766"/>
      <c r="Y227" s="766"/>
    </row>
    <row r="228" spans="5:25" x14ac:dyDescent="0.2">
      <c r="E228" s="515" t="str">
        <f>E$72</f>
        <v>Required revenue excluding tax liability and opex</v>
      </c>
      <c r="F228" s="515" t="str">
        <f>F$72</f>
        <v>$'000 nominal</v>
      </c>
      <c r="G228" s="656"/>
      <c r="H228" s="892" t="s">
        <v>957</v>
      </c>
      <c r="I228" s="891">
        <f>I217</f>
        <v>14707771.278832197</v>
      </c>
      <c r="J228" s="891">
        <f t="shared" ref="J228:W228" si="98">J217</f>
        <v>14523551.718305686</v>
      </c>
      <c r="K228" s="891">
        <f t="shared" si="98"/>
        <v>14336042.948392106</v>
      </c>
      <c r="L228" s="891">
        <f t="shared" si="98"/>
        <v>14145244.969091458</v>
      </c>
      <c r="M228" s="891">
        <f t="shared" si="98"/>
        <v>13951157.780403739</v>
      </c>
      <c r="N228" s="891">
        <f t="shared" si="98"/>
        <v>13753781.38232895</v>
      </c>
      <c r="O228" s="891">
        <f t="shared" si="98"/>
        <v>13553115.774867093</v>
      </c>
      <c r="P228" s="891">
        <f t="shared" si="98"/>
        <v>13349160.958018167</v>
      </c>
      <c r="Q228" s="891">
        <f t="shared" si="98"/>
        <v>13141916.931782171</v>
      </c>
      <c r="R228" s="891">
        <f t="shared" si="98"/>
        <v>12931383.696159108</v>
      </c>
      <c r="S228" s="891">
        <f t="shared" si="98"/>
        <v>12717561.251148971</v>
      </c>
      <c r="T228" s="891">
        <f t="shared" si="98"/>
        <v>12500449.596751768</v>
      </c>
      <c r="U228" s="891">
        <f t="shared" si="98"/>
        <v>12280048.732967494</v>
      </c>
      <c r="V228" s="891">
        <f t="shared" si="98"/>
        <v>12056358.659796152</v>
      </c>
      <c r="W228" s="891">
        <f t="shared" si="98"/>
        <v>11829379.377237741</v>
      </c>
      <c r="X228" s="766"/>
      <c r="Y228" s="766"/>
    </row>
    <row r="229" spans="5:25" x14ac:dyDescent="0.2">
      <c r="E229" s="515" t="str">
        <f>E$73</f>
        <v xml:space="preserve">  less</v>
      </c>
      <c r="F229" s="515"/>
      <c r="G229" s="656"/>
      <c r="H229" s="892" t="s">
        <v>959</v>
      </c>
      <c r="I229" s="891"/>
      <c r="J229" s="891"/>
      <c r="K229" s="891"/>
      <c r="L229" s="891"/>
      <c r="M229" s="891"/>
      <c r="N229" s="891"/>
      <c r="O229" s="891"/>
      <c r="P229" s="891"/>
      <c r="Q229" s="891"/>
      <c r="R229" s="891"/>
      <c r="S229" s="891"/>
      <c r="T229" s="891"/>
      <c r="U229" s="891"/>
      <c r="V229" s="891"/>
      <c r="W229" s="891"/>
      <c r="X229" s="766"/>
      <c r="Y229" s="766"/>
    </row>
    <row r="230" spans="5:25" x14ac:dyDescent="0.2">
      <c r="E230" s="515" t="str">
        <f>E$74</f>
        <v>NA - Operating expenditure</v>
      </c>
      <c r="F230" s="515" t="str">
        <f>F$74</f>
        <v>$'000 nominal</v>
      </c>
      <c r="G230" s="656"/>
      <c r="H230" s="744"/>
      <c r="I230" s="891">
        <v>0</v>
      </c>
      <c r="J230" s="891">
        <v>0</v>
      </c>
      <c r="K230" s="891">
        <v>0</v>
      </c>
      <c r="L230" s="891">
        <v>0</v>
      </c>
      <c r="M230" s="891">
        <v>0</v>
      </c>
      <c r="N230" s="891">
        <v>0</v>
      </c>
      <c r="O230" s="891">
        <v>0</v>
      </c>
      <c r="P230" s="891">
        <v>0</v>
      </c>
      <c r="Q230" s="891">
        <v>0</v>
      </c>
      <c r="R230" s="891">
        <v>0</v>
      </c>
      <c r="S230" s="891">
        <v>0</v>
      </c>
      <c r="T230" s="891">
        <v>0</v>
      </c>
      <c r="U230" s="891">
        <v>0</v>
      </c>
      <c r="V230" s="891">
        <v>0</v>
      </c>
      <c r="W230" s="891">
        <v>0</v>
      </c>
      <c r="X230" s="766"/>
      <c r="Y230" s="766"/>
    </row>
    <row r="231" spans="5:25" x14ac:dyDescent="0.2">
      <c r="E231" s="515" t="str">
        <f>E$75</f>
        <v>Tax depreciation</v>
      </c>
      <c r="F231" s="515" t="str">
        <f>F$75</f>
        <v>$'000 nominal</v>
      </c>
      <c r="G231" s="656"/>
      <c r="H231" s="744"/>
      <c r="I231" s="891">
        <f>I223</f>
        <v>5072816.51712</v>
      </c>
      <c r="J231" s="891">
        <f t="shared" ref="J231:W231" si="99">J223</f>
        <v>5125117.7237708801</v>
      </c>
      <c r="K231" s="891">
        <f t="shared" si="99"/>
        <v>5178674.1593813812</v>
      </c>
      <c r="L231" s="891">
        <f t="shared" si="99"/>
        <v>5233515.9494465338</v>
      </c>
      <c r="M231" s="891">
        <f t="shared" si="99"/>
        <v>5289673.9424732514</v>
      </c>
      <c r="N231" s="891">
        <f t="shared" si="99"/>
        <v>5347179.7273326097</v>
      </c>
      <c r="O231" s="891">
        <f t="shared" si="99"/>
        <v>5406065.6510285912</v>
      </c>
      <c r="P231" s="891">
        <f t="shared" si="99"/>
        <v>5466364.8368932782</v>
      </c>
      <c r="Q231" s="891">
        <f t="shared" si="99"/>
        <v>5528111.2032187171</v>
      </c>
      <c r="R231" s="891">
        <f t="shared" si="99"/>
        <v>5591339.4823359661</v>
      </c>
      <c r="S231" s="891">
        <f t="shared" si="99"/>
        <v>5656085.2401520293</v>
      </c>
      <c r="T231" s="891">
        <f t="shared" si="99"/>
        <v>5722384.8961556777</v>
      </c>
      <c r="U231" s="891">
        <f t="shared" si="99"/>
        <v>5790275.7439034143</v>
      </c>
      <c r="V231" s="891">
        <f t="shared" si="99"/>
        <v>5859795.9719970962</v>
      </c>
      <c r="W231" s="891">
        <f t="shared" si="99"/>
        <v>5930984.6855650265</v>
      </c>
      <c r="X231" s="766"/>
      <c r="Y231" s="766"/>
    </row>
    <row r="232" spans="5:25" x14ac:dyDescent="0.2">
      <c r="E232" s="515" t="str">
        <f>E$76</f>
        <v>Interest deductible</v>
      </c>
      <c r="F232" s="515" t="str">
        <f>F$76</f>
        <v>$'000 nominal</v>
      </c>
      <c r="G232" s="656"/>
      <c r="H232" s="744"/>
      <c r="I232" s="891">
        <f>AVERAGE(I206,I211)*I$48*$K$10*$K$11</f>
        <v>1608824.1357619201</v>
      </c>
      <c r="J232" s="891">
        <f t="shared" ref="J232:W232" si="100">AVERAGE(J206,J211)*J$48*$K$10*$K$11</f>
        <v>1607983.0269296642</v>
      </c>
      <c r="K232" s="891">
        <f t="shared" si="100"/>
        <v>1605605.8515035894</v>
      </c>
      <c r="L232" s="891">
        <f t="shared" si="100"/>
        <v>1601605.7065098549</v>
      </c>
      <c r="M232" s="891">
        <f t="shared" si="100"/>
        <v>1595892.0746560902</v>
      </c>
      <c r="N232" s="891">
        <f t="shared" si="100"/>
        <v>1588370.6930342135</v>
      </c>
      <c r="O232" s="891">
        <f t="shared" si="100"/>
        <v>1578943.417414051</v>
      </c>
      <c r="P232" s="891">
        <f t="shared" si="100"/>
        <v>1567508.0819872085</v>
      </c>
      <c r="Q232" s="891">
        <f t="shared" si="100"/>
        <v>1553958.3544163371</v>
      </c>
      <c r="R232" s="891">
        <f t="shared" si="100"/>
        <v>1538183.586040487</v>
      </c>
      <c r="S232" s="891">
        <f t="shared" si="100"/>
        <v>1520068.6570826671</v>
      </c>
      <c r="T232" s="891">
        <f t="shared" si="100"/>
        <v>1499493.8167010208</v>
      </c>
      <c r="U232" s="891">
        <f t="shared" si="100"/>
        <v>1476334.5177201657</v>
      </c>
      <c r="V232" s="891">
        <f t="shared" si="100"/>
        <v>1450461.2458742529</v>
      </c>
      <c r="W232" s="891">
        <f t="shared" si="100"/>
        <v>1421739.3433881593</v>
      </c>
      <c r="X232" s="766" t="s">
        <v>962</v>
      </c>
      <c r="Y232" s="766"/>
    </row>
    <row r="233" spans="5:25" x14ac:dyDescent="0.2">
      <c r="E233" s="515" t="str">
        <f>E$77</f>
        <v>Taxable income for the year</v>
      </c>
      <c r="F233" s="515" t="str">
        <f>F$77</f>
        <v>$'000 nominal</v>
      </c>
      <c r="G233" s="656"/>
      <c r="H233" s="744"/>
      <c r="I233" s="891">
        <f>I228-I231-I232</f>
        <v>8026130.6259502769</v>
      </c>
      <c r="J233" s="891">
        <f t="shared" ref="J233:W233" si="101">J228-J231-J232</f>
        <v>7790450.967605141</v>
      </c>
      <c r="K233" s="891">
        <f t="shared" si="101"/>
        <v>7551762.9375071367</v>
      </c>
      <c r="L233" s="891">
        <f t="shared" si="101"/>
        <v>7310123.3131350689</v>
      </c>
      <c r="M233" s="891">
        <f t="shared" si="101"/>
        <v>7065591.7632743977</v>
      </c>
      <c r="N233" s="891">
        <f t="shared" si="101"/>
        <v>6818230.9619621262</v>
      </c>
      <c r="O233" s="891">
        <f t="shared" si="101"/>
        <v>6568106.7064244505</v>
      </c>
      <c r="P233" s="891">
        <f t="shared" si="101"/>
        <v>6315288.0391376801</v>
      </c>
      <c r="Q233" s="891">
        <f t="shared" si="101"/>
        <v>6059847.3741471171</v>
      </c>
      <c r="R233" s="891">
        <f t="shared" si="101"/>
        <v>5801860.627782654</v>
      </c>
      <c r="S233" s="891">
        <f t="shared" si="101"/>
        <v>5541407.3539142739</v>
      </c>
      <c r="T233" s="891">
        <f t="shared" si="101"/>
        <v>5278570.8838950694</v>
      </c>
      <c r="U233" s="891">
        <f t="shared" si="101"/>
        <v>5013438.471343914</v>
      </c>
      <c r="V233" s="891">
        <f t="shared" si="101"/>
        <v>4746101.441924803</v>
      </c>
      <c r="W233" s="891">
        <f t="shared" si="101"/>
        <v>4476655.3482845556</v>
      </c>
      <c r="X233" s="766"/>
      <c r="Y233" s="766"/>
    </row>
    <row r="234" spans="5:25" x14ac:dyDescent="0.2">
      <c r="E234" s="515"/>
      <c r="F234" s="515"/>
      <c r="G234" s="656"/>
      <c r="H234" s="744"/>
      <c r="I234" s="744"/>
      <c r="J234" s="744"/>
      <c r="K234" s="744"/>
      <c r="L234" s="744"/>
      <c r="M234" s="744"/>
      <c r="N234" s="744"/>
      <c r="O234" s="744"/>
      <c r="P234" s="744"/>
      <c r="Q234" s="744"/>
      <c r="R234" s="744"/>
      <c r="S234" s="744"/>
      <c r="T234" s="744"/>
      <c r="U234" s="744"/>
      <c r="V234" s="744"/>
      <c r="W234" s="744"/>
      <c r="X234" s="766"/>
      <c r="Y234" s="766"/>
    </row>
    <row r="235" spans="5:25" x14ac:dyDescent="0.2">
      <c r="E235" s="515" t="str">
        <f>E$79</f>
        <v>Tax before adjustment for franking credits</v>
      </c>
      <c r="F235" s="515" t="str">
        <f>F$79</f>
        <v>$'000 nominal</v>
      </c>
      <c r="G235" s="656"/>
      <c r="H235" s="744"/>
      <c r="I235" s="891">
        <f>I233*$K$13/(1-$K$13*(1-$K$12))</f>
        <v>3106889.2745613973</v>
      </c>
      <c r="J235" s="891">
        <f t="shared" ref="J235:W235" si="102">J233*$K$13/(1-$K$13*(1-$K$12))</f>
        <v>3015658.4390729573</v>
      </c>
      <c r="K235" s="891">
        <f t="shared" si="102"/>
        <v>2923263.0725834072</v>
      </c>
      <c r="L235" s="891">
        <f t="shared" si="102"/>
        <v>2829725.1534716394</v>
      </c>
      <c r="M235" s="891">
        <f t="shared" si="102"/>
        <v>2735067.779332025</v>
      </c>
      <c r="N235" s="891">
        <f t="shared" si="102"/>
        <v>2639315.211082113</v>
      </c>
      <c r="O235" s="891">
        <f t="shared" si="102"/>
        <v>2542492.9186159163</v>
      </c>
      <c r="P235" s="891">
        <f t="shared" si="102"/>
        <v>2444627.6280532954</v>
      </c>
      <c r="Q235" s="891">
        <f t="shared" si="102"/>
        <v>2345747.3706375938</v>
      </c>
      <c r="R235" s="891">
        <f t="shared" si="102"/>
        <v>2245881.5333352205</v>
      </c>
      <c r="S235" s="891">
        <f t="shared" si="102"/>
        <v>2145060.911192622</v>
      </c>
      <c r="T235" s="891">
        <f t="shared" si="102"/>
        <v>2043317.7615077689</v>
      </c>
      <c r="U235" s="891">
        <f t="shared" si="102"/>
        <v>1940685.8598750634</v>
      </c>
      <c r="V235" s="891">
        <f t="shared" si="102"/>
        <v>1837200.5581644396</v>
      </c>
      <c r="W235" s="891">
        <f t="shared" si="102"/>
        <v>1732898.8444972474</v>
      </c>
      <c r="X235" s="766"/>
      <c r="Y235" s="766"/>
    </row>
    <row r="236" spans="5:25" x14ac:dyDescent="0.2">
      <c r="E236" s="515" t="str">
        <f>E$80</f>
        <v>Adjustment for franking credits</v>
      </c>
      <c r="F236" s="515" t="str">
        <f>F$80</f>
        <v>$'000 nominal</v>
      </c>
      <c r="G236" s="656"/>
      <c r="H236" s="744"/>
      <c r="I236" s="891">
        <f>-I235*$K$12</f>
        <v>-776722.31864034932</v>
      </c>
      <c r="J236" s="891">
        <f t="shared" ref="J236:W236" si="103">-J235*$K$12</f>
        <v>-753914.60976823932</v>
      </c>
      <c r="K236" s="891">
        <f t="shared" si="103"/>
        <v>-730815.76814585179</v>
      </c>
      <c r="L236" s="891">
        <f t="shared" si="103"/>
        <v>-707431.28836790984</v>
      </c>
      <c r="M236" s="891">
        <f t="shared" si="103"/>
        <v>-683766.94483300624</v>
      </c>
      <c r="N236" s="891">
        <f t="shared" si="103"/>
        <v>-659828.80277052824</v>
      </c>
      <c r="O236" s="891">
        <f t="shared" si="103"/>
        <v>-635623.22965397907</v>
      </c>
      <c r="P236" s="891">
        <f t="shared" si="103"/>
        <v>-611156.90701332386</v>
      </c>
      <c r="Q236" s="891">
        <f t="shared" si="103"/>
        <v>-586436.84265939845</v>
      </c>
      <c r="R236" s="891">
        <f t="shared" si="103"/>
        <v>-561470.38333380513</v>
      </c>
      <c r="S236" s="891">
        <f t="shared" si="103"/>
        <v>-536265.22779815551</v>
      </c>
      <c r="T236" s="891">
        <f t="shared" si="103"/>
        <v>-510829.44037694222</v>
      </c>
      <c r="U236" s="891">
        <f t="shared" si="103"/>
        <v>-485171.46496876585</v>
      </c>
      <c r="V236" s="891">
        <f t="shared" si="103"/>
        <v>-459300.13954110991</v>
      </c>
      <c r="W236" s="891">
        <f t="shared" si="103"/>
        <v>-433224.71112431184</v>
      </c>
      <c r="X236" s="766"/>
      <c r="Y236" s="766"/>
    </row>
    <row r="237" spans="5:25" x14ac:dyDescent="0.2">
      <c r="E237" s="515" t="str">
        <f>E$81</f>
        <v>Tax net of adjustment for franking credits</v>
      </c>
      <c r="F237" s="515" t="str">
        <f>F$81</f>
        <v>$'000 nominal</v>
      </c>
      <c r="G237" s="656"/>
      <c r="H237" s="744"/>
      <c r="I237" s="891">
        <f>SUM(I235:I236)</f>
        <v>2330166.9559210478</v>
      </c>
      <c r="J237" s="891">
        <f t="shared" ref="J237:W237" si="104">SUM(J235:J236)</f>
        <v>2261743.8293047179</v>
      </c>
      <c r="K237" s="891">
        <f t="shared" si="104"/>
        <v>2192447.3044375554</v>
      </c>
      <c r="L237" s="891">
        <f t="shared" si="104"/>
        <v>2122293.8651037295</v>
      </c>
      <c r="M237" s="891">
        <f t="shared" si="104"/>
        <v>2051300.8344990187</v>
      </c>
      <c r="N237" s="891">
        <f t="shared" si="104"/>
        <v>1979486.4083115847</v>
      </c>
      <c r="O237" s="891">
        <f t="shared" si="104"/>
        <v>1906869.6889619371</v>
      </c>
      <c r="P237" s="891">
        <f t="shared" si="104"/>
        <v>1833470.7210399716</v>
      </c>
      <c r="Q237" s="891">
        <f t="shared" si="104"/>
        <v>1759310.5279781953</v>
      </c>
      <c r="R237" s="891">
        <f t="shared" si="104"/>
        <v>1684411.1500014155</v>
      </c>
      <c r="S237" s="891">
        <f t="shared" si="104"/>
        <v>1608795.6833944665</v>
      </c>
      <c r="T237" s="891">
        <f t="shared" si="104"/>
        <v>1532488.3211308266</v>
      </c>
      <c r="U237" s="891">
        <f t="shared" si="104"/>
        <v>1455514.3949062976</v>
      </c>
      <c r="V237" s="891">
        <f t="shared" si="104"/>
        <v>1377900.4186233296</v>
      </c>
      <c r="W237" s="891">
        <f t="shared" si="104"/>
        <v>1299674.1333729355</v>
      </c>
      <c r="X237" s="766"/>
      <c r="Y237" s="766"/>
    </row>
    <row r="238" spans="5:25" x14ac:dyDescent="0.2">
      <c r="E238" s="515" t="str">
        <f>E$82</f>
        <v>Tax net of adjustment for franking credits</v>
      </c>
      <c r="F238" s="515" t="str">
        <f>F$82</f>
        <v>$'000 real</v>
      </c>
      <c r="G238" s="656"/>
      <c r="H238" s="744"/>
      <c r="I238" s="891">
        <f>I237/I$48</f>
        <v>2222220.3788004378</v>
      </c>
      <c r="J238" s="891">
        <f t="shared" ref="J238:W238" si="105">J237/J$48</f>
        <v>2106413.0862287413</v>
      </c>
      <c r="K238" s="891">
        <f t="shared" si="105"/>
        <v>1994019.2073022944</v>
      </c>
      <c r="L238" s="891">
        <f t="shared" si="105"/>
        <v>1884975.6112471006</v>
      </c>
      <c r="M238" s="891">
        <f t="shared" si="105"/>
        <v>1779219.856948131</v>
      </c>
      <c r="N238" s="891">
        <f t="shared" si="105"/>
        <v>1676690.2064819904</v>
      </c>
      <c r="O238" s="891">
        <f t="shared" si="105"/>
        <v>1577325.6373743361</v>
      </c>
      <c r="P238" s="891">
        <f t="shared" si="105"/>
        <v>1481065.8536405121</v>
      </c>
      <c r="Q238" s="891">
        <f t="shared" si="105"/>
        <v>1387851.2956657347</v>
      </c>
      <c r="R238" s="891">
        <f t="shared" si="105"/>
        <v>1297623.1489789858</v>
      </c>
      <c r="S238" s="891">
        <f t="shared" si="105"/>
        <v>1210323.3519727846</v>
      </c>
      <c r="T238" s="891">
        <f t="shared" si="105"/>
        <v>1125894.602619011</v>
      </c>
      <c r="U238" s="891">
        <f t="shared" si="105"/>
        <v>1044280.3642290478</v>
      </c>
      <c r="V238" s="891">
        <f t="shared" si="105"/>
        <v>965424.87030469661</v>
      </c>
      <c r="W238" s="891">
        <f t="shared" si="105"/>
        <v>889273.12852450239</v>
      </c>
      <c r="X238" s="766"/>
      <c r="Y238" s="766"/>
    </row>
    <row r="239" spans="5:25" x14ac:dyDescent="0.2">
      <c r="E239" s="744"/>
      <c r="F239" s="744"/>
      <c r="G239" s="571"/>
      <c r="H239" s="744"/>
      <c r="I239" s="744"/>
      <c r="J239" s="744"/>
      <c r="K239" s="744"/>
      <c r="L239" s="744"/>
      <c r="M239" s="744"/>
      <c r="N239" s="744"/>
      <c r="O239" s="744"/>
      <c r="P239" s="744"/>
      <c r="Q239" s="744"/>
      <c r="R239" s="744"/>
      <c r="S239" s="744"/>
      <c r="T239" s="744"/>
      <c r="U239" s="744"/>
      <c r="V239" s="744"/>
      <c r="W239" s="744"/>
      <c r="X239" s="766"/>
      <c r="Y239" s="766"/>
    </row>
    <row r="240" spans="5:25" x14ac:dyDescent="0.2">
      <c r="E240" s="380" t="s">
        <v>852</v>
      </c>
      <c r="F240" s="571" t="s">
        <v>853</v>
      </c>
      <c r="G240" s="571"/>
      <c r="H240" s="571"/>
      <c r="I240" s="895">
        <f>I217+I238</f>
        <v>16929991.657632634</v>
      </c>
      <c r="J240" s="895">
        <f t="shared" ref="J240:W240" si="106">J217+J238</f>
        <v>16629964.804534428</v>
      </c>
      <c r="K240" s="895">
        <f t="shared" si="106"/>
        <v>16330062.155694401</v>
      </c>
      <c r="L240" s="895">
        <f t="shared" si="106"/>
        <v>16030220.580338558</v>
      </c>
      <c r="M240" s="895">
        <f t="shared" si="106"/>
        <v>15730377.637351871</v>
      </c>
      <c r="N240" s="895">
        <f t="shared" si="106"/>
        <v>15430471.588810939</v>
      </c>
      <c r="O240" s="895">
        <f t="shared" si="106"/>
        <v>15130441.412241429</v>
      </c>
      <c r="P240" s="895">
        <f t="shared" si="106"/>
        <v>14830226.811658679</v>
      </c>
      <c r="Q240" s="895">
        <f t="shared" si="106"/>
        <v>14529768.227447907</v>
      </c>
      <c r="R240" s="895">
        <f t="shared" si="106"/>
        <v>14229006.845138093</v>
      </c>
      <c r="S240" s="895">
        <f t="shared" si="106"/>
        <v>13927884.603121756</v>
      </c>
      <c r="T240" s="895">
        <f t="shared" si="106"/>
        <v>13626344.199370779</v>
      </c>
      <c r="U240" s="895">
        <f t="shared" si="106"/>
        <v>13324329.097196542</v>
      </c>
      <c r="V240" s="895">
        <f t="shared" si="106"/>
        <v>13021783.530100849</v>
      </c>
      <c r="W240" s="895">
        <f t="shared" si="106"/>
        <v>12718652.505762244</v>
      </c>
    </row>
    <row r="241" spans="2:25" x14ac:dyDescent="0.2">
      <c r="B241" s="731" t="str">
        <f>E241&amp;"."&amp;D205</f>
        <v>Annual Ethanol Charge.C-Syrup (Sucrosic)</v>
      </c>
      <c r="E241" s="380" t="s">
        <v>845</v>
      </c>
      <c r="F241" s="571" t="s">
        <v>838</v>
      </c>
      <c r="G241" s="571"/>
      <c r="H241" s="571"/>
      <c r="I241" s="736">
        <f t="shared" ref="I241:W241" si="107">I240/($K$7*10^6)</f>
        <v>0.16929991657632634</v>
      </c>
      <c r="J241" s="736">
        <f t="shared" si="107"/>
        <v>0.16629964804534428</v>
      </c>
      <c r="K241" s="736">
        <f t="shared" si="107"/>
        <v>0.163300621556944</v>
      </c>
      <c r="L241" s="736">
        <f t="shared" si="107"/>
        <v>0.16030220580338558</v>
      </c>
      <c r="M241" s="736">
        <f t="shared" si="107"/>
        <v>0.15730377637351869</v>
      </c>
      <c r="N241" s="736">
        <f t="shared" si="107"/>
        <v>0.1543047158881094</v>
      </c>
      <c r="O241" s="736">
        <f t="shared" si="107"/>
        <v>0.1513044141224143</v>
      </c>
      <c r="P241" s="736">
        <f t="shared" si="107"/>
        <v>0.14830226811658678</v>
      </c>
      <c r="Q241" s="736">
        <f t="shared" si="107"/>
        <v>0.14529768227447906</v>
      </c>
      <c r="R241" s="736">
        <f t="shared" si="107"/>
        <v>0.14229006845138092</v>
      </c>
      <c r="S241" s="736">
        <f t="shared" si="107"/>
        <v>0.13927884603121757</v>
      </c>
      <c r="T241" s="736">
        <f t="shared" si="107"/>
        <v>0.1362634419937078</v>
      </c>
      <c r="U241" s="736">
        <f t="shared" si="107"/>
        <v>0.13324329097196541</v>
      </c>
      <c r="V241" s="736">
        <f t="shared" si="107"/>
        <v>0.13021783530100847</v>
      </c>
      <c r="W241" s="736">
        <f t="shared" si="107"/>
        <v>0.12718652505762243</v>
      </c>
    </row>
    <row r="242" spans="2:25" x14ac:dyDescent="0.2">
      <c r="B242" s="731" t="str">
        <f>E242&amp;"."&amp;D205</f>
        <v>15 year average Ethanol Charge.C-Syrup (Sucrosic)</v>
      </c>
      <c r="E242" s="380" t="str">
        <f>$K$8&amp;" year average Ethanol Charge"</f>
        <v>15 year average Ethanol Charge</v>
      </c>
      <c r="F242" s="571" t="s">
        <v>838</v>
      </c>
      <c r="G242" s="571"/>
      <c r="H242" s="571"/>
      <c r="I242" s="747">
        <f ca="1">AVERAGE($I241:OFFSET($I241,0,$K$8-1))</f>
        <v>0.14827968377093406</v>
      </c>
      <c r="J242" s="747"/>
      <c r="K242" s="747"/>
      <c r="L242" s="747"/>
      <c r="M242" s="747"/>
      <c r="N242" s="747"/>
      <c r="O242" s="747"/>
      <c r="P242" s="747"/>
      <c r="Q242" s="747"/>
      <c r="R242" s="747"/>
      <c r="S242" s="747"/>
      <c r="T242" s="747"/>
      <c r="U242" s="747"/>
      <c r="V242" s="747"/>
      <c r="W242" s="747"/>
    </row>
    <row r="244" spans="2:25" ht="15" x14ac:dyDescent="0.25">
      <c r="D244" s="755" t="str">
        <f>E16</f>
        <v>B-Syrup (Sucrosic)</v>
      </c>
      <c r="E244" s="756"/>
      <c r="F244" s="756"/>
      <c r="G244" s="756"/>
      <c r="H244" s="756"/>
      <c r="I244" s="756"/>
      <c r="J244" s="756"/>
      <c r="K244" s="756"/>
      <c r="L244" s="756"/>
      <c r="M244" s="756"/>
      <c r="N244" s="756"/>
      <c r="O244" s="756"/>
      <c r="P244" s="756"/>
      <c r="Q244" s="756"/>
      <c r="R244" s="756"/>
      <c r="S244" s="756"/>
      <c r="T244" s="756"/>
      <c r="U244" s="756"/>
      <c r="V244" s="756"/>
      <c r="W244" s="756"/>
    </row>
    <row r="245" spans="2:25" x14ac:dyDescent="0.2">
      <c r="D245" s="162"/>
      <c r="E245" s="743" t="s">
        <v>828</v>
      </c>
      <c r="F245" s="743" t="s">
        <v>836</v>
      </c>
      <c r="G245" s="738"/>
      <c r="H245" s="743"/>
      <c r="I245" s="739">
        <f>H250</f>
        <v>147860625</v>
      </c>
      <c r="J245" s="739">
        <f>I250</f>
        <v>144385900.3125</v>
      </c>
      <c r="K245" s="739">
        <f t="shared" ref="K245:W245" si="108">J250</f>
        <v>140861888.75</v>
      </c>
      <c r="L245" s="739">
        <f t="shared" si="108"/>
        <v>137288590.3125</v>
      </c>
      <c r="M245" s="739">
        <f t="shared" si="108"/>
        <v>133666005</v>
      </c>
      <c r="N245" s="739">
        <f t="shared" si="108"/>
        <v>129994132.8125</v>
      </c>
      <c r="O245" s="739">
        <f t="shared" si="108"/>
        <v>126272973.75</v>
      </c>
      <c r="P245" s="739">
        <f t="shared" si="108"/>
        <v>122502527.8125</v>
      </c>
      <c r="Q245" s="739">
        <f t="shared" si="108"/>
        <v>118682795</v>
      </c>
      <c r="R245" s="739">
        <f t="shared" si="108"/>
        <v>114813775.3125</v>
      </c>
      <c r="S245" s="739">
        <f t="shared" si="108"/>
        <v>110895468.75</v>
      </c>
      <c r="T245" s="739">
        <f t="shared" si="108"/>
        <v>106927875.3125</v>
      </c>
      <c r="U245" s="739">
        <f t="shared" si="108"/>
        <v>102910995</v>
      </c>
      <c r="V245" s="739">
        <f t="shared" si="108"/>
        <v>98844827.8125</v>
      </c>
      <c r="W245" s="739">
        <f t="shared" si="108"/>
        <v>94729373.75</v>
      </c>
      <c r="X245" s="744"/>
      <c r="Y245" s="766"/>
    </row>
    <row r="246" spans="2:25" x14ac:dyDescent="0.2">
      <c r="D246" s="162"/>
      <c r="E246" s="743" t="s">
        <v>829</v>
      </c>
      <c r="F246" s="743" t="s">
        <v>836</v>
      </c>
      <c r="G246" s="738"/>
      <c r="H246" s="743"/>
      <c r="I246" s="739">
        <f>INDEX($F$11:$F$18,MATCH(D244,$E$11:$E$18,0))</f>
        <v>1478606.2500000002</v>
      </c>
      <c r="J246" s="739">
        <f>I246</f>
        <v>1478606.2500000002</v>
      </c>
      <c r="K246" s="739">
        <f t="shared" ref="K246:W247" si="109">J246</f>
        <v>1478606.2500000002</v>
      </c>
      <c r="L246" s="739">
        <f t="shared" si="109"/>
        <v>1478606.2500000002</v>
      </c>
      <c r="M246" s="739">
        <f t="shared" si="109"/>
        <v>1478606.2500000002</v>
      </c>
      <c r="N246" s="739">
        <f t="shared" si="109"/>
        <v>1478606.2500000002</v>
      </c>
      <c r="O246" s="739">
        <f t="shared" si="109"/>
        <v>1478606.2500000002</v>
      </c>
      <c r="P246" s="739">
        <f t="shared" si="109"/>
        <v>1478606.2500000002</v>
      </c>
      <c r="Q246" s="739">
        <f t="shared" si="109"/>
        <v>1478606.2500000002</v>
      </c>
      <c r="R246" s="739">
        <f t="shared" si="109"/>
        <v>1478606.2500000002</v>
      </c>
      <c r="S246" s="739">
        <f t="shared" si="109"/>
        <v>1478606.2500000002</v>
      </c>
      <c r="T246" s="739">
        <f t="shared" si="109"/>
        <v>1478606.2500000002</v>
      </c>
      <c r="U246" s="739">
        <f t="shared" si="109"/>
        <v>1478606.2500000002</v>
      </c>
      <c r="V246" s="739">
        <f t="shared" si="109"/>
        <v>1478606.2500000002</v>
      </c>
      <c r="W246" s="739">
        <f t="shared" si="109"/>
        <v>1478606.2500000002</v>
      </c>
      <c r="X246" s="744"/>
      <c r="Y246" s="766"/>
    </row>
    <row r="247" spans="2:25" x14ac:dyDescent="0.2">
      <c r="D247" s="162"/>
      <c r="E247" s="743" t="s">
        <v>830</v>
      </c>
      <c r="F247" s="743" t="s">
        <v>836</v>
      </c>
      <c r="G247" s="738"/>
      <c r="H247" s="743"/>
      <c r="I247" s="743">
        <v>0</v>
      </c>
      <c r="J247" s="743">
        <f>I247</f>
        <v>0</v>
      </c>
      <c r="K247" s="743">
        <f t="shared" si="109"/>
        <v>0</v>
      </c>
      <c r="L247" s="743">
        <f t="shared" si="109"/>
        <v>0</v>
      </c>
      <c r="M247" s="743">
        <f t="shared" si="109"/>
        <v>0</v>
      </c>
      <c r="N247" s="743">
        <f t="shared" si="109"/>
        <v>0</v>
      </c>
      <c r="O247" s="743">
        <f t="shared" si="109"/>
        <v>0</v>
      </c>
      <c r="P247" s="743">
        <f t="shared" si="109"/>
        <v>0</v>
      </c>
      <c r="Q247" s="743">
        <f t="shared" si="109"/>
        <v>0</v>
      </c>
      <c r="R247" s="743">
        <f t="shared" si="109"/>
        <v>0</v>
      </c>
      <c r="S247" s="743">
        <f t="shared" si="109"/>
        <v>0</v>
      </c>
      <c r="T247" s="743">
        <f t="shared" si="109"/>
        <v>0</v>
      </c>
      <c r="U247" s="743">
        <f t="shared" si="109"/>
        <v>0</v>
      </c>
      <c r="V247" s="743">
        <f t="shared" si="109"/>
        <v>0</v>
      </c>
      <c r="W247" s="743">
        <f t="shared" si="109"/>
        <v>0</v>
      </c>
      <c r="X247" s="744"/>
      <c r="Y247" s="766"/>
    </row>
    <row r="248" spans="2:25" x14ac:dyDescent="0.2">
      <c r="B248" s="731" t="str">
        <f>"Total Depreciation "&amp;D244&amp;" ("&amp;"Straight-Line"&amp;") over 30 years"</f>
        <v>Total Depreciation B-Syrup (Sucrosic) (Straight-Line) over 30 years</v>
      </c>
      <c r="D248" s="162"/>
      <c r="E248" s="743" t="s">
        <v>831</v>
      </c>
      <c r="F248" s="743" t="s">
        <v>836</v>
      </c>
      <c r="G248" s="738"/>
      <c r="H248" s="743"/>
      <c r="I248" s="890">
        <f>$H250/$K$4+I246*$K$9/$K$5</f>
        <v>4953330.9375</v>
      </c>
      <c r="J248" s="739">
        <f>$H250/$K$4+SUM($I246:I246)/$K$5+J246*$K$9/$K$5</f>
        <v>5002617.8125</v>
      </c>
      <c r="K248" s="739">
        <f>$H250/$K$4+SUM($I246:J246)/$K$5+K246*$K$9/$K$5</f>
        <v>5051904.6875</v>
      </c>
      <c r="L248" s="739">
        <f>$H250/$K$4+SUM($I246:K246)/$K$5+L246*$K$9/$K$5</f>
        <v>5101191.5625</v>
      </c>
      <c r="M248" s="739">
        <f>$H250/$K$4+SUM($I246:L246)/$K$5+M246*$K$9/$K$5</f>
        <v>5150478.4375</v>
      </c>
      <c r="N248" s="739">
        <f>$H250/$K$4+SUM($I246:M246)/$K$5+N246*$K$9/$K$5</f>
        <v>5199765.3125</v>
      </c>
      <c r="O248" s="739">
        <f>$H250/$K$4+SUM($I246:N246)/$K$5+O246*$K$9/$K$5</f>
        <v>5249052.1875</v>
      </c>
      <c r="P248" s="739">
        <f>$H250/$K$4+SUM($I246:O246)/$K$5+P246*$K$9/$K$5</f>
        <v>5298339.0625</v>
      </c>
      <c r="Q248" s="739">
        <f>$H250/$K$4+SUM($I246:P246)/$K$5+Q246*$K$9/$K$5</f>
        <v>5347625.9375</v>
      </c>
      <c r="R248" s="739">
        <f>$H250/$K$4+SUM($I246:Q246)/$K$5+R246*$K$9/$K$5</f>
        <v>5396912.8125</v>
      </c>
      <c r="S248" s="739">
        <f>$H250/$K$4+SUM($I246:R246)/$K$5+S246*$K$9/$K$5</f>
        <v>5446199.6875</v>
      </c>
      <c r="T248" s="739">
        <f>$H250/$K$4+SUM($I246:S246)/$K$5+T246*$K$9/$K$5</f>
        <v>5495486.5625</v>
      </c>
      <c r="U248" s="739">
        <f>$H250/$K$4+SUM($I246:T246)/$K$5+U246*$K$9/$K$5</f>
        <v>5544773.4375</v>
      </c>
      <c r="V248" s="739">
        <f>$H250/$K$4+SUM($I246:U246)/$K$5+V246*$K$9/$K$5</f>
        <v>5594060.3125</v>
      </c>
      <c r="W248" s="739">
        <f>$H250/$K$4+SUM($I246:V246)/$K$5+W246*$K$9/$K$5</f>
        <v>5643347.1875</v>
      </c>
      <c r="X248" s="744"/>
      <c r="Y248" s="766"/>
    </row>
    <row r="249" spans="2:25" x14ac:dyDescent="0.2">
      <c r="D249" s="162"/>
      <c r="E249" s="743" t="s">
        <v>832</v>
      </c>
      <c r="F249" s="743" t="s">
        <v>836</v>
      </c>
      <c r="G249" s="738"/>
      <c r="H249" s="743"/>
      <c r="I249" s="743">
        <v>0</v>
      </c>
      <c r="J249" s="743">
        <v>0</v>
      </c>
      <c r="K249" s="743">
        <v>0</v>
      </c>
      <c r="L249" s="743">
        <v>0</v>
      </c>
      <c r="M249" s="743">
        <v>0</v>
      </c>
      <c r="N249" s="743">
        <v>0</v>
      </c>
      <c r="O249" s="743">
        <v>0</v>
      </c>
      <c r="P249" s="743">
        <v>0</v>
      </c>
      <c r="Q249" s="743">
        <v>0</v>
      </c>
      <c r="R249" s="743">
        <v>0</v>
      </c>
      <c r="S249" s="743">
        <v>0</v>
      </c>
      <c r="T249" s="743">
        <v>0</v>
      </c>
      <c r="U249" s="743">
        <v>0</v>
      </c>
      <c r="V249" s="743">
        <v>0</v>
      </c>
      <c r="W249" s="743">
        <v>0</v>
      </c>
      <c r="X249" s="744"/>
      <c r="Y249" s="766"/>
    </row>
    <row r="250" spans="2:25" x14ac:dyDescent="0.2">
      <c r="B250" s="731" t="str">
        <f>"Total Depreciation "&amp;D244&amp;" ("&amp;"Straight-Line"&amp;") over 30 years"</f>
        <v>Total Depreciation B-Syrup (Sucrosic) (Straight-Line) over 30 years</v>
      </c>
      <c r="D250" s="162"/>
      <c r="E250" s="743" t="s">
        <v>833</v>
      </c>
      <c r="F250" s="743" t="s">
        <v>836</v>
      </c>
      <c r="G250" s="738"/>
      <c r="H250" s="739">
        <f>INDEX($F$33:$F$40,MATCH(B250,$B$33:$B$40,0))</f>
        <v>147860625</v>
      </c>
      <c r="I250" s="739">
        <f>I245+I246-I248</f>
        <v>144385900.3125</v>
      </c>
      <c r="J250" s="739">
        <f>J245+J246-J248</f>
        <v>140861888.75</v>
      </c>
      <c r="K250" s="739">
        <f t="shared" ref="K250:W250" si="110">K245+K246-K248</f>
        <v>137288590.3125</v>
      </c>
      <c r="L250" s="739">
        <f t="shared" si="110"/>
        <v>133666005</v>
      </c>
      <c r="M250" s="739">
        <f t="shared" si="110"/>
        <v>129994132.8125</v>
      </c>
      <c r="N250" s="739">
        <f t="shared" si="110"/>
        <v>126272973.75</v>
      </c>
      <c r="O250" s="739">
        <f t="shared" si="110"/>
        <v>122502527.8125</v>
      </c>
      <c r="P250" s="739">
        <f t="shared" si="110"/>
        <v>118682795</v>
      </c>
      <c r="Q250" s="739">
        <f t="shared" si="110"/>
        <v>114813775.3125</v>
      </c>
      <c r="R250" s="739">
        <f t="shared" si="110"/>
        <v>110895468.75</v>
      </c>
      <c r="S250" s="739">
        <f t="shared" si="110"/>
        <v>106927875.3125</v>
      </c>
      <c r="T250" s="739">
        <f t="shared" si="110"/>
        <v>102910995</v>
      </c>
      <c r="U250" s="739">
        <f t="shared" si="110"/>
        <v>98844827.8125</v>
      </c>
      <c r="V250" s="739">
        <f t="shared" si="110"/>
        <v>94729373.75</v>
      </c>
      <c r="W250" s="739">
        <f t="shared" si="110"/>
        <v>90564632.8125</v>
      </c>
      <c r="X250" s="744"/>
      <c r="Y250" s="766"/>
    </row>
    <row r="251" spans="2:25" x14ac:dyDescent="0.2">
      <c r="E251" s="744"/>
      <c r="F251" s="744"/>
      <c r="G251" s="571"/>
      <c r="H251" s="744"/>
      <c r="I251" s="744"/>
      <c r="J251" s="744"/>
      <c r="K251" s="744"/>
      <c r="L251" s="744"/>
      <c r="M251" s="744"/>
      <c r="N251" s="744"/>
      <c r="O251" s="744"/>
      <c r="P251" s="744"/>
      <c r="Q251" s="744"/>
      <c r="R251" s="744"/>
      <c r="S251" s="744"/>
      <c r="T251" s="744"/>
      <c r="U251" s="744"/>
      <c r="V251" s="744"/>
      <c r="W251" s="744"/>
      <c r="X251" s="744"/>
      <c r="Y251" s="766"/>
    </row>
    <row r="252" spans="2:25" x14ac:dyDescent="0.2">
      <c r="D252" s="162"/>
      <c r="E252" s="881" t="s">
        <v>834</v>
      </c>
      <c r="F252" s="743"/>
      <c r="G252" s="738"/>
      <c r="H252" s="743"/>
      <c r="I252" s="739"/>
      <c r="J252" s="739"/>
      <c r="K252" s="739"/>
      <c r="L252" s="739"/>
      <c r="M252" s="739"/>
      <c r="N252" s="739"/>
      <c r="O252" s="739"/>
      <c r="P252" s="739"/>
      <c r="Q252" s="739"/>
      <c r="R252" s="739"/>
      <c r="S252" s="739"/>
      <c r="T252" s="739"/>
      <c r="U252" s="739"/>
      <c r="V252" s="739"/>
      <c r="W252" s="739"/>
      <c r="X252" s="744"/>
      <c r="Y252" s="766"/>
    </row>
    <row r="253" spans="2:25" x14ac:dyDescent="0.2">
      <c r="D253" s="162"/>
      <c r="E253" s="743" t="s">
        <v>835</v>
      </c>
      <c r="F253" s="743" t="s">
        <v>836</v>
      </c>
      <c r="G253" s="738"/>
      <c r="H253" s="743"/>
      <c r="I253" s="739">
        <f t="shared" ref="I253:W253" si="111">I245+I246*$K$9</f>
        <v>148599928.125</v>
      </c>
      <c r="J253" s="739">
        <f t="shared" si="111"/>
        <v>145125203.4375</v>
      </c>
      <c r="K253" s="739">
        <f t="shared" si="111"/>
        <v>141601191.875</v>
      </c>
      <c r="L253" s="739">
        <f t="shared" si="111"/>
        <v>138027893.4375</v>
      </c>
      <c r="M253" s="739">
        <f t="shared" si="111"/>
        <v>134405308.125</v>
      </c>
      <c r="N253" s="739">
        <f t="shared" si="111"/>
        <v>130733435.9375</v>
      </c>
      <c r="O253" s="739">
        <f t="shared" si="111"/>
        <v>127012276.875</v>
      </c>
      <c r="P253" s="739">
        <f t="shared" si="111"/>
        <v>123241830.9375</v>
      </c>
      <c r="Q253" s="739">
        <f t="shared" si="111"/>
        <v>119422098.125</v>
      </c>
      <c r="R253" s="739">
        <f t="shared" si="111"/>
        <v>115553078.4375</v>
      </c>
      <c r="S253" s="739">
        <f t="shared" si="111"/>
        <v>111634771.875</v>
      </c>
      <c r="T253" s="739">
        <f t="shared" si="111"/>
        <v>107667178.4375</v>
      </c>
      <c r="U253" s="739">
        <f t="shared" si="111"/>
        <v>103650298.125</v>
      </c>
      <c r="V253" s="739">
        <f t="shared" si="111"/>
        <v>99584130.9375</v>
      </c>
      <c r="W253" s="739">
        <f t="shared" si="111"/>
        <v>95468676.875</v>
      </c>
      <c r="X253" s="744" t="s">
        <v>948</v>
      </c>
      <c r="Y253" s="766"/>
    </row>
    <row r="254" spans="2:25" x14ac:dyDescent="0.2">
      <c r="D254" s="162"/>
      <c r="E254" s="743" t="str">
        <f>E$59</f>
        <v>Return on asset base (post-tax, year end value)</v>
      </c>
      <c r="F254" s="743" t="s">
        <v>836</v>
      </c>
      <c r="G254" s="738"/>
      <c r="H254" s="743"/>
      <c r="I254" s="739">
        <f t="shared" ref="I254:W254" si="112">I253*$K$3</f>
        <v>10253395.040625</v>
      </c>
      <c r="J254" s="739">
        <f t="shared" si="112"/>
        <v>10013639.0371875</v>
      </c>
      <c r="K254" s="739">
        <f t="shared" si="112"/>
        <v>9770482.2393750008</v>
      </c>
      <c r="L254" s="739">
        <f t="shared" si="112"/>
        <v>9523924.6471875012</v>
      </c>
      <c r="M254" s="739">
        <f t="shared" si="112"/>
        <v>9273966.260625001</v>
      </c>
      <c r="N254" s="739">
        <f t="shared" si="112"/>
        <v>9020607.0796875004</v>
      </c>
      <c r="O254" s="739">
        <f t="shared" si="112"/>
        <v>8763847.104375001</v>
      </c>
      <c r="P254" s="739">
        <f t="shared" si="112"/>
        <v>8503686.3346875012</v>
      </c>
      <c r="Q254" s="739">
        <f t="shared" si="112"/>
        <v>8240124.7706250008</v>
      </c>
      <c r="R254" s="739">
        <f t="shared" si="112"/>
        <v>7973162.4121875009</v>
      </c>
      <c r="S254" s="739">
        <f t="shared" si="112"/>
        <v>7702799.2593750004</v>
      </c>
      <c r="T254" s="739">
        <f t="shared" si="112"/>
        <v>7429035.3121875003</v>
      </c>
      <c r="U254" s="739">
        <f t="shared" si="112"/>
        <v>7151870.5706250006</v>
      </c>
      <c r="V254" s="739">
        <f t="shared" si="112"/>
        <v>6871305.0346875004</v>
      </c>
      <c r="W254" s="739">
        <f t="shared" si="112"/>
        <v>6587338.7043750007</v>
      </c>
      <c r="X254" s="744"/>
      <c r="Y254" s="766"/>
    </row>
    <row r="255" spans="2:25" x14ac:dyDescent="0.2">
      <c r="E255" s="744"/>
      <c r="F255" s="744"/>
      <c r="G255" s="571"/>
      <c r="H255" s="744"/>
      <c r="I255" s="744"/>
      <c r="J255" s="744"/>
      <c r="K255" s="744"/>
      <c r="L255" s="744"/>
      <c r="M255" s="744"/>
      <c r="N255" s="744"/>
      <c r="O255" s="744"/>
      <c r="P255" s="744"/>
      <c r="Q255" s="744"/>
      <c r="R255" s="744"/>
      <c r="S255" s="744"/>
      <c r="T255" s="744"/>
      <c r="U255" s="744"/>
      <c r="V255" s="744"/>
      <c r="W255" s="744"/>
      <c r="X255" s="744"/>
      <c r="Y255" s="766"/>
    </row>
    <row r="256" spans="2:25" x14ac:dyDescent="0.2">
      <c r="E256" s="744" t="str">
        <f>E217</f>
        <v>Return on asset base + depn, mid-year value</v>
      </c>
      <c r="F256" s="744"/>
      <c r="G256" s="571"/>
      <c r="H256" s="744"/>
      <c r="I256" s="891">
        <f>(I254+I248)/(1+$K$3)^0.5</f>
        <v>14707771.278832197</v>
      </c>
      <c r="J256" s="891">
        <f t="shared" ref="J256:W256" si="113">(J254+J248)/(1+$K$3)^0.5</f>
        <v>14523551.718305686</v>
      </c>
      <c r="K256" s="891">
        <f t="shared" si="113"/>
        <v>14336042.948392106</v>
      </c>
      <c r="L256" s="891">
        <f t="shared" si="113"/>
        <v>14145244.969091458</v>
      </c>
      <c r="M256" s="891">
        <f t="shared" si="113"/>
        <v>13951157.780403739</v>
      </c>
      <c r="N256" s="891">
        <f t="shared" si="113"/>
        <v>13753781.38232895</v>
      </c>
      <c r="O256" s="891">
        <f t="shared" si="113"/>
        <v>13553115.774867093</v>
      </c>
      <c r="P256" s="891">
        <f t="shared" si="113"/>
        <v>13349160.958018167</v>
      </c>
      <c r="Q256" s="891">
        <f t="shared" si="113"/>
        <v>13141916.931782171</v>
      </c>
      <c r="R256" s="891">
        <f t="shared" si="113"/>
        <v>12931383.696159108</v>
      </c>
      <c r="S256" s="891">
        <f t="shared" si="113"/>
        <v>12717561.251148971</v>
      </c>
      <c r="T256" s="891">
        <f t="shared" si="113"/>
        <v>12500449.596751768</v>
      </c>
      <c r="U256" s="891">
        <f t="shared" si="113"/>
        <v>12280048.732967494</v>
      </c>
      <c r="V256" s="891">
        <f t="shared" si="113"/>
        <v>12056358.659796152</v>
      </c>
      <c r="W256" s="891">
        <f t="shared" si="113"/>
        <v>11829379.377237741</v>
      </c>
      <c r="X256" s="744"/>
      <c r="Y256" s="766"/>
    </row>
    <row r="257" spans="5:25" x14ac:dyDescent="0.2">
      <c r="E257" s="744"/>
      <c r="F257" s="744"/>
      <c r="G257" s="571"/>
      <c r="H257" s="744"/>
      <c r="I257" s="744"/>
      <c r="J257" s="744"/>
      <c r="K257" s="744"/>
      <c r="L257" s="744"/>
      <c r="M257" s="744"/>
      <c r="N257" s="744"/>
      <c r="O257" s="744"/>
      <c r="P257" s="744"/>
      <c r="Q257" s="744"/>
      <c r="R257" s="744"/>
      <c r="S257" s="744"/>
      <c r="T257" s="744"/>
      <c r="U257" s="744"/>
      <c r="V257" s="744"/>
      <c r="W257" s="744"/>
      <c r="X257" s="744"/>
      <c r="Y257" s="766"/>
    </row>
    <row r="258" spans="5:25" x14ac:dyDescent="0.2">
      <c r="E258" s="254" t="str">
        <f>E$63</f>
        <v>Tax depreciation</v>
      </c>
      <c r="F258" s="515"/>
      <c r="G258" s="656"/>
      <c r="H258" s="515"/>
      <c r="I258" s="894"/>
      <c r="J258" s="894"/>
      <c r="K258" s="894"/>
      <c r="L258" s="894"/>
      <c r="M258" s="894"/>
      <c r="N258" s="894"/>
      <c r="O258" s="894"/>
      <c r="P258" s="894"/>
      <c r="Q258" s="894"/>
      <c r="R258" s="894"/>
      <c r="S258" s="894"/>
      <c r="T258" s="894"/>
      <c r="U258" s="894"/>
      <c r="V258" s="894"/>
      <c r="W258" s="894"/>
      <c r="X258" s="744"/>
      <c r="Y258" s="766"/>
    </row>
    <row r="259" spans="5:25" x14ac:dyDescent="0.2">
      <c r="E259" s="515" t="str">
        <f>E$64</f>
        <v>Opening TVA</v>
      </c>
      <c r="F259" s="515" t="str">
        <f>F$64</f>
        <v>$'000 nominal</v>
      </c>
      <c r="G259" s="656"/>
      <c r="H259" s="744"/>
      <c r="I259" s="890">
        <f>H264</f>
        <v>151409280</v>
      </c>
      <c r="J259" s="891">
        <f t="shared" ref="J259:W259" si="114">I264</f>
        <v>147886894.51008001</v>
      </c>
      <c r="K259" s="891">
        <f t="shared" si="114"/>
        <v>144349418.15816191</v>
      </c>
      <c r="L259" s="891">
        <f t="shared" si="114"/>
        <v>140796488.76355779</v>
      </c>
      <c r="M259" s="891">
        <f t="shared" si="114"/>
        <v>137227735.4532432</v>
      </c>
      <c r="N259" s="891">
        <f t="shared" si="114"/>
        <v>133642778.45324104</v>
      </c>
      <c r="O259" s="891">
        <f t="shared" si="114"/>
        <v>130041228.87499882</v>
      </c>
      <c r="P259" s="891">
        <f t="shared" si="114"/>
        <v>126422688.4966388</v>
      </c>
      <c r="Q259" s="891">
        <f t="shared" si="114"/>
        <v>122786749.53895813</v>
      </c>
      <c r="R259" s="891">
        <f t="shared" si="114"/>
        <v>119132994.43605313</v>
      </c>
      <c r="S259" s="891">
        <f t="shared" si="114"/>
        <v>115460995.6004384</v>
      </c>
      <c r="T259" s="891">
        <f t="shared" si="114"/>
        <v>111770315.18252893</v>
      </c>
      <c r="U259" s="891">
        <f t="shared" si="114"/>
        <v>108060504.82434961</v>
      </c>
      <c r="V259" s="891">
        <f t="shared" si="114"/>
        <v>104331105.407334</v>
      </c>
      <c r="W259" s="891">
        <f t="shared" si="114"/>
        <v>100581646.79407002</v>
      </c>
      <c r="X259" s="744"/>
      <c r="Y259" s="766"/>
    </row>
    <row r="260" spans="5:25" x14ac:dyDescent="0.2">
      <c r="E260" s="515" t="str">
        <f>E$65</f>
        <v xml:space="preserve">  capex net of capital contributions </v>
      </c>
      <c r="F260" s="515" t="str">
        <f>F$65</f>
        <v>$'000 nominal</v>
      </c>
      <c r="G260" s="656"/>
      <c r="H260" s="744"/>
      <c r="I260" s="891">
        <f t="shared" ref="I260:W260" si="115">I246*I$48</f>
        <v>1550431.0272000001</v>
      </c>
      <c r="J260" s="891">
        <f t="shared" si="115"/>
        <v>1587641.3718528003</v>
      </c>
      <c r="K260" s="891">
        <f t="shared" si="115"/>
        <v>1625744.7647772678</v>
      </c>
      <c r="L260" s="891">
        <f t="shared" si="115"/>
        <v>1664762.6391319223</v>
      </c>
      <c r="M260" s="891">
        <f t="shared" si="115"/>
        <v>1704716.9424710884</v>
      </c>
      <c r="N260" s="891">
        <f t="shared" si="115"/>
        <v>1745630.1490903946</v>
      </c>
      <c r="O260" s="891">
        <f t="shared" si="115"/>
        <v>1787525.272668564</v>
      </c>
      <c r="P260" s="891">
        <f t="shared" si="115"/>
        <v>1830425.8792126097</v>
      </c>
      <c r="Q260" s="891">
        <f t="shared" si="115"/>
        <v>1874356.1003137126</v>
      </c>
      <c r="R260" s="891">
        <f t="shared" si="115"/>
        <v>1919340.6467212415</v>
      </c>
      <c r="S260" s="891">
        <f t="shared" si="115"/>
        <v>1965404.8222425515</v>
      </c>
      <c r="T260" s="891">
        <f t="shared" si="115"/>
        <v>2012574.5379763725</v>
      </c>
      <c r="U260" s="891">
        <f t="shared" si="115"/>
        <v>2060876.3268878057</v>
      </c>
      <c r="V260" s="891">
        <f t="shared" si="115"/>
        <v>2110337.3587331134</v>
      </c>
      <c r="W260" s="891">
        <f t="shared" si="115"/>
        <v>2160985.4553427082</v>
      </c>
      <c r="X260" s="744"/>
      <c r="Y260" s="766"/>
    </row>
    <row r="261" spans="5:25" x14ac:dyDescent="0.2">
      <c r="E261" s="515" t="str">
        <f>E$66</f>
        <v xml:space="preserve">  disposals </v>
      </c>
      <c r="F261" s="515" t="str">
        <f>F$66</f>
        <v>$'000 nominal</v>
      </c>
      <c r="G261" s="656"/>
      <c r="H261" s="744"/>
      <c r="I261" s="744"/>
      <c r="J261" s="744"/>
      <c r="K261" s="744"/>
      <c r="L261" s="744"/>
      <c r="M261" s="744"/>
      <c r="N261" s="744"/>
      <c r="O261" s="744"/>
      <c r="P261" s="744"/>
      <c r="Q261" s="744"/>
      <c r="R261" s="744"/>
      <c r="S261" s="744"/>
      <c r="T261" s="744"/>
      <c r="U261" s="744"/>
      <c r="V261" s="744"/>
      <c r="W261" s="744"/>
      <c r="X261" s="744"/>
      <c r="Y261" s="766"/>
    </row>
    <row r="262" spans="5:25" x14ac:dyDescent="0.2">
      <c r="E262" s="515" t="str">
        <f>E$67</f>
        <v xml:space="preserve">  depreciation</v>
      </c>
      <c r="F262" s="515" t="str">
        <f>F$67</f>
        <v>$'000 nominal</v>
      </c>
      <c r="G262" s="656"/>
      <c r="H262" s="744"/>
      <c r="I262" s="890">
        <f>$H264/$K$4+I260*$K$9/$K$5</f>
        <v>5072816.51712</v>
      </c>
      <c r="J262" s="739">
        <f>$H264/$K$4+SUM($I260:I260)/$K$5+J260*$K$9/$K$5</f>
        <v>5125117.7237708801</v>
      </c>
      <c r="K262" s="739">
        <f>$H264/$K$4+SUM($I260:J260)/$K$5+K260*$K$9/$K$5</f>
        <v>5178674.1593813812</v>
      </c>
      <c r="L262" s="739">
        <f>$H264/$K$4+SUM($I260:K260)/$K$5+L260*$K$9/$K$5</f>
        <v>5233515.9494465338</v>
      </c>
      <c r="M262" s="739">
        <f>$H264/$K$4+SUM($I260:L260)/$K$5+M260*$K$9/$K$5</f>
        <v>5289673.9424732514</v>
      </c>
      <c r="N262" s="739">
        <f>$H264/$K$4+SUM($I260:M260)/$K$5+N260*$K$9/$K$5</f>
        <v>5347179.7273326097</v>
      </c>
      <c r="O262" s="739">
        <f>$H264/$K$4+SUM($I260:N260)/$K$5+O260*$K$9/$K$5</f>
        <v>5406065.6510285912</v>
      </c>
      <c r="P262" s="739">
        <f>$H264/$K$4+SUM($I260:O260)/$K$5+P260*$K$9/$K$5</f>
        <v>5466364.8368932782</v>
      </c>
      <c r="Q262" s="739">
        <f>$H264/$K$4+SUM($I260:P260)/$K$5+Q260*$K$9/$K$5</f>
        <v>5528111.2032187171</v>
      </c>
      <c r="R262" s="739">
        <f>$H264/$K$4+SUM($I260:Q260)/$K$5+R260*$K$9/$K$5</f>
        <v>5591339.4823359661</v>
      </c>
      <c r="S262" s="739">
        <f>$H264/$K$4+SUM($I260:R260)/$K$5+S260*$K$9/$K$5</f>
        <v>5656085.2401520293</v>
      </c>
      <c r="T262" s="739">
        <f>$H264/$K$4+SUM($I260:S260)/$K$5+T260*$K$9/$K$5</f>
        <v>5722384.8961556777</v>
      </c>
      <c r="U262" s="739">
        <f>$H264/$K$4+SUM($I260:T260)/$K$5+U260*$K$9/$K$5</f>
        <v>5790275.7439034143</v>
      </c>
      <c r="V262" s="739">
        <f>$H264/$K$4+SUM($I260:U260)/$K$5+V260*$K$9/$K$5</f>
        <v>5859795.9719970962</v>
      </c>
      <c r="W262" s="739">
        <f>$H264/$K$4+SUM($I260:V260)/$K$5+W260*$K$9/$K$5</f>
        <v>5930984.6855650265</v>
      </c>
      <c r="X262" s="744"/>
      <c r="Y262" s="766"/>
    </row>
    <row r="263" spans="5:25" x14ac:dyDescent="0.2">
      <c r="E263" s="515" t="str">
        <f>E$68</f>
        <v xml:space="preserve">  no indexation for TVA</v>
      </c>
      <c r="F263" s="515" t="str">
        <f>F$68</f>
        <v>$'000 nominal</v>
      </c>
      <c r="G263" s="656"/>
      <c r="H263" s="744"/>
      <c r="I263" s="891"/>
      <c r="J263" s="744"/>
      <c r="K263" s="744"/>
      <c r="L263" s="744"/>
      <c r="M263" s="744"/>
      <c r="N263" s="744"/>
      <c r="O263" s="744"/>
      <c r="P263" s="744"/>
      <c r="Q263" s="744"/>
      <c r="R263" s="744"/>
      <c r="S263" s="744"/>
      <c r="T263" s="744"/>
      <c r="U263" s="744"/>
      <c r="V263" s="744"/>
      <c r="W263" s="744"/>
      <c r="X263" s="744"/>
      <c r="Y263" s="766"/>
    </row>
    <row r="264" spans="5:25" x14ac:dyDescent="0.2">
      <c r="E264" s="515" t="str">
        <f>E$69</f>
        <v>Closing TVA</v>
      </c>
      <c r="F264" s="515" t="str">
        <f>F$69</f>
        <v>$'000 nominal</v>
      </c>
      <c r="G264" s="656"/>
      <c r="H264" s="890">
        <f>H250*H$48</f>
        <v>151409280</v>
      </c>
      <c r="I264" s="891">
        <f>I259+I260-I262</f>
        <v>147886894.51008001</v>
      </c>
      <c r="J264" s="891">
        <f t="shared" ref="J264:W264" si="116">J259+J260-J262</f>
        <v>144349418.15816191</v>
      </c>
      <c r="K264" s="891">
        <f t="shared" si="116"/>
        <v>140796488.76355779</v>
      </c>
      <c r="L264" s="891">
        <f t="shared" si="116"/>
        <v>137227735.4532432</v>
      </c>
      <c r="M264" s="891">
        <f t="shared" si="116"/>
        <v>133642778.45324104</v>
      </c>
      <c r="N264" s="891">
        <f t="shared" si="116"/>
        <v>130041228.87499882</v>
      </c>
      <c r="O264" s="891">
        <f t="shared" si="116"/>
        <v>126422688.4966388</v>
      </c>
      <c r="P264" s="891">
        <f t="shared" si="116"/>
        <v>122786749.53895813</v>
      </c>
      <c r="Q264" s="891">
        <f t="shared" si="116"/>
        <v>119132994.43605313</v>
      </c>
      <c r="R264" s="891">
        <f t="shared" si="116"/>
        <v>115460995.6004384</v>
      </c>
      <c r="S264" s="891">
        <f t="shared" si="116"/>
        <v>111770315.18252893</v>
      </c>
      <c r="T264" s="891">
        <f t="shared" si="116"/>
        <v>108060504.82434961</v>
      </c>
      <c r="U264" s="891">
        <f t="shared" si="116"/>
        <v>104331105.407334</v>
      </c>
      <c r="V264" s="891">
        <f t="shared" si="116"/>
        <v>100581646.79407002</v>
      </c>
      <c r="W264" s="891">
        <f t="shared" si="116"/>
        <v>96811647.563847706</v>
      </c>
      <c r="X264" s="744"/>
      <c r="Y264" s="766"/>
    </row>
    <row r="265" spans="5:25" x14ac:dyDescent="0.2">
      <c r="E265" s="515"/>
      <c r="F265" s="515"/>
      <c r="G265" s="656"/>
      <c r="H265" s="744"/>
      <c r="I265" s="744"/>
      <c r="J265" s="744"/>
      <c r="K265" s="744"/>
      <c r="L265" s="744"/>
      <c r="M265" s="744"/>
      <c r="N265" s="744"/>
      <c r="O265" s="744"/>
      <c r="P265" s="744"/>
      <c r="Q265" s="744"/>
      <c r="R265" s="744"/>
      <c r="S265" s="744"/>
      <c r="T265" s="744"/>
      <c r="U265" s="744"/>
      <c r="V265" s="744"/>
      <c r="W265" s="744"/>
      <c r="X265" s="744"/>
      <c r="Y265" s="766"/>
    </row>
    <row r="266" spans="5:25" x14ac:dyDescent="0.2">
      <c r="E266" s="254" t="str">
        <f>E$71</f>
        <v xml:space="preserve">Tax allowance </v>
      </c>
      <c r="F266" s="515"/>
      <c r="G266" s="656"/>
      <c r="H266" s="744"/>
      <c r="I266" s="744"/>
      <c r="J266" s="744"/>
      <c r="K266" s="744"/>
      <c r="L266" s="744"/>
      <c r="M266" s="744"/>
      <c r="N266" s="744"/>
      <c r="O266" s="744"/>
      <c r="P266" s="744"/>
      <c r="Q266" s="744"/>
      <c r="R266" s="744"/>
      <c r="S266" s="744"/>
      <c r="T266" s="744"/>
      <c r="U266" s="744"/>
      <c r="V266" s="744"/>
      <c r="W266" s="744"/>
      <c r="X266" s="744"/>
      <c r="Y266" s="766"/>
    </row>
    <row r="267" spans="5:25" x14ac:dyDescent="0.2">
      <c r="E267" s="515" t="str">
        <f>E$72</f>
        <v>Required revenue excluding tax liability and opex</v>
      </c>
      <c r="F267" s="515" t="str">
        <f>F$72</f>
        <v>$'000 nominal</v>
      </c>
      <c r="G267" s="656"/>
      <c r="H267" s="744" t="s">
        <v>957</v>
      </c>
      <c r="I267" s="891">
        <f>I256</f>
        <v>14707771.278832197</v>
      </c>
      <c r="J267" s="891">
        <f t="shared" ref="J267:W267" si="117">J256</f>
        <v>14523551.718305686</v>
      </c>
      <c r="K267" s="891">
        <f t="shared" si="117"/>
        <v>14336042.948392106</v>
      </c>
      <c r="L267" s="891">
        <f t="shared" si="117"/>
        <v>14145244.969091458</v>
      </c>
      <c r="M267" s="891">
        <f t="shared" si="117"/>
        <v>13951157.780403739</v>
      </c>
      <c r="N267" s="891">
        <f t="shared" si="117"/>
        <v>13753781.38232895</v>
      </c>
      <c r="O267" s="891">
        <f t="shared" si="117"/>
        <v>13553115.774867093</v>
      </c>
      <c r="P267" s="891">
        <f t="shared" si="117"/>
        <v>13349160.958018167</v>
      </c>
      <c r="Q267" s="891">
        <f t="shared" si="117"/>
        <v>13141916.931782171</v>
      </c>
      <c r="R267" s="891">
        <f t="shared" si="117"/>
        <v>12931383.696159108</v>
      </c>
      <c r="S267" s="891">
        <f t="shared" si="117"/>
        <v>12717561.251148971</v>
      </c>
      <c r="T267" s="891">
        <f t="shared" si="117"/>
        <v>12500449.596751768</v>
      </c>
      <c r="U267" s="891">
        <f t="shared" si="117"/>
        <v>12280048.732967494</v>
      </c>
      <c r="V267" s="891">
        <f t="shared" si="117"/>
        <v>12056358.659796152</v>
      </c>
      <c r="W267" s="891">
        <f t="shared" si="117"/>
        <v>11829379.377237741</v>
      </c>
      <c r="X267" s="744"/>
      <c r="Y267" s="766"/>
    </row>
    <row r="268" spans="5:25" x14ac:dyDescent="0.2">
      <c r="E268" s="515" t="str">
        <f>E$73</f>
        <v xml:space="preserve">  less</v>
      </c>
      <c r="F268" s="515"/>
      <c r="G268" s="656"/>
      <c r="H268" s="744" t="s">
        <v>959</v>
      </c>
      <c r="I268" s="891"/>
      <c r="J268" s="891"/>
      <c r="K268" s="891"/>
      <c r="L268" s="891"/>
      <c r="M268" s="891"/>
      <c r="N268" s="891"/>
      <c r="O268" s="891"/>
      <c r="P268" s="891"/>
      <c r="Q268" s="891"/>
      <c r="R268" s="891"/>
      <c r="S268" s="891"/>
      <c r="T268" s="891"/>
      <c r="U268" s="891"/>
      <c r="V268" s="891"/>
      <c r="W268" s="891"/>
      <c r="X268" s="744"/>
      <c r="Y268" s="766"/>
    </row>
    <row r="269" spans="5:25" x14ac:dyDescent="0.2">
      <c r="E269" s="515" t="str">
        <f>E$74</f>
        <v>NA - Operating expenditure</v>
      </c>
      <c r="F269" s="515" t="str">
        <f>F$74</f>
        <v>$'000 nominal</v>
      </c>
      <c r="G269" s="656"/>
      <c r="H269" s="744"/>
      <c r="I269" s="891">
        <v>0</v>
      </c>
      <c r="J269" s="891">
        <v>0</v>
      </c>
      <c r="K269" s="891">
        <v>0</v>
      </c>
      <c r="L269" s="891">
        <v>0</v>
      </c>
      <c r="M269" s="891">
        <v>0</v>
      </c>
      <c r="N269" s="891">
        <v>0</v>
      </c>
      <c r="O269" s="891">
        <v>0</v>
      </c>
      <c r="P269" s="891">
        <v>0</v>
      </c>
      <c r="Q269" s="891">
        <v>0</v>
      </c>
      <c r="R269" s="891">
        <v>0</v>
      </c>
      <c r="S269" s="891">
        <v>0</v>
      </c>
      <c r="T269" s="891">
        <v>0</v>
      </c>
      <c r="U269" s="891">
        <v>0</v>
      </c>
      <c r="V269" s="891">
        <v>0</v>
      </c>
      <c r="W269" s="891">
        <v>0</v>
      </c>
      <c r="X269" s="744"/>
      <c r="Y269" s="766"/>
    </row>
    <row r="270" spans="5:25" x14ac:dyDescent="0.2">
      <c r="E270" s="515" t="str">
        <f>E$75</f>
        <v>Tax depreciation</v>
      </c>
      <c r="F270" s="515" t="str">
        <f>F$75</f>
        <v>$'000 nominal</v>
      </c>
      <c r="G270" s="656"/>
      <c r="H270" s="744"/>
      <c r="I270" s="891">
        <f>I262</f>
        <v>5072816.51712</v>
      </c>
      <c r="J270" s="891">
        <f t="shared" ref="J270:W270" si="118">J262</f>
        <v>5125117.7237708801</v>
      </c>
      <c r="K270" s="891">
        <f t="shared" si="118"/>
        <v>5178674.1593813812</v>
      </c>
      <c r="L270" s="891">
        <f t="shared" si="118"/>
        <v>5233515.9494465338</v>
      </c>
      <c r="M270" s="891">
        <f t="shared" si="118"/>
        <v>5289673.9424732514</v>
      </c>
      <c r="N270" s="891">
        <f t="shared" si="118"/>
        <v>5347179.7273326097</v>
      </c>
      <c r="O270" s="891">
        <f t="shared" si="118"/>
        <v>5406065.6510285912</v>
      </c>
      <c r="P270" s="891">
        <f t="shared" si="118"/>
        <v>5466364.8368932782</v>
      </c>
      <c r="Q270" s="891">
        <f t="shared" si="118"/>
        <v>5528111.2032187171</v>
      </c>
      <c r="R270" s="891">
        <f t="shared" si="118"/>
        <v>5591339.4823359661</v>
      </c>
      <c r="S270" s="891">
        <f t="shared" si="118"/>
        <v>5656085.2401520293</v>
      </c>
      <c r="T270" s="891">
        <f t="shared" si="118"/>
        <v>5722384.8961556777</v>
      </c>
      <c r="U270" s="891">
        <f t="shared" si="118"/>
        <v>5790275.7439034143</v>
      </c>
      <c r="V270" s="891">
        <f t="shared" si="118"/>
        <v>5859795.9719970962</v>
      </c>
      <c r="W270" s="891">
        <f t="shared" si="118"/>
        <v>5930984.6855650265</v>
      </c>
      <c r="X270" s="744"/>
      <c r="Y270" s="766"/>
    </row>
    <row r="271" spans="5:25" x14ac:dyDescent="0.2">
      <c r="E271" s="515" t="str">
        <f>E$76</f>
        <v>Interest deductible</v>
      </c>
      <c r="F271" s="515" t="str">
        <f>F$76</f>
        <v>$'000 nominal</v>
      </c>
      <c r="G271" s="656"/>
      <c r="H271" s="744"/>
      <c r="I271" s="891">
        <f>AVERAGE(I245,I250)*I$48*$K$10*$K$11</f>
        <v>1608824.1357619201</v>
      </c>
      <c r="J271" s="891">
        <f t="shared" ref="J271:W271" si="119">AVERAGE(J245,J250)*J$48*$K$10*$K$11</f>
        <v>1607983.0269296642</v>
      </c>
      <c r="K271" s="891">
        <f t="shared" si="119"/>
        <v>1605605.8515035894</v>
      </c>
      <c r="L271" s="891">
        <f t="shared" si="119"/>
        <v>1601605.7065098549</v>
      </c>
      <c r="M271" s="891">
        <f t="shared" si="119"/>
        <v>1595892.0746560902</v>
      </c>
      <c r="N271" s="891">
        <f t="shared" si="119"/>
        <v>1588370.6930342135</v>
      </c>
      <c r="O271" s="891">
        <f t="shared" si="119"/>
        <v>1578943.417414051</v>
      </c>
      <c r="P271" s="891">
        <f t="shared" si="119"/>
        <v>1567508.0819872085</v>
      </c>
      <c r="Q271" s="891">
        <f t="shared" si="119"/>
        <v>1553958.3544163371</v>
      </c>
      <c r="R271" s="891">
        <f t="shared" si="119"/>
        <v>1538183.586040487</v>
      </c>
      <c r="S271" s="891">
        <f t="shared" si="119"/>
        <v>1520068.6570826671</v>
      </c>
      <c r="T271" s="891">
        <f t="shared" si="119"/>
        <v>1499493.8167010208</v>
      </c>
      <c r="U271" s="891">
        <f t="shared" si="119"/>
        <v>1476334.5177201657</v>
      </c>
      <c r="V271" s="891">
        <f t="shared" si="119"/>
        <v>1450461.2458742529</v>
      </c>
      <c r="W271" s="891">
        <f t="shared" si="119"/>
        <v>1421739.3433881593</v>
      </c>
      <c r="X271" s="744" t="s">
        <v>962</v>
      </c>
      <c r="Y271" s="766"/>
    </row>
    <row r="272" spans="5:25" x14ac:dyDescent="0.2">
      <c r="E272" s="515" t="str">
        <f>E$77</f>
        <v>Taxable income for the year</v>
      </c>
      <c r="F272" s="515" t="str">
        <f>F$77</f>
        <v>$'000 nominal</v>
      </c>
      <c r="G272" s="656"/>
      <c r="H272" s="744"/>
      <c r="I272" s="891">
        <f>I267-I270-I271</f>
        <v>8026130.6259502769</v>
      </c>
      <c r="J272" s="891">
        <f t="shared" ref="J272:W272" si="120">J267-J270-J271</f>
        <v>7790450.967605141</v>
      </c>
      <c r="K272" s="891">
        <f t="shared" si="120"/>
        <v>7551762.9375071367</v>
      </c>
      <c r="L272" s="891">
        <f t="shared" si="120"/>
        <v>7310123.3131350689</v>
      </c>
      <c r="M272" s="891">
        <f t="shared" si="120"/>
        <v>7065591.7632743977</v>
      </c>
      <c r="N272" s="891">
        <f t="shared" si="120"/>
        <v>6818230.9619621262</v>
      </c>
      <c r="O272" s="891">
        <f t="shared" si="120"/>
        <v>6568106.7064244505</v>
      </c>
      <c r="P272" s="891">
        <f t="shared" si="120"/>
        <v>6315288.0391376801</v>
      </c>
      <c r="Q272" s="891">
        <f t="shared" si="120"/>
        <v>6059847.3741471171</v>
      </c>
      <c r="R272" s="891">
        <f t="shared" si="120"/>
        <v>5801860.627782654</v>
      </c>
      <c r="S272" s="891">
        <f t="shared" si="120"/>
        <v>5541407.3539142739</v>
      </c>
      <c r="T272" s="891">
        <f t="shared" si="120"/>
        <v>5278570.8838950694</v>
      </c>
      <c r="U272" s="891">
        <f t="shared" si="120"/>
        <v>5013438.471343914</v>
      </c>
      <c r="V272" s="891">
        <f t="shared" si="120"/>
        <v>4746101.441924803</v>
      </c>
      <c r="W272" s="891">
        <f t="shared" si="120"/>
        <v>4476655.3482845556</v>
      </c>
      <c r="X272" s="744"/>
      <c r="Y272" s="766"/>
    </row>
    <row r="273" spans="2:25" x14ac:dyDescent="0.2">
      <c r="E273" s="515"/>
      <c r="F273" s="515"/>
      <c r="G273" s="656"/>
      <c r="H273" s="744"/>
      <c r="I273" s="744"/>
      <c r="J273" s="744"/>
      <c r="K273" s="744"/>
      <c r="L273" s="744"/>
      <c r="M273" s="744"/>
      <c r="N273" s="744"/>
      <c r="O273" s="744"/>
      <c r="P273" s="744"/>
      <c r="Q273" s="744"/>
      <c r="R273" s="744"/>
      <c r="S273" s="744"/>
      <c r="T273" s="744"/>
      <c r="U273" s="744"/>
      <c r="V273" s="744"/>
      <c r="W273" s="744"/>
      <c r="X273" s="744"/>
      <c r="Y273" s="766"/>
    </row>
    <row r="274" spans="2:25" x14ac:dyDescent="0.2">
      <c r="E274" s="515" t="str">
        <f>E$79</f>
        <v>Tax before adjustment for franking credits</v>
      </c>
      <c r="F274" s="515" t="str">
        <f>F$79</f>
        <v>$'000 nominal</v>
      </c>
      <c r="G274" s="656"/>
      <c r="H274" s="744"/>
      <c r="I274" s="891">
        <f>I272*$K$13/(1-$K$13*(1-$K$12))</f>
        <v>3106889.2745613973</v>
      </c>
      <c r="J274" s="891">
        <f t="shared" ref="J274:W274" si="121">J272*$K$13/(1-$K$13*(1-$K$12))</f>
        <v>3015658.4390729573</v>
      </c>
      <c r="K274" s="891">
        <f t="shared" si="121"/>
        <v>2923263.0725834072</v>
      </c>
      <c r="L274" s="891">
        <f t="shared" si="121"/>
        <v>2829725.1534716394</v>
      </c>
      <c r="M274" s="891">
        <f t="shared" si="121"/>
        <v>2735067.779332025</v>
      </c>
      <c r="N274" s="891">
        <f t="shared" si="121"/>
        <v>2639315.211082113</v>
      </c>
      <c r="O274" s="891">
        <f t="shared" si="121"/>
        <v>2542492.9186159163</v>
      </c>
      <c r="P274" s="891">
        <f t="shared" si="121"/>
        <v>2444627.6280532954</v>
      </c>
      <c r="Q274" s="891">
        <f t="shared" si="121"/>
        <v>2345747.3706375938</v>
      </c>
      <c r="R274" s="891">
        <f t="shared" si="121"/>
        <v>2245881.5333352205</v>
      </c>
      <c r="S274" s="891">
        <f t="shared" si="121"/>
        <v>2145060.911192622</v>
      </c>
      <c r="T274" s="891">
        <f t="shared" si="121"/>
        <v>2043317.7615077689</v>
      </c>
      <c r="U274" s="891">
        <f t="shared" si="121"/>
        <v>1940685.8598750634</v>
      </c>
      <c r="V274" s="891">
        <f t="shared" si="121"/>
        <v>1837200.5581644396</v>
      </c>
      <c r="W274" s="891">
        <f t="shared" si="121"/>
        <v>1732898.8444972474</v>
      </c>
      <c r="X274" s="744"/>
      <c r="Y274" s="766"/>
    </row>
    <row r="275" spans="2:25" x14ac:dyDescent="0.2">
      <c r="E275" s="515" t="str">
        <f>E$80</f>
        <v>Adjustment for franking credits</v>
      </c>
      <c r="F275" s="515" t="str">
        <f>F$80</f>
        <v>$'000 nominal</v>
      </c>
      <c r="G275" s="656"/>
      <c r="H275" s="744"/>
      <c r="I275" s="891">
        <f>-I274*$K$12</f>
        <v>-776722.31864034932</v>
      </c>
      <c r="J275" s="891">
        <f t="shared" ref="J275:W275" si="122">-J274*$K$12</f>
        <v>-753914.60976823932</v>
      </c>
      <c r="K275" s="891">
        <f t="shared" si="122"/>
        <v>-730815.76814585179</v>
      </c>
      <c r="L275" s="891">
        <f t="shared" si="122"/>
        <v>-707431.28836790984</v>
      </c>
      <c r="M275" s="891">
        <f t="shared" si="122"/>
        <v>-683766.94483300624</v>
      </c>
      <c r="N275" s="891">
        <f t="shared" si="122"/>
        <v>-659828.80277052824</v>
      </c>
      <c r="O275" s="891">
        <f t="shared" si="122"/>
        <v>-635623.22965397907</v>
      </c>
      <c r="P275" s="891">
        <f t="shared" si="122"/>
        <v>-611156.90701332386</v>
      </c>
      <c r="Q275" s="891">
        <f t="shared" si="122"/>
        <v>-586436.84265939845</v>
      </c>
      <c r="R275" s="891">
        <f t="shared" si="122"/>
        <v>-561470.38333380513</v>
      </c>
      <c r="S275" s="891">
        <f t="shared" si="122"/>
        <v>-536265.22779815551</v>
      </c>
      <c r="T275" s="891">
        <f t="shared" si="122"/>
        <v>-510829.44037694222</v>
      </c>
      <c r="U275" s="891">
        <f t="shared" si="122"/>
        <v>-485171.46496876585</v>
      </c>
      <c r="V275" s="891">
        <f t="shared" si="122"/>
        <v>-459300.13954110991</v>
      </c>
      <c r="W275" s="891">
        <f t="shared" si="122"/>
        <v>-433224.71112431184</v>
      </c>
      <c r="X275" s="744"/>
      <c r="Y275" s="766"/>
    </row>
    <row r="276" spans="2:25" x14ac:dyDescent="0.2">
      <c r="E276" s="515" t="str">
        <f>E$81</f>
        <v>Tax net of adjustment for franking credits</v>
      </c>
      <c r="F276" s="515" t="str">
        <f>F$81</f>
        <v>$'000 nominal</v>
      </c>
      <c r="G276" s="656"/>
      <c r="H276" s="744"/>
      <c r="I276" s="891">
        <f>SUM(I274:I275)</f>
        <v>2330166.9559210478</v>
      </c>
      <c r="J276" s="891">
        <f t="shared" ref="J276:W276" si="123">SUM(J274:J275)</f>
        <v>2261743.8293047179</v>
      </c>
      <c r="K276" s="891">
        <f t="shared" si="123"/>
        <v>2192447.3044375554</v>
      </c>
      <c r="L276" s="891">
        <f t="shared" si="123"/>
        <v>2122293.8651037295</v>
      </c>
      <c r="M276" s="891">
        <f t="shared" si="123"/>
        <v>2051300.8344990187</v>
      </c>
      <c r="N276" s="891">
        <f t="shared" si="123"/>
        <v>1979486.4083115847</v>
      </c>
      <c r="O276" s="891">
        <f t="shared" si="123"/>
        <v>1906869.6889619371</v>
      </c>
      <c r="P276" s="891">
        <f t="shared" si="123"/>
        <v>1833470.7210399716</v>
      </c>
      <c r="Q276" s="891">
        <f t="shared" si="123"/>
        <v>1759310.5279781953</v>
      </c>
      <c r="R276" s="891">
        <f t="shared" si="123"/>
        <v>1684411.1500014155</v>
      </c>
      <c r="S276" s="891">
        <f t="shared" si="123"/>
        <v>1608795.6833944665</v>
      </c>
      <c r="T276" s="891">
        <f t="shared" si="123"/>
        <v>1532488.3211308266</v>
      </c>
      <c r="U276" s="891">
        <f t="shared" si="123"/>
        <v>1455514.3949062976</v>
      </c>
      <c r="V276" s="891">
        <f t="shared" si="123"/>
        <v>1377900.4186233296</v>
      </c>
      <c r="W276" s="891">
        <f t="shared" si="123"/>
        <v>1299674.1333729355</v>
      </c>
      <c r="X276" s="744"/>
      <c r="Y276" s="766"/>
    </row>
    <row r="277" spans="2:25" x14ac:dyDescent="0.2">
      <c r="E277" s="515" t="str">
        <f>E$82</f>
        <v>Tax net of adjustment for franking credits</v>
      </c>
      <c r="F277" s="515" t="str">
        <f>F$82</f>
        <v>$'000 real</v>
      </c>
      <c r="G277" s="656"/>
      <c r="H277" s="744"/>
      <c r="I277" s="891">
        <f>I276/I$48</f>
        <v>2222220.3788004378</v>
      </c>
      <c r="J277" s="891">
        <f t="shared" ref="J277:W277" si="124">J276/J$48</f>
        <v>2106413.0862287413</v>
      </c>
      <c r="K277" s="891">
        <f t="shared" si="124"/>
        <v>1994019.2073022944</v>
      </c>
      <c r="L277" s="891">
        <f t="shared" si="124"/>
        <v>1884975.6112471006</v>
      </c>
      <c r="M277" s="891">
        <f t="shared" si="124"/>
        <v>1779219.856948131</v>
      </c>
      <c r="N277" s="891">
        <f t="shared" si="124"/>
        <v>1676690.2064819904</v>
      </c>
      <c r="O277" s="891">
        <f t="shared" si="124"/>
        <v>1577325.6373743361</v>
      </c>
      <c r="P277" s="891">
        <f t="shared" si="124"/>
        <v>1481065.8536405121</v>
      </c>
      <c r="Q277" s="891">
        <f t="shared" si="124"/>
        <v>1387851.2956657347</v>
      </c>
      <c r="R277" s="891">
        <f t="shared" si="124"/>
        <v>1297623.1489789858</v>
      </c>
      <c r="S277" s="891">
        <f t="shared" si="124"/>
        <v>1210323.3519727846</v>
      </c>
      <c r="T277" s="891">
        <f t="shared" si="124"/>
        <v>1125894.602619011</v>
      </c>
      <c r="U277" s="891">
        <f t="shared" si="124"/>
        <v>1044280.3642290478</v>
      </c>
      <c r="V277" s="891">
        <f t="shared" si="124"/>
        <v>965424.87030469661</v>
      </c>
      <c r="W277" s="891">
        <f t="shared" si="124"/>
        <v>889273.12852450239</v>
      </c>
      <c r="X277" s="744"/>
      <c r="Y277" s="766"/>
    </row>
    <row r="278" spans="2:25" x14ac:dyDescent="0.2">
      <c r="E278" s="735"/>
      <c r="F278" s="735"/>
      <c r="G278" s="571"/>
      <c r="H278" s="744"/>
      <c r="I278" s="744"/>
      <c r="J278" s="744"/>
      <c r="K278" s="744"/>
      <c r="L278" s="744"/>
      <c r="M278" s="744"/>
      <c r="N278" s="744"/>
      <c r="O278" s="744"/>
      <c r="P278" s="744"/>
      <c r="Q278" s="744"/>
      <c r="R278" s="744"/>
      <c r="S278" s="744"/>
      <c r="T278" s="744"/>
      <c r="U278" s="744"/>
      <c r="V278" s="744"/>
      <c r="W278" s="744"/>
      <c r="X278" s="766"/>
      <c r="Y278" s="766"/>
    </row>
    <row r="279" spans="2:25" x14ac:dyDescent="0.2">
      <c r="E279" s="380" t="str">
        <f>E$84</f>
        <v>Return on asset base + depn + tax allowance</v>
      </c>
      <c r="F279" s="571" t="s">
        <v>853</v>
      </c>
      <c r="G279" s="571"/>
      <c r="H279" s="571"/>
      <c r="I279" s="895">
        <f>I256+I277</f>
        <v>16929991.657632634</v>
      </c>
      <c r="J279" s="895">
        <f t="shared" ref="J279:W279" si="125">J256+J277</f>
        <v>16629964.804534428</v>
      </c>
      <c r="K279" s="895">
        <f t="shared" si="125"/>
        <v>16330062.155694401</v>
      </c>
      <c r="L279" s="895">
        <f t="shared" si="125"/>
        <v>16030220.580338558</v>
      </c>
      <c r="M279" s="895">
        <f t="shared" si="125"/>
        <v>15730377.637351871</v>
      </c>
      <c r="N279" s="895">
        <f t="shared" si="125"/>
        <v>15430471.588810939</v>
      </c>
      <c r="O279" s="895">
        <f t="shared" si="125"/>
        <v>15130441.412241429</v>
      </c>
      <c r="P279" s="895">
        <f t="shared" si="125"/>
        <v>14830226.811658679</v>
      </c>
      <c r="Q279" s="895">
        <f t="shared" si="125"/>
        <v>14529768.227447907</v>
      </c>
      <c r="R279" s="895">
        <f t="shared" si="125"/>
        <v>14229006.845138093</v>
      </c>
      <c r="S279" s="895">
        <f t="shared" si="125"/>
        <v>13927884.603121756</v>
      </c>
      <c r="T279" s="895">
        <f t="shared" si="125"/>
        <v>13626344.199370779</v>
      </c>
      <c r="U279" s="895">
        <f t="shared" si="125"/>
        <v>13324329.097196542</v>
      </c>
      <c r="V279" s="895">
        <f t="shared" si="125"/>
        <v>13021783.530100849</v>
      </c>
      <c r="W279" s="895">
        <f t="shared" si="125"/>
        <v>12718652.505762244</v>
      </c>
    </row>
    <row r="280" spans="2:25" x14ac:dyDescent="0.2">
      <c r="B280" s="731" t="str">
        <f>E280&amp;"."&amp;D244</f>
        <v>Annual Ethanol Charge.B-Syrup (Sucrosic)</v>
      </c>
      <c r="E280" s="380" t="s">
        <v>845</v>
      </c>
      <c r="F280" s="571" t="s">
        <v>838</v>
      </c>
      <c r="G280" s="571"/>
      <c r="H280" s="571"/>
      <c r="I280" s="736">
        <f t="shared" ref="I280:W280" si="126">I279/($K$7*10^6)</f>
        <v>0.16929991657632634</v>
      </c>
      <c r="J280" s="736">
        <f t="shared" si="126"/>
        <v>0.16629964804534428</v>
      </c>
      <c r="K280" s="736">
        <f t="shared" si="126"/>
        <v>0.163300621556944</v>
      </c>
      <c r="L280" s="736">
        <f t="shared" si="126"/>
        <v>0.16030220580338558</v>
      </c>
      <c r="M280" s="736">
        <f t="shared" si="126"/>
        <v>0.15730377637351869</v>
      </c>
      <c r="N280" s="736">
        <f t="shared" si="126"/>
        <v>0.1543047158881094</v>
      </c>
      <c r="O280" s="736">
        <f t="shared" si="126"/>
        <v>0.1513044141224143</v>
      </c>
      <c r="P280" s="736">
        <f t="shared" si="126"/>
        <v>0.14830226811658678</v>
      </c>
      <c r="Q280" s="736">
        <f t="shared" si="126"/>
        <v>0.14529768227447906</v>
      </c>
      <c r="R280" s="736">
        <f t="shared" si="126"/>
        <v>0.14229006845138092</v>
      </c>
      <c r="S280" s="736">
        <f t="shared" si="126"/>
        <v>0.13927884603121757</v>
      </c>
      <c r="T280" s="736">
        <f t="shared" si="126"/>
        <v>0.1362634419937078</v>
      </c>
      <c r="U280" s="736">
        <f t="shared" si="126"/>
        <v>0.13324329097196541</v>
      </c>
      <c r="V280" s="736">
        <f t="shared" si="126"/>
        <v>0.13021783530100847</v>
      </c>
      <c r="W280" s="736">
        <f t="shared" si="126"/>
        <v>0.12718652505762243</v>
      </c>
    </row>
    <row r="281" spans="2:25" x14ac:dyDescent="0.2">
      <c r="B281" s="731" t="str">
        <f>E281&amp;"."&amp;D244</f>
        <v>15 year average Ethanol Charge.B-Syrup (Sucrosic)</v>
      </c>
      <c r="E281" s="380" t="str">
        <f>$K$8&amp;" year average Ethanol Charge"</f>
        <v>15 year average Ethanol Charge</v>
      </c>
      <c r="F281" s="571" t="s">
        <v>838</v>
      </c>
      <c r="G281" s="571"/>
      <c r="H281" s="571"/>
      <c r="I281" s="747">
        <f ca="1">AVERAGE($I280:OFFSET($I280,0,$K$8-1))</f>
        <v>0.14827968377093406</v>
      </c>
      <c r="J281" s="747"/>
      <c r="K281" s="747"/>
      <c r="L281" s="747"/>
      <c r="M281" s="747"/>
      <c r="N281" s="747"/>
      <c r="O281" s="747"/>
      <c r="P281" s="747"/>
      <c r="Q281" s="747"/>
      <c r="R281" s="747"/>
      <c r="S281" s="747"/>
      <c r="T281" s="747"/>
      <c r="U281" s="747"/>
      <c r="V281" s="747"/>
      <c r="W281" s="747"/>
    </row>
    <row r="283" spans="2:25" ht="15" x14ac:dyDescent="0.25">
      <c r="D283" s="760" t="str">
        <f>E17</f>
        <v>Cane trash (Cellulosic)</v>
      </c>
      <c r="E283" s="759"/>
      <c r="F283" s="759"/>
      <c r="G283" s="759"/>
      <c r="H283" s="759"/>
      <c r="I283" s="759"/>
      <c r="J283" s="759"/>
      <c r="K283" s="759"/>
      <c r="L283" s="759"/>
      <c r="M283" s="759"/>
      <c r="N283" s="759"/>
      <c r="O283" s="759"/>
      <c r="P283" s="759"/>
      <c r="Q283" s="759"/>
      <c r="R283" s="759"/>
      <c r="S283" s="759"/>
      <c r="T283" s="759"/>
      <c r="U283" s="759"/>
      <c r="V283" s="759"/>
      <c r="W283" s="759"/>
    </row>
    <row r="284" spans="2:25" x14ac:dyDescent="0.2">
      <c r="D284" s="873"/>
      <c r="E284" s="743" t="s">
        <v>828</v>
      </c>
      <c r="F284" s="743" t="s">
        <v>836</v>
      </c>
      <c r="G284" s="738"/>
      <c r="H284" s="743"/>
      <c r="I284" s="739">
        <f>H289</f>
        <v>291713125</v>
      </c>
      <c r="J284" s="739">
        <f>I289</f>
        <v>284857866.5625</v>
      </c>
      <c r="K284" s="739">
        <f t="shared" ref="K284:W284" si="127">J289</f>
        <v>277905370.41666669</v>
      </c>
      <c r="L284" s="739">
        <f t="shared" si="127"/>
        <v>270855636.5625</v>
      </c>
      <c r="M284" s="739">
        <f t="shared" si="127"/>
        <v>263708665</v>
      </c>
      <c r="N284" s="739">
        <f t="shared" si="127"/>
        <v>256464455.72916666</v>
      </c>
      <c r="O284" s="739">
        <f t="shared" si="127"/>
        <v>249123008.75</v>
      </c>
      <c r="P284" s="739">
        <f t="shared" si="127"/>
        <v>241684324.0625</v>
      </c>
      <c r="Q284" s="739">
        <f t="shared" si="127"/>
        <v>234148401.66666666</v>
      </c>
      <c r="R284" s="739">
        <f t="shared" si="127"/>
        <v>226515241.5625</v>
      </c>
      <c r="S284" s="739">
        <f t="shared" si="127"/>
        <v>218784843.75</v>
      </c>
      <c r="T284" s="739">
        <f t="shared" si="127"/>
        <v>210957208.22916666</v>
      </c>
      <c r="U284" s="739">
        <f t="shared" si="127"/>
        <v>203032335</v>
      </c>
      <c r="V284" s="739">
        <f t="shared" si="127"/>
        <v>195010224.0625</v>
      </c>
      <c r="W284" s="739">
        <f t="shared" si="127"/>
        <v>186890875.41666666</v>
      </c>
    </row>
    <row r="285" spans="2:25" x14ac:dyDescent="0.2">
      <c r="D285" s="873"/>
      <c r="E285" s="743" t="s">
        <v>829</v>
      </c>
      <c r="F285" s="743" t="s">
        <v>836</v>
      </c>
      <c r="G285" s="738"/>
      <c r="H285" s="743"/>
      <c r="I285" s="739">
        <f>INDEX($F$11:$F$18,MATCH(D283,$E$11:$E$18,0))</f>
        <v>2917131.25</v>
      </c>
      <c r="J285" s="739">
        <f>I285</f>
        <v>2917131.25</v>
      </c>
      <c r="K285" s="739">
        <f t="shared" ref="K285:W286" si="128">J285</f>
        <v>2917131.25</v>
      </c>
      <c r="L285" s="739">
        <f t="shared" si="128"/>
        <v>2917131.25</v>
      </c>
      <c r="M285" s="739">
        <f t="shared" si="128"/>
        <v>2917131.25</v>
      </c>
      <c r="N285" s="739">
        <f t="shared" si="128"/>
        <v>2917131.25</v>
      </c>
      <c r="O285" s="739">
        <f t="shared" si="128"/>
        <v>2917131.25</v>
      </c>
      <c r="P285" s="739">
        <f t="shared" si="128"/>
        <v>2917131.25</v>
      </c>
      <c r="Q285" s="739">
        <f t="shared" si="128"/>
        <v>2917131.25</v>
      </c>
      <c r="R285" s="739">
        <f t="shared" si="128"/>
        <v>2917131.25</v>
      </c>
      <c r="S285" s="739">
        <f t="shared" si="128"/>
        <v>2917131.25</v>
      </c>
      <c r="T285" s="739">
        <f t="shared" si="128"/>
        <v>2917131.25</v>
      </c>
      <c r="U285" s="739">
        <f t="shared" si="128"/>
        <v>2917131.25</v>
      </c>
      <c r="V285" s="739">
        <f t="shared" si="128"/>
        <v>2917131.25</v>
      </c>
      <c r="W285" s="739">
        <f t="shared" si="128"/>
        <v>2917131.25</v>
      </c>
    </row>
    <row r="286" spans="2:25" x14ac:dyDescent="0.2">
      <c r="D286" s="873"/>
      <c r="E286" s="743" t="s">
        <v>830</v>
      </c>
      <c r="F286" s="743" t="s">
        <v>836</v>
      </c>
      <c r="G286" s="738"/>
      <c r="H286" s="743"/>
      <c r="I286" s="743">
        <v>0</v>
      </c>
      <c r="J286" s="743">
        <f>I286</f>
        <v>0</v>
      </c>
      <c r="K286" s="743">
        <f t="shared" si="128"/>
        <v>0</v>
      </c>
      <c r="L286" s="743">
        <f t="shared" si="128"/>
        <v>0</v>
      </c>
      <c r="M286" s="743">
        <f t="shared" si="128"/>
        <v>0</v>
      </c>
      <c r="N286" s="743">
        <f t="shared" si="128"/>
        <v>0</v>
      </c>
      <c r="O286" s="743">
        <f t="shared" si="128"/>
        <v>0</v>
      </c>
      <c r="P286" s="743">
        <f t="shared" si="128"/>
        <v>0</v>
      </c>
      <c r="Q286" s="743">
        <f t="shared" si="128"/>
        <v>0</v>
      </c>
      <c r="R286" s="743">
        <f t="shared" si="128"/>
        <v>0</v>
      </c>
      <c r="S286" s="743">
        <f t="shared" si="128"/>
        <v>0</v>
      </c>
      <c r="T286" s="743">
        <f t="shared" si="128"/>
        <v>0</v>
      </c>
      <c r="U286" s="743">
        <f t="shared" si="128"/>
        <v>0</v>
      </c>
      <c r="V286" s="743">
        <f t="shared" si="128"/>
        <v>0</v>
      </c>
      <c r="W286" s="743">
        <f t="shared" si="128"/>
        <v>0</v>
      </c>
    </row>
    <row r="287" spans="2:25" x14ac:dyDescent="0.2">
      <c r="B287" s="731" t="str">
        <f>"Total Depreciation "&amp;D283&amp;" ("&amp;"Straight-Line"&amp;") over 30 years"</f>
        <v>Total Depreciation Cane trash (Cellulosic) (Straight-Line) over 30 years</v>
      </c>
      <c r="D287" s="873"/>
      <c r="E287" s="743" t="s">
        <v>831</v>
      </c>
      <c r="F287" s="743" t="s">
        <v>836</v>
      </c>
      <c r="G287" s="738"/>
      <c r="H287" s="743"/>
      <c r="I287" s="890">
        <f>$H289/$K$4+I285*$K$9/$K$5</f>
        <v>9772389.6875</v>
      </c>
      <c r="J287" s="739">
        <f>$H289/$K$4+SUM($I285:I285)/$K$5+J285*$K$9/$K$5</f>
        <v>9869627.395833334</v>
      </c>
      <c r="K287" s="739">
        <f>$H289/$K$4+SUM($I285:J285)/$K$5+K285*$K$9/$K$5</f>
        <v>9966865.104166666</v>
      </c>
      <c r="L287" s="739">
        <f>$H289/$K$4+SUM($I285:K285)/$K$5+L285*$K$9/$K$5</f>
        <v>10064102.8125</v>
      </c>
      <c r="M287" s="739">
        <f>$H289/$K$4+SUM($I285:L285)/$K$5+M285*$K$9/$K$5</f>
        <v>10161340.520833334</v>
      </c>
      <c r="N287" s="739">
        <f>$H289/$K$4+SUM($I285:M285)/$K$5+N285*$K$9/$K$5</f>
        <v>10258578.229166666</v>
      </c>
      <c r="O287" s="739">
        <f>$H289/$K$4+SUM($I285:N285)/$K$5+O285*$K$9/$K$5</f>
        <v>10355815.9375</v>
      </c>
      <c r="P287" s="739">
        <f>$H289/$K$4+SUM($I285:O285)/$K$5+P285*$K$9/$K$5</f>
        <v>10453053.645833334</v>
      </c>
      <c r="Q287" s="739">
        <f>$H289/$K$4+SUM($I285:P285)/$K$5+Q285*$K$9/$K$5</f>
        <v>10550291.354166666</v>
      </c>
      <c r="R287" s="739">
        <f>$H289/$K$4+SUM($I285:Q285)/$K$5+R285*$K$9/$K$5</f>
        <v>10647529.0625</v>
      </c>
      <c r="S287" s="739">
        <f>$H289/$K$4+SUM($I285:R285)/$K$5+S285*$K$9/$K$5</f>
        <v>10744766.770833334</v>
      </c>
      <c r="T287" s="739">
        <f>$H289/$K$4+SUM($I285:S285)/$K$5+T285*$K$9/$K$5</f>
        <v>10842004.479166666</v>
      </c>
      <c r="U287" s="739">
        <f>$H289/$K$4+SUM($I285:T285)/$K$5+U285*$K$9/$K$5</f>
        <v>10939242.1875</v>
      </c>
      <c r="V287" s="739">
        <f>$H289/$K$4+SUM($I285:U285)/$K$5+V285*$K$9/$K$5</f>
        <v>11036479.895833334</v>
      </c>
      <c r="W287" s="739">
        <f>$H289/$K$4+SUM($I285:V285)/$K$5+W285*$K$9/$K$5</f>
        <v>11133717.604166666</v>
      </c>
    </row>
    <row r="288" spans="2:25" x14ac:dyDescent="0.2">
      <c r="D288" s="873"/>
      <c r="E288" s="743" t="s">
        <v>832</v>
      </c>
      <c r="F288" s="743" t="s">
        <v>836</v>
      </c>
      <c r="G288" s="738"/>
      <c r="H288" s="743"/>
      <c r="I288" s="743">
        <v>0</v>
      </c>
      <c r="J288" s="743">
        <v>0</v>
      </c>
      <c r="K288" s="743">
        <v>0</v>
      </c>
      <c r="L288" s="743">
        <v>0</v>
      </c>
      <c r="M288" s="743">
        <v>0</v>
      </c>
      <c r="N288" s="743">
        <v>0</v>
      </c>
      <c r="O288" s="743">
        <v>0</v>
      </c>
      <c r="P288" s="743">
        <v>0</v>
      </c>
      <c r="Q288" s="743">
        <v>0</v>
      </c>
      <c r="R288" s="743">
        <v>0</v>
      </c>
      <c r="S288" s="743">
        <v>0</v>
      </c>
      <c r="T288" s="743">
        <v>0</v>
      </c>
      <c r="U288" s="743">
        <v>0</v>
      </c>
      <c r="V288" s="743">
        <v>0</v>
      </c>
      <c r="W288" s="743">
        <v>0</v>
      </c>
    </row>
    <row r="289" spans="2:25" x14ac:dyDescent="0.2">
      <c r="B289" s="731" t="str">
        <f>"Total Depreciation "&amp;D283&amp;" ("&amp;"Straight-Line"&amp;") over 30 years"</f>
        <v>Total Depreciation Cane trash (Cellulosic) (Straight-Line) over 30 years</v>
      </c>
      <c r="D289" s="873"/>
      <c r="E289" s="743" t="s">
        <v>833</v>
      </c>
      <c r="F289" s="743" t="s">
        <v>836</v>
      </c>
      <c r="G289" s="738"/>
      <c r="H289" s="739">
        <f>INDEX($F$33:$F$40,MATCH(B289,$B$33:$B$40,0))</f>
        <v>291713125</v>
      </c>
      <c r="I289" s="739">
        <f>I284+I285-I287</f>
        <v>284857866.5625</v>
      </c>
      <c r="J289" s="739">
        <f>J284+J285-J287</f>
        <v>277905370.41666669</v>
      </c>
      <c r="K289" s="739">
        <f t="shared" ref="K289:W289" si="129">K284+K285-K287</f>
        <v>270855636.5625</v>
      </c>
      <c r="L289" s="739">
        <f t="shared" si="129"/>
        <v>263708665</v>
      </c>
      <c r="M289" s="739">
        <f t="shared" si="129"/>
        <v>256464455.72916666</v>
      </c>
      <c r="N289" s="739">
        <f t="shared" si="129"/>
        <v>249123008.75</v>
      </c>
      <c r="O289" s="739">
        <f t="shared" si="129"/>
        <v>241684324.0625</v>
      </c>
      <c r="P289" s="739">
        <f t="shared" si="129"/>
        <v>234148401.66666666</v>
      </c>
      <c r="Q289" s="739">
        <f t="shared" si="129"/>
        <v>226515241.5625</v>
      </c>
      <c r="R289" s="739">
        <f t="shared" si="129"/>
        <v>218784843.75</v>
      </c>
      <c r="S289" s="739">
        <f t="shared" si="129"/>
        <v>210957208.22916666</v>
      </c>
      <c r="T289" s="739">
        <f t="shared" si="129"/>
        <v>203032335</v>
      </c>
      <c r="U289" s="739">
        <f t="shared" si="129"/>
        <v>195010224.0625</v>
      </c>
      <c r="V289" s="739">
        <f t="shared" si="129"/>
        <v>186890875.41666666</v>
      </c>
      <c r="W289" s="739">
        <f t="shared" si="129"/>
        <v>178674289.0625</v>
      </c>
    </row>
    <row r="290" spans="2:25" x14ac:dyDescent="0.2">
      <c r="D290" s="766"/>
      <c r="E290" s="744"/>
      <c r="F290" s="744"/>
      <c r="G290" s="571"/>
      <c r="H290" s="744"/>
      <c r="I290" s="744"/>
      <c r="J290" s="744"/>
      <c r="K290" s="744"/>
      <c r="L290" s="744"/>
      <c r="M290" s="744"/>
      <c r="N290" s="744"/>
      <c r="O290" s="744"/>
      <c r="P290" s="744"/>
      <c r="Q290" s="744"/>
      <c r="R290" s="744"/>
      <c r="S290" s="744"/>
      <c r="T290" s="744"/>
      <c r="U290" s="744"/>
      <c r="V290" s="744"/>
      <c r="W290" s="744"/>
    </row>
    <row r="291" spans="2:25" x14ac:dyDescent="0.2">
      <c r="D291" s="873"/>
      <c r="E291" s="881" t="s">
        <v>834</v>
      </c>
      <c r="F291" s="743"/>
      <c r="G291" s="738"/>
      <c r="H291" s="743"/>
      <c r="I291" s="739"/>
      <c r="J291" s="739"/>
      <c r="K291" s="739"/>
      <c r="L291" s="739"/>
      <c r="M291" s="739"/>
      <c r="N291" s="739"/>
      <c r="O291" s="739"/>
      <c r="P291" s="739"/>
      <c r="Q291" s="739"/>
      <c r="R291" s="739"/>
      <c r="S291" s="739"/>
      <c r="T291" s="739"/>
      <c r="U291" s="739"/>
      <c r="V291" s="739"/>
      <c r="W291" s="739"/>
      <c r="X291" s="766"/>
      <c r="Y291" s="766"/>
    </row>
    <row r="292" spans="2:25" x14ac:dyDescent="0.2">
      <c r="D292" s="873"/>
      <c r="E292" s="743" t="s">
        <v>835</v>
      </c>
      <c r="F292" s="743" t="s">
        <v>836</v>
      </c>
      <c r="G292" s="738"/>
      <c r="H292" s="743"/>
      <c r="I292" s="739">
        <f t="shared" ref="I292:W292" si="130">I284+I285*$K$9</f>
        <v>293171690.625</v>
      </c>
      <c r="J292" s="739">
        <f t="shared" si="130"/>
        <v>286316432.1875</v>
      </c>
      <c r="K292" s="739">
        <f t="shared" si="130"/>
        <v>279363936.04166669</v>
      </c>
      <c r="L292" s="739">
        <f t="shared" si="130"/>
        <v>272314202.1875</v>
      </c>
      <c r="M292" s="739">
        <f t="shared" si="130"/>
        <v>265167230.625</v>
      </c>
      <c r="N292" s="739">
        <f t="shared" si="130"/>
        <v>257923021.35416666</v>
      </c>
      <c r="O292" s="739">
        <f t="shared" si="130"/>
        <v>250581574.375</v>
      </c>
      <c r="P292" s="739">
        <f t="shared" si="130"/>
        <v>243142889.6875</v>
      </c>
      <c r="Q292" s="739">
        <f t="shared" si="130"/>
        <v>235606967.29166666</v>
      </c>
      <c r="R292" s="739">
        <f t="shared" si="130"/>
        <v>227973807.1875</v>
      </c>
      <c r="S292" s="739">
        <f t="shared" si="130"/>
        <v>220243409.375</v>
      </c>
      <c r="T292" s="739">
        <f t="shared" si="130"/>
        <v>212415773.85416666</v>
      </c>
      <c r="U292" s="739">
        <f t="shared" si="130"/>
        <v>204490900.625</v>
      </c>
      <c r="V292" s="739">
        <f t="shared" si="130"/>
        <v>196468789.6875</v>
      </c>
      <c r="W292" s="739">
        <f t="shared" si="130"/>
        <v>188349441.04166666</v>
      </c>
      <c r="X292" s="766" t="s">
        <v>948</v>
      </c>
      <c r="Y292" s="766"/>
    </row>
    <row r="293" spans="2:25" x14ac:dyDescent="0.2">
      <c r="D293" s="873"/>
      <c r="E293" s="743" t="str">
        <f>E$59</f>
        <v>Return on asset base (post-tax, year end value)</v>
      </c>
      <c r="F293" s="743" t="s">
        <v>836</v>
      </c>
      <c r="G293" s="738"/>
      <c r="H293" s="743"/>
      <c r="I293" s="739">
        <f t="shared" ref="I293:W293" si="131">I292*$K$3</f>
        <v>20228846.653125003</v>
      </c>
      <c r="J293" s="739">
        <f t="shared" si="131"/>
        <v>19755833.820937503</v>
      </c>
      <c r="K293" s="739">
        <f t="shared" si="131"/>
        <v>19276111.586875003</v>
      </c>
      <c r="L293" s="739">
        <f t="shared" si="131"/>
        <v>18789679.950937502</v>
      </c>
      <c r="M293" s="739">
        <f t="shared" si="131"/>
        <v>18296538.913125001</v>
      </c>
      <c r="N293" s="739">
        <f t="shared" si="131"/>
        <v>17796688.473437499</v>
      </c>
      <c r="O293" s="739">
        <f t="shared" si="131"/>
        <v>17290128.631875001</v>
      </c>
      <c r="P293" s="739">
        <f t="shared" si="131"/>
        <v>16776859.388437502</v>
      </c>
      <c r="Q293" s="739">
        <f t="shared" si="131"/>
        <v>16256880.743125001</v>
      </c>
      <c r="R293" s="739">
        <f t="shared" si="131"/>
        <v>15730192.695937501</v>
      </c>
      <c r="S293" s="739">
        <f t="shared" si="131"/>
        <v>15196795.246875001</v>
      </c>
      <c r="T293" s="739">
        <f t="shared" si="131"/>
        <v>14656688.395937501</v>
      </c>
      <c r="U293" s="739">
        <f t="shared" si="131"/>
        <v>14109872.143125001</v>
      </c>
      <c r="V293" s="739">
        <f t="shared" si="131"/>
        <v>13556346.488437502</v>
      </c>
      <c r="W293" s="739">
        <f t="shared" si="131"/>
        <v>12996111.431875</v>
      </c>
      <c r="X293" s="766"/>
      <c r="Y293" s="766"/>
    </row>
    <row r="294" spans="2:25" x14ac:dyDescent="0.2">
      <c r="D294" s="766"/>
      <c r="E294" s="744"/>
      <c r="F294" s="744"/>
      <c r="G294" s="571"/>
      <c r="H294" s="744"/>
      <c r="I294" s="744"/>
      <c r="J294" s="744"/>
      <c r="K294" s="744"/>
      <c r="L294" s="744"/>
      <c r="M294" s="744"/>
      <c r="N294" s="744"/>
      <c r="O294" s="744"/>
      <c r="P294" s="744"/>
      <c r="Q294" s="744"/>
      <c r="R294" s="744"/>
      <c r="S294" s="744"/>
      <c r="T294" s="744"/>
      <c r="U294" s="744"/>
      <c r="V294" s="744"/>
      <c r="W294" s="744"/>
      <c r="X294" s="766"/>
      <c r="Y294" s="766"/>
    </row>
    <row r="295" spans="2:25" x14ac:dyDescent="0.2">
      <c r="D295" s="766"/>
      <c r="E295" s="744" t="str">
        <f>E256</f>
        <v>Return on asset base + depn, mid-year value</v>
      </c>
      <c r="F295" s="744"/>
      <c r="G295" s="571"/>
      <c r="H295" s="744"/>
      <c r="I295" s="891">
        <f>(I293+I287)/(1+$K$3)^0.5</f>
        <v>29016852.333292834</v>
      </c>
      <c r="J295" s="891">
        <f t="shared" ref="J295:W295" si="132">(J293+J287)/(1+$K$3)^0.5</f>
        <v>28653406.935389809</v>
      </c>
      <c r="K295" s="891">
        <f t="shared" si="132"/>
        <v>28283472.280802786</v>
      </c>
      <c r="L295" s="891">
        <f t="shared" si="132"/>
        <v>27907048.369531766</v>
      </c>
      <c r="M295" s="891">
        <f t="shared" si="132"/>
        <v>27524135.201576747</v>
      </c>
      <c r="N295" s="891">
        <f t="shared" si="132"/>
        <v>27134732.776937727</v>
      </c>
      <c r="O295" s="891">
        <f t="shared" si="132"/>
        <v>26738841.095614713</v>
      </c>
      <c r="P295" s="891">
        <f t="shared" si="132"/>
        <v>26336460.157607704</v>
      </c>
      <c r="Q295" s="891">
        <f t="shared" si="132"/>
        <v>25927589.962916691</v>
      </c>
      <c r="R295" s="891">
        <f t="shared" si="132"/>
        <v>25512230.511541683</v>
      </c>
      <c r="S295" s="891">
        <f t="shared" si="132"/>
        <v>25090381.803482682</v>
      </c>
      <c r="T295" s="891">
        <f t="shared" si="132"/>
        <v>24662043.838739678</v>
      </c>
      <c r="U295" s="891">
        <f t="shared" si="132"/>
        <v>24227216.617312677</v>
      </c>
      <c r="V295" s="891">
        <f t="shared" si="132"/>
        <v>23785900.139201682</v>
      </c>
      <c r="W295" s="891">
        <f t="shared" si="132"/>
        <v>23338094.404406685</v>
      </c>
      <c r="X295" s="766"/>
      <c r="Y295" s="766"/>
    </row>
    <row r="296" spans="2:25" x14ac:dyDescent="0.2">
      <c r="D296" s="766"/>
      <c r="E296" s="744"/>
      <c r="F296" s="744"/>
      <c r="G296" s="571"/>
      <c r="H296" s="744"/>
      <c r="I296" s="744"/>
      <c r="J296" s="744"/>
      <c r="K296" s="744"/>
      <c r="L296" s="744"/>
      <c r="M296" s="744"/>
      <c r="N296" s="744"/>
      <c r="O296" s="744"/>
      <c r="P296" s="744"/>
      <c r="Q296" s="744"/>
      <c r="R296" s="744"/>
      <c r="S296" s="744"/>
      <c r="T296" s="744"/>
      <c r="U296" s="744"/>
      <c r="V296" s="744"/>
      <c r="W296" s="744"/>
      <c r="X296" s="766"/>
      <c r="Y296" s="766"/>
    </row>
    <row r="297" spans="2:25" x14ac:dyDescent="0.2">
      <c r="D297" s="766"/>
      <c r="E297" s="254" t="str">
        <f>E$63</f>
        <v>Tax depreciation</v>
      </c>
      <c r="F297" s="515"/>
      <c r="G297" s="656"/>
      <c r="H297" s="515"/>
      <c r="I297" s="894"/>
      <c r="J297" s="894"/>
      <c r="K297" s="894"/>
      <c r="L297" s="894"/>
      <c r="M297" s="894"/>
      <c r="N297" s="894"/>
      <c r="O297" s="894"/>
      <c r="P297" s="894"/>
      <c r="Q297" s="894"/>
      <c r="R297" s="894"/>
      <c r="S297" s="894"/>
      <c r="T297" s="894"/>
      <c r="U297" s="894"/>
      <c r="V297" s="894"/>
      <c r="W297" s="894"/>
      <c r="X297" s="766"/>
      <c r="Y297" s="766"/>
    </row>
    <row r="298" spans="2:25" x14ac:dyDescent="0.2">
      <c r="D298" s="766"/>
      <c r="E298" s="515" t="str">
        <f>E$64</f>
        <v>Opening TVA</v>
      </c>
      <c r="F298" s="515" t="str">
        <f>F$64</f>
        <v>$'000 nominal</v>
      </c>
      <c r="G298" s="656"/>
      <c r="H298" s="744"/>
      <c r="I298" s="890">
        <f>H303</f>
        <v>298714240</v>
      </c>
      <c r="J298" s="891">
        <f t="shared" ref="J298:W298" si="133">I303</f>
        <v>291764951.92063999</v>
      </c>
      <c r="K298" s="891">
        <f t="shared" si="133"/>
        <v>284785891.19212198</v>
      </c>
      <c r="L298" s="891">
        <f t="shared" si="133"/>
        <v>277776343.27086622</v>
      </c>
      <c r="M298" s="891">
        <f t="shared" si="133"/>
        <v>270735576.46424705</v>
      </c>
      <c r="N298" s="891">
        <f t="shared" si="133"/>
        <v>263662841.51901564</v>
      </c>
      <c r="O298" s="891">
        <f t="shared" si="133"/>
        <v>256557371.19984537</v>
      </c>
      <c r="P298" s="891">
        <f t="shared" si="133"/>
        <v>249418379.85776168</v>
      </c>
      <c r="Q298" s="891">
        <f t="shared" si="133"/>
        <v>242245062.98821461</v>
      </c>
      <c r="R298" s="891">
        <f t="shared" si="133"/>
        <v>235036596.77854511</v>
      </c>
      <c r="S298" s="891">
        <f t="shared" si="133"/>
        <v>227792137.6445902</v>
      </c>
      <c r="T298" s="891">
        <f t="shared" si="133"/>
        <v>220510821.75616702</v>
      </c>
      <c r="U298" s="891">
        <f t="shared" si="133"/>
        <v>213191764.55116838</v>
      </c>
      <c r="V298" s="891">
        <f t="shared" si="133"/>
        <v>205834060.23799643</v>
      </c>
      <c r="W298" s="891">
        <f t="shared" si="133"/>
        <v>198436781.286055</v>
      </c>
      <c r="X298" s="766"/>
      <c r="Y298" s="766"/>
    </row>
    <row r="299" spans="2:25" x14ac:dyDescent="0.2">
      <c r="D299" s="766"/>
      <c r="E299" s="515" t="str">
        <f>E$65</f>
        <v xml:space="preserve">  capex net of capital contributions </v>
      </c>
      <c r="F299" s="515" t="str">
        <f>F$65</f>
        <v>$'000 nominal</v>
      </c>
      <c r="G299" s="656"/>
      <c r="H299" s="744"/>
      <c r="I299" s="891">
        <f t="shared" ref="I299:W299" si="134">I285*I$48</f>
        <v>3058833.8175999997</v>
      </c>
      <c r="J299" s="891">
        <f t="shared" si="134"/>
        <v>3132245.8292224002</v>
      </c>
      <c r="K299" s="891">
        <f t="shared" si="134"/>
        <v>3207419.7291237381</v>
      </c>
      <c r="L299" s="891">
        <f t="shared" si="134"/>
        <v>3284397.802622708</v>
      </c>
      <c r="M299" s="891">
        <f t="shared" si="134"/>
        <v>3363223.3498856532</v>
      </c>
      <c r="N299" s="891">
        <f t="shared" si="134"/>
        <v>3443940.7102829088</v>
      </c>
      <c r="O299" s="891">
        <f t="shared" si="134"/>
        <v>3526595.2873296989</v>
      </c>
      <c r="P299" s="891">
        <f t="shared" si="134"/>
        <v>3611233.574225612</v>
      </c>
      <c r="Q299" s="891">
        <f t="shared" si="134"/>
        <v>3697903.1800070265</v>
      </c>
      <c r="R299" s="891">
        <f t="shared" si="134"/>
        <v>3786652.8563271952</v>
      </c>
      <c r="S299" s="891">
        <f t="shared" si="134"/>
        <v>3877532.5248790481</v>
      </c>
      <c r="T299" s="891">
        <f t="shared" si="134"/>
        <v>3970593.3054761454</v>
      </c>
      <c r="U299" s="891">
        <f t="shared" si="134"/>
        <v>4065887.5448075728</v>
      </c>
      <c r="V299" s="891">
        <f t="shared" si="134"/>
        <v>4163468.845882955</v>
      </c>
      <c r="W299" s="891">
        <f t="shared" si="134"/>
        <v>4263392.098184146</v>
      </c>
      <c r="X299" s="766"/>
      <c r="Y299" s="766"/>
    </row>
    <row r="300" spans="2:25" x14ac:dyDescent="0.2">
      <c r="D300" s="766"/>
      <c r="E300" s="515" t="str">
        <f>E$66</f>
        <v xml:space="preserve">  disposals </v>
      </c>
      <c r="F300" s="515" t="str">
        <f>F$66</f>
        <v>$'000 nominal</v>
      </c>
      <c r="G300" s="656"/>
      <c r="H300" s="744"/>
      <c r="I300" s="744"/>
      <c r="J300" s="744"/>
      <c r="K300" s="744"/>
      <c r="L300" s="744"/>
      <c r="M300" s="744"/>
      <c r="N300" s="744"/>
      <c r="O300" s="744"/>
      <c r="P300" s="744"/>
      <c r="Q300" s="744"/>
      <c r="R300" s="744"/>
      <c r="S300" s="744"/>
      <c r="T300" s="744"/>
      <c r="U300" s="744"/>
      <c r="V300" s="744"/>
      <c r="W300" s="744"/>
      <c r="X300" s="766"/>
      <c r="Y300" s="766"/>
    </row>
    <row r="301" spans="2:25" x14ac:dyDescent="0.2">
      <c r="D301" s="766"/>
      <c r="E301" s="515" t="str">
        <f>E$67</f>
        <v xml:space="preserve">  depreciation</v>
      </c>
      <c r="F301" s="515" t="str">
        <f>F$67</f>
        <v>$'000 nominal</v>
      </c>
      <c r="G301" s="656"/>
      <c r="H301" s="744"/>
      <c r="I301" s="890">
        <f>$H303/$K$4+I299*$K$9/$K$5</f>
        <v>10008121.896960001</v>
      </c>
      <c r="J301" s="739">
        <f>$H303/$K$4+SUM($I299:I299)/$K$5+J299*$K$9/$K$5</f>
        <v>10111306.557740374</v>
      </c>
      <c r="K301" s="739">
        <f>$H303/$K$4+SUM($I299:J299)/$K$5+K299*$K$9/$K$5</f>
        <v>10216967.650379475</v>
      </c>
      <c r="L301" s="739">
        <f>$H303/$K$4+SUM($I299:K299)/$K$5+L299*$K$9/$K$5</f>
        <v>10325164.609241918</v>
      </c>
      <c r="M301" s="739">
        <f>$H303/$K$4+SUM($I299:L299)/$K$5+M299*$K$9/$K$5</f>
        <v>10435958.295117056</v>
      </c>
      <c r="N301" s="739">
        <f>$H303/$K$4+SUM($I299:M299)/$K$5+N299*$K$9/$K$5</f>
        <v>10549411.029453199</v>
      </c>
      <c r="O301" s="739">
        <f>$H303/$K$4+SUM($I299:N299)/$K$5+O299*$K$9/$K$5</f>
        <v>10665586.629413409</v>
      </c>
      <c r="P301" s="739">
        <f>$H303/$K$4+SUM($I299:O299)/$K$5+P299*$K$9/$K$5</f>
        <v>10784550.443772664</v>
      </c>
      <c r="Q301" s="739">
        <f>$H303/$K$4+SUM($I299:P299)/$K$5+Q299*$K$9/$K$5</f>
        <v>10906369.389676543</v>
      </c>
      <c r="R301" s="739">
        <f>$H303/$K$4+SUM($I299:Q299)/$K$5+R299*$K$9/$K$5</f>
        <v>11031111.990282113</v>
      </c>
      <c r="S301" s="739">
        <f>$H303/$K$4+SUM($I299:R299)/$K$5+S299*$K$9/$K$5</f>
        <v>11158848.413302215</v>
      </c>
      <c r="T301" s="739">
        <f>$H303/$K$4+SUM($I299:S299)/$K$5+T299*$K$9/$K$5</f>
        <v>11289650.510474803</v>
      </c>
      <c r="U301" s="739">
        <f>$H303/$K$4+SUM($I299:T299)/$K$5+U299*$K$9/$K$5</f>
        <v>11423591.857979532</v>
      </c>
      <c r="V301" s="739">
        <f>$H303/$K$4+SUM($I299:U299)/$K$5+V299*$K$9/$K$5</f>
        <v>11560747.797824373</v>
      </c>
      <c r="W301" s="739">
        <f>$H303/$K$4+SUM($I299:V299)/$K$5+W299*$K$9/$K$5</f>
        <v>11701195.480225492</v>
      </c>
    </row>
    <row r="302" spans="2:25" x14ac:dyDescent="0.2">
      <c r="D302" s="766"/>
      <c r="E302" s="515" t="str">
        <f>E$68</f>
        <v xml:space="preserve">  no indexation for TVA</v>
      </c>
      <c r="F302" s="515" t="str">
        <f>F$68</f>
        <v>$'000 nominal</v>
      </c>
      <c r="G302" s="656"/>
      <c r="H302" s="744"/>
      <c r="I302" s="891"/>
      <c r="J302" s="744"/>
      <c r="K302" s="744"/>
      <c r="L302" s="744"/>
      <c r="M302" s="744"/>
      <c r="N302" s="744"/>
      <c r="O302" s="744"/>
      <c r="P302" s="744"/>
      <c r="Q302" s="744"/>
      <c r="R302" s="744"/>
      <c r="S302" s="744"/>
      <c r="T302" s="744"/>
      <c r="U302" s="744"/>
      <c r="V302" s="744"/>
      <c r="W302" s="744"/>
    </row>
    <row r="303" spans="2:25" x14ac:dyDescent="0.2">
      <c r="D303" s="766"/>
      <c r="E303" s="515" t="str">
        <f>E$69</f>
        <v>Closing TVA</v>
      </c>
      <c r="F303" s="515" t="str">
        <f>F$69</f>
        <v>$'000 nominal</v>
      </c>
      <c r="G303" s="656"/>
      <c r="H303" s="890">
        <f>H289*H$48</f>
        <v>298714240</v>
      </c>
      <c r="I303" s="891">
        <f>I298+I299-I301</f>
        <v>291764951.92063999</v>
      </c>
      <c r="J303" s="891">
        <f t="shared" ref="J303:W303" si="135">J298+J299-J301</f>
        <v>284785891.19212198</v>
      </c>
      <c r="K303" s="891">
        <f t="shared" si="135"/>
        <v>277776343.27086622</v>
      </c>
      <c r="L303" s="891">
        <f t="shared" si="135"/>
        <v>270735576.46424705</v>
      </c>
      <c r="M303" s="891">
        <f t="shared" si="135"/>
        <v>263662841.51901564</v>
      </c>
      <c r="N303" s="891">
        <f t="shared" si="135"/>
        <v>256557371.19984537</v>
      </c>
      <c r="O303" s="891">
        <f t="shared" si="135"/>
        <v>249418379.85776168</v>
      </c>
      <c r="P303" s="891">
        <f t="shared" si="135"/>
        <v>242245062.98821461</v>
      </c>
      <c r="Q303" s="891">
        <f t="shared" si="135"/>
        <v>235036596.77854511</v>
      </c>
      <c r="R303" s="891">
        <f t="shared" si="135"/>
        <v>227792137.6445902</v>
      </c>
      <c r="S303" s="891">
        <f t="shared" si="135"/>
        <v>220510821.75616702</v>
      </c>
      <c r="T303" s="891">
        <f t="shared" si="135"/>
        <v>213191764.55116838</v>
      </c>
      <c r="U303" s="891">
        <f t="shared" si="135"/>
        <v>205834060.23799643</v>
      </c>
      <c r="V303" s="891">
        <f t="shared" si="135"/>
        <v>198436781.286055</v>
      </c>
      <c r="W303" s="891">
        <f t="shared" si="135"/>
        <v>190998977.90401363</v>
      </c>
    </row>
    <row r="304" spans="2:25" x14ac:dyDescent="0.2">
      <c r="D304" s="766"/>
      <c r="E304" s="515"/>
      <c r="F304" s="515"/>
      <c r="G304" s="656"/>
      <c r="H304" s="744"/>
      <c r="I304" s="744"/>
      <c r="J304" s="744"/>
      <c r="K304" s="744"/>
      <c r="L304" s="744"/>
      <c r="M304" s="744"/>
      <c r="N304" s="744"/>
      <c r="O304" s="744"/>
      <c r="P304" s="744"/>
      <c r="Q304" s="744"/>
      <c r="R304" s="744"/>
      <c r="S304" s="744"/>
      <c r="T304" s="744"/>
      <c r="U304" s="744"/>
      <c r="V304" s="744"/>
      <c r="W304" s="744"/>
    </row>
    <row r="305" spans="2:24" x14ac:dyDescent="0.2">
      <c r="D305" s="766"/>
      <c r="E305" s="254" t="str">
        <f>E$71</f>
        <v xml:space="preserve">Tax allowance </v>
      </c>
      <c r="F305" s="515"/>
      <c r="G305" s="656"/>
      <c r="H305" s="744"/>
      <c r="I305" s="744"/>
      <c r="J305" s="744"/>
      <c r="K305" s="744"/>
      <c r="L305" s="744"/>
      <c r="M305" s="744"/>
      <c r="N305" s="744"/>
      <c r="O305" s="744"/>
      <c r="P305" s="744"/>
      <c r="Q305" s="744"/>
      <c r="R305" s="744"/>
      <c r="S305" s="744"/>
      <c r="T305" s="744"/>
      <c r="U305" s="744"/>
      <c r="V305" s="744"/>
      <c r="W305" s="744"/>
    </row>
    <row r="306" spans="2:24" x14ac:dyDescent="0.2">
      <c r="D306" s="766"/>
      <c r="E306" s="515" t="str">
        <f>E$72</f>
        <v>Required revenue excluding tax liability and opex</v>
      </c>
      <c r="F306" s="515" t="str">
        <f>F$72</f>
        <v>$'000 nominal</v>
      </c>
      <c r="G306" s="656"/>
      <c r="H306" s="892" t="s">
        <v>957</v>
      </c>
      <c r="I306" s="891">
        <f>I295</f>
        <v>29016852.333292834</v>
      </c>
      <c r="J306" s="891">
        <f t="shared" ref="J306:W306" si="136">J295</f>
        <v>28653406.935389809</v>
      </c>
      <c r="K306" s="891">
        <f t="shared" si="136"/>
        <v>28283472.280802786</v>
      </c>
      <c r="L306" s="891">
        <f t="shared" si="136"/>
        <v>27907048.369531766</v>
      </c>
      <c r="M306" s="891">
        <f t="shared" si="136"/>
        <v>27524135.201576747</v>
      </c>
      <c r="N306" s="891">
        <f t="shared" si="136"/>
        <v>27134732.776937727</v>
      </c>
      <c r="O306" s="891">
        <f t="shared" si="136"/>
        <v>26738841.095614713</v>
      </c>
      <c r="P306" s="891">
        <f t="shared" si="136"/>
        <v>26336460.157607704</v>
      </c>
      <c r="Q306" s="891">
        <f t="shared" si="136"/>
        <v>25927589.962916691</v>
      </c>
      <c r="R306" s="891">
        <f t="shared" si="136"/>
        <v>25512230.511541683</v>
      </c>
      <c r="S306" s="891">
        <f t="shared" si="136"/>
        <v>25090381.803482682</v>
      </c>
      <c r="T306" s="891">
        <f t="shared" si="136"/>
        <v>24662043.838739678</v>
      </c>
      <c r="U306" s="891">
        <f t="shared" si="136"/>
        <v>24227216.617312677</v>
      </c>
      <c r="V306" s="891">
        <f t="shared" si="136"/>
        <v>23785900.139201682</v>
      </c>
      <c r="W306" s="891">
        <f t="shared" si="136"/>
        <v>23338094.404406685</v>
      </c>
    </row>
    <row r="307" spans="2:24" x14ac:dyDescent="0.2">
      <c r="D307" s="766"/>
      <c r="E307" s="515" t="str">
        <f>E$73</f>
        <v xml:space="preserve">  less</v>
      </c>
      <c r="F307" s="515"/>
      <c r="G307" s="656"/>
      <c r="H307" s="892" t="s">
        <v>959</v>
      </c>
      <c r="I307" s="891"/>
      <c r="J307" s="891"/>
      <c r="K307" s="891"/>
      <c r="L307" s="891"/>
      <c r="M307" s="891"/>
      <c r="N307" s="891"/>
      <c r="O307" s="891"/>
      <c r="P307" s="891"/>
      <c r="Q307" s="891"/>
      <c r="R307" s="891"/>
      <c r="S307" s="891"/>
      <c r="T307" s="891"/>
      <c r="U307" s="891"/>
      <c r="V307" s="891"/>
      <c r="W307" s="891"/>
    </row>
    <row r="308" spans="2:24" x14ac:dyDescent="0.2">
      <c r="D308" s="766"/>
      <c r="E308" s="515" t="str">
        <f>E$74</f>
        <v>NA - Operating expenditure</v>
      </c>
      <c r="F308" s="515" t="str">
        <f>F$74</f>
        <v>$'000 nominal</v>
      </c>
      <c r="G308" s="656"/>
      <c r="H308" s="744"/>
      <c r="I308" s="893">
        <v>0</v>
      </c>
      <c r="J308" s="893">
        <v>0</v>
      </c>
      <c r="K308" s="893">
        <v>0</v>
      </c>
      <c r="L308" s="893">
        <v>0</v>
      </c>
      <c r="M308" s="893">
        <v>0</v>
      </c>
      <c r="N308" s="893">
        <v>0</v>
      </c>
      <c r="O308" s="893">
        <v>0</v>
      </c>
      <c r="P308" s="893">
        <v>0</v>
      </c>
      <c r="Q308" s="893">
        <v>0</v>
      </c>
      <c r="R308" s="893">
        <v>0</v>
      </c>
      <c r="S308" s="893">
        <v>0</v>
      </c>
      <c r="T308" s="893">
        <v>0</v>
      </c>
      <c r="U308" s="893">
        <v>0</v>
      </c>
      <c r="V308" s="893">
        <v>0</v>
      </c>
      <c r="W308" s="893">
        <v>0</v>
      </c>
    </row>
    <row r="309" spans="2:24" x14ac:dyDescent="0.2">
      <c r="D309" s="766"/>
      <c r="E309" s="515" t="str">
        <f>E$75</f>
        <v>Tax depreciation</v>
      </c>
      <c r="F309" s="515" t="str">
        <f>F$75</f>
        <v>$'000 nominal</v>
      </c>
      <c r="G309" s="656"/>
      <c r="H309" s="744"/>
      <c r="I309" s="891">
        <f>I301</f>
        <v>10008121.896960001</v>
      </c>
      <c r="J309" s="891">
        <f t="shared" ref="J309:W309" si="137">J301</f>
        <v>10111306.557740374</v>
      </c>
      <c r="K309" s="891">
        <f t="shared" si="137"/>
        <v>10216967.650379475</v>
      </c>
      <c r="L309" s="891">
        <f t="shared" si="137"/>
        <v>10325164.609241918</v>
      </c>
      <c r="M309" s="891">
        <f t="shared" si="137"/>
        <v>10435958.295117056</v>
      </c>
      <c r="N309" s="891">
        <f t="shared" si="137"/>
        <v>10549411.029453199</v>
      </c>
      <c r="O309" s="891">
        <f t="shared" si="137"/>
        <v>10665586.629413409</v>
      </c>
      <c r="P309" s="891">
        <f t="shared" si="137"/>
        <v>10784550.443772664</v>
      </c>
      <c r="Q309" s="891">
        <f t="shared" si="137"/>
        <v>10906369.389676543</v>
      </c>
      <c r="R309" s="891">
        <f t="shared" si="137"/>
        <v>11031111.990282113</v>
      </c>
      <c r="S309" s="891">
        <f t="shared" si="137"/>
        <v>11158848.413302215</v>
      </c>
      <c r="T309" s="891">
        <f t="shared" si="137"/>
        <v>11289650.510474803</v>
      </c>
      <c r="U309" s="891">
        <f t="shared" si="137"/>
        <v>11423591.857979532</v>
      </c>
      <c r="V309" s="891">
        <f t="shared" si="137"/>
        <v>11560747.797824373</v>
      </c>
      <c r="W309" s="891">
        <f t="shared" si="137"/>
        <v>11701195.480225492</v>
      </c>
    </row>
    <row r="310" spans="2:24" x14ac:dyDescent="0.2">
      <c r="D310" s="766"/>
      <c r="E310" s="515" t="str">
        <f>E$76</f>
        <v>Interest deductible</v>
      </c>
      <c r="F310" s="515" t="str">
        <f>F$76</f>
        <v>$'000 nominal</v>
      </c>
      <c r="G310" s="656"/>
      <c r="H310" s="744"/>
      <c r="I310" s="891">
        <f>AVERAGE(I284,I289)*I$48*$K$10*$K$11</f>
        <v>3174037.1462553605</v>
      </c>
      <c r="J310" s="891">
        <f t="shared" ref="J310:W310" si="138">AVERAGE(J284,J289)*J$48*$K$10*$K$11</f>
        <v>3172377.7289093127</v>
      </c>
      <c r="K310" s="891">
        <f t="shared" si="138"/>
        <v>3167687.8172292188</v>
      </c>
      <c r="L310" s="891">
        <f t="shared" si="138"/>
        <v>3159795.960985709</v>
      </c>
      <c r="M310" s="891">
        <f t="shared" si="138"/>
        <v>3148523.5792873278</v>
      </c>
      <c r="N310" s="891">
        <f t="shared" si="138"/>
        <v>3133684.7015452972</v>
      </c>
      <c r="O310" s="891">
        <f t="shared" si="138"/>
        <v>3115085.6997394147</v>
      </c>
      <c r="P310" s="891">
        <f t="shared" si="138"/>
        <v>3092525.0117077804</v>
      </c>
      <c r="Q310" s="891">
        <f t="shared" si="138"/>
        <v>3065792.8551745759</v>
      </c>
      <c r="R310" s="891">
        <f t="shared" si="138"/>
        <v>3034670.9322213181</v>
      </c>
      <c r="S310" s="891">
        <f t="shared" si="138"/>
        <v>2998932.1238980168</v>
      </c>
      <c r="T310" s="891">
        <f t="shared" si="138"/>
        <v>2958340.1746613202</v>
      </c>
      <c r="U310" s="891">
        <f t="shared" si="138"/>
        <v>2912649.3663172149</v>
      </c>
      <c r="V310" s="891">
        <f t="shared" si="138"/>
        <v>2861604.1811359287</v>
      </c>
      <c r="W310" s="891">
        <f t="shared" si="138"/>
        <v>2804938.9537965772</v>
      </c>
      <c r="X310" s="615" t="s">
        <v>962</v>
      </c>
    </row>
    <row r="311" spans="2:24" x14ac:dyDescent="0.2">
      <c r="D311" s="766"/>
      <c r="E311" s="515" t="str">
        <f>E$77</f>
        <v>Taxable income for the year</v>
      </c>
      <c r="F311" s="515" t="str">
        <f>F$77</f>
        <v>$'000 nominal</v>
      </c>
      <c r="G311" s="656"/>
      <c r="H311" s="744"/>
      <c r="I311" s="891">
        <f>I306-I309-I310</f>
        <v>15834693.290077472</v>
      </c>
      <c r="J311" s="891">
        <f t="shared" ref="J311:W311" si="139">J306-J309-J310</f>
        <v>15369722.64874012</v>
      </c>
      <c r="K311" s="891">
        <f t="shared" si="139"/>
        <v>14898816.813194092</v>
      </c>
      <c r="L311" s="891">
        <f t="shared" si="139"/>
        <v>14422087.799304139</v>
      </c>
      <c r="M311" s="891">
        <f t="shared" si="139"/>
        <v>13939653.327172361</v>
      </c>
      <c r="N311" s="891">
        <f t="shared" si="139"/>
        <v>13451637.045939229</v>
      </c>
      <c r="O311" s="891">
        <f t="shared" si="139"/>
        <v>12958168.766461888</v>
      </c>
      <c r="P311" s="891">
        <f t="shared" si="139"/>
        <v>12459384.702127259</v>
      </c>
      <c r="Q311" s="891">
        <f t="shared" si="139"/>
        <v>11955427.718065571</v>
      </c>
      <c r="R311" s="891">
        <f t="shared" si="139"/>
        <v>11446447.589038253</v>
      </c>
      <c r="S311" s="891">
        <f t="shared" si="139"/>
        <v>10932601.26628245</v>
      </c>
      <c r="T311" s="891">
        <f t="shared" si="139"/>
        <v>10414053.153603556</v>
      </c>
      <c r="U311" s="891">
        <f t="shared" si="139"/>
        <v>9890975.3930159304</v>
      </c>
      <c r="V311" s="891">
        <f t="shared" si="139"/>
        <v>9363548.1602413803</v>
      </c>
      <c r="W311" s="891">
        <f t="shared" si="139"/>
        <v>8831959.9703846164</v>
      </c>
    </row>
    <row r="312" spans="2:24" x14ac:dyDescent="0.2">
      <c r="D312" s="766"/>
      <c r="E312" s="515"/>
      <c r="F312" s="515"/>
      <c r="G312" s="656"/>
      <c r="H312" s="744"/>
      <c r="I312" s="744"/>
      <c r="J312" s="744"/>
      <c r="K312" s="744"/>
      <c r="L312" s="744"/>
      <c r="M312" s="744"/>
      <c r="N312" s="744"/>
      <c r="O312" s="744"/>
      <c r="P312" s="744"/>
      <c r="Q312" s="744"/>
      <c r="R312" s="744"/>
      <c r="S312" s="744"/>
      <c r="T312" s="744"/>
      <c r="U312" s="744"/>
      <c r="V312" s="744"/>
      <c r="W312" s="744"/>
    </row>
    <row r="313" spans="2:24" x14ac:dyDescent="0.2">
      <c r="D313" s="766"/>
      <c r="E313" s="515" t="str">
        <f>E$79</f>
        <v>Tax before adjustment for franking credits</v>
      </c>
      <c r="F313" s="515" t="str">
        <f>F$79</f>
        <v>$'000 nominal</v>
      </c>
      <c r="G313" s="656"/>
      <c r="H313" s="744"/>
      <c r="I313" s="891">
        <f>I311*$K$13/(1-$K$13*(1-$K$12))</f>
        <v>6129558.6929332148</v>
      </c>
      <c r="J313" s="891">
        <f t="shared" ref="J313:W313" si="140">J311*$K$13/(1-$K$13*(1-$K$12))</f>
        <v>5949570.0575768203</v>
      </c>
      <c r="K313" s="891">
        <f t="shared" si="140"/>
        <v>5767283.9276880352</v>
      </c>
      <c r="L313" s="891">
        <f t="shared" si="140"/>
        <v>5582743.6642467622</v>
      </c>
      <c r="M313" s="891">
        <f t="shared" si="140"/>
        <v>5395994.8363247849</v>
      </c>
      <c r="N313" s="891">
        <f t="shared" si="140"/>
        <v>5207085.3081055079</v>
      </c>
      <c r="O313" s="891">
        <f t="shared" si="140"/>
        <v>5016065.3289529886</v>
      </c>
      <c r="P313" s="891">
        <f t="shared" si="140"/>
        <v>4822987.6266299067</v>
      </c>
      <c r="Q313" s="891">
        <f t="shared" si="140"/>
        <v>4627907.5037673172</v>
      </c>
      <c r="R313" s="891">
        <f t="shared" si="140"/>
        <v>4430882.9376922268</v>
      </c>
      <c r="S313" s="891">
        <f t="shared" si="140"/>
        <v>4231974.683722239</v>
      </c>
      <c r="T313" s="891">
        <f t="shared" si="140"/>
        <v>4031246.3820400857</v>
      </c>
      <c r="U313" s="891">
        <f t="shared" si="140"/>
        <v>3828764.6682642307</v>
      </c>
      <c r="V313" s="891">
        <f t="shared" si="140"/>
        <v>3624599.2878353726</v>
      </c>
      <c r="W313" s="891">
        <f t="shared" si="140"/>
        <v>3418823.2143424316</v>
      </c>
    </row>
    <row r="314" spans="2:24" x14ac:dyDescent="0.2">
      <c r="D314" s="766"/>
      <c r="E314" s="515" t="str">
        <f>E$80</f>
        <v>Adjustment for franking credits</v>
      </c>
      <c r="F314" s="515" t="str">
        <f>F$80</f>
        <v>$'000 nominal</v>
      </c>
      <c r="G314" s="656"/>
      <c r="H314" s="744"/>
      <c r="I314" s="891">
        <f>-I313*$K$12</f>
        <v>-1532389.6732333037</v>
      </c>
      <c r="J314" s="891">
        <f t="shared" ref="J314:W314" si="141">-J313*$K$12</f>
        <v>-1487392.5143942051</v>
      </c>
      <c r="K314" s="891">
        <f t="shared" si="141"/>
        <v>-1441820.9819220088</v>
      </c>
      <c r="L314" s="891">
        <f t="shared" si="141"/>
        <v>-1395685.9160616905</v>
      </c>
      <c r="M314" s="891">
        <f t="shared" si="141"/>
        <v>-1348998.7090811962</v>
      </c>
      <c r="N314" s="891">
        <f t="shared" si="141"/>
        <v>-1301771.327026377</v>
      </c>
      <c r="O314" s="891">
        <f t="shared" si="141"/>
        <v>-1254016.3322382472</v>
      </c>
      <c r="P314" s="891">
        <f t="shared" si="141"/>
        <v>-1205746.9066574767</v>
      </c>
      <c r="Q314" s="891">
        <f t="shared" si="141"/>
        <v>-1156976.8759418293</v>
      </c>
      <c r="R314" s="891">
        <f t="shared" si="141"/>
        <v>-1107720.7344230567</v>
      </c>
      <c r="S314" s="891">
        <f t="shared" si="141"/>
        <v>-1057993.6709305597</v>
      </c>
      <c r="T314" s="891">
        <f t="shared" si="141"/>
        <v>-1007811.5955100214</v>
      </c>
      <c r="U314" s="891">
        <f t="shared" si="141"/>
        <v>-957191.16706605768</v>
      </c>
      <c r="V314" s="891">
        <f t="shared" si="141"/>
        <v>-906149.82195884315</v>
      </c>
      <c r="W314" s="891">
        <f t="shared" si="141"/>
        <v>-854705.80358560791</v>
      </c>
    </row>
    <row r="315" spans="2:24" x14ac:dyDescent="0.2">
      <c r="D315" s="766"/>
      <c r="E315" s="515" t="str">
        <f>E$81</f>
        <v>Tax net of adjustment for franking credits</v>
      </c>
      <c r="F315" s="515" t="str">
        <f>F$81</f>
        <v>$'000 nominal</v>
      </c>
      <c r="G315" s="656"/>
      <c r="H315" s="744"/>
      <c r="I315" s="891">
        <f>SUM(I313:I314)</f>
        <v>4597169.0196999107</v>
      </c>
      <c r="J315" s="891">
        <f t="shared" ref="J315:W315" si="142">SUM(J313:J314)</f>
        <v>4462177.5431826152</v>
      </c>
      <c r="K315" s="891">
        <f t="shared" si="142"/>
        <v>4325462.9457660262</v>
      </c>
      <c r="L315" s="891">
        <f t="shared" si="142"/>
        <v>4187057.7481850716</v>
      </c>
      <c r="M315" s="891">
        <f t="shared" si="142"/>
        <v>4046996.1272435887</v>
      </c>
      <c r="N315" s="891">
        <f t="shared" si="142"/>
        <v>3905313.9810791309</v>
      </c>
      <c r="O315" s="891">
        <f t="shared" si="142"/>
        <v>3762048.9967147415</v>
      </c>
      <c r="P315" s="891">
        <f t="shared" si="142"/>
        <v>3617240.7199724298</v>
      </c>
      <c r="Q315" s="891">
        <f t="shared" si="142"/>
        <v>3470930.6278254879</v>
      </c>
      <c r="R315" s="891">
        <f t="shared" si="142"/>
        <v>3323162.2032691701</v>
      </c>
      <c r="S315" s="891">
        <f t="shared" si="142"/>
        <v>3173981.0127916792</v>
      </c>
      <c r="T315" s="891">
        <f t="shared" si="142"/>
        <v>3023434.7865300644</v>
      </c>
      <c r="U315" s="891">
        <f t="shared" si="142"/>
        <v>2871573.501198173</v>
      </c>
      <c r="V315" s="891">
        <f t="shared" si="142"/>
        <v>2718449.4658765295</v>
      </c>
      <c r="W315" s="891">
        <f t="shared" si="142"/>
        <v>2564117.4107568236</v>
      </c>
    </row>
    <row r="316" spans="2:24" x14ac:dyDescent="0.2">
      <c r="D316" s="766"/>
      <c r="E316" s="515" t="str">
        <f>E$82</f>
        <v>Tax net of adjustment for franking credits</v>
      </c>
      <c r="F316" s="515" t="str">
        <f>F$82</f>
        <v>$'000 real</v>
      </c>
      <c r="G316" s="656"/>
      <c r="H316" s="744"/>
      <c r="I316" s="891">
        <f>I315/I$48</f>
        <v>4384202.0222663032</v>
      </c>
      <c r="J316" s="891">
        <f t="shared" ref="J316:W316" si="143">J315/J$48</f>
        <v>4155726.6779082036</v>
      </c>
      <c r="K316" s="891">
        <f t="shared" si="143"/>
        <v>3933985.6318893228</v>
      </c>
      <c r="L316" s="891">
        <f t="shared" si="143"/>
        <v>3718854.3339761808</v>
      </c>
      <c r="M316" s="891">
        <f t="shared" si="143"/>
        <v>3510209.5945583363</v>
      </c>
      <c r="N316" s="891">
        <f t="shared" si="143"/>
        <v>3307929.6113468804</v>
      </c>
      <c r="O316" s="891">
        <f t="shared" si="143"/>
        <v>3111893.9935570019</v>
      </c>
      <c r="P316" s="891">
        <f t="shared" si="143"/>
        <v>2921983.7836899883</v>
      </c>
      <c r="Q316" s="891">
        <f t="shared" si="143"/>
        <v>2738081.4770257482</v>
      </c>
      <c r="R316" s="891">
        <f t="shared" si="143"/>
        <v>2560071.0389327817</v>
      </c>
      <c r="S316" s="891">
        <f t="shared" si="143"/>
        <v>2387837.9200984449</v>
      </c>
      <c r="T316" s="891">
        <f t="shared" si="143"/>
        <v>2221269.0697785486</v>
      </c>
      <c r="U316" s="891">
        <f t="shared" si="143"/>
        <v>2060252.9471615162</v>
      </c>
      <c r="V316" s="891">
        <f t="shared" si="143"/>
        <v>1904679.5309386989</v>
      </c>
      <c r="W316" s="891">
        <f t="shared" si="143"/>
        <v>1754440.327168975</v>
      </c>
    </row>
    <row r="317" spans="2:24" x14ac:dyDescent="0.2">
      <c r="D317" s="766"/>
      <c r="E317" s="744"/>
      <c r="F317" s="744"/>
      <c r="G317" s="571"/>
      <c r="H317" s="744"/>
      <c r="I317" s="735"/>
      <c r="J317" s="735"/>
      <c r="K317" s="735"/>
      <c r="L317" s="735"/>
      <c r="M317" s="735"/>
      <c r="N317" s="735"/>
      <c r="O317" s="735"/>
      <c r="P317" s="735"/>
      <c r="Q317" s="735"/>
      <c r="R317" s="735"/>
      <c r="S317" s="735"/>
      <c r="T317" s="735"/>
      <c r="U317" s="735"/>
      <c r="V317" s="735"/>
      <c r="W317" s="735"/>
    </row>
    <row r="318" spans="2:24" x14ac:dyDescent="0.2">
      <c r="E318" s="380" t="str">
        <f>E$84</f>
        <v>Return on asset base + depn + tax allowance</v>
      </c>
      <c r="F318" s="571" t="s">
        <v>853</v>
      </c>
      <c r="G318" s="571"/>
      <c r="H318" s="571"/>
      <c r="I318" s="895">
        <f>I295+I316</f>
        <v>33401054.355559137</v>
      </c>
      <c r="J318" s="895">
        <f t="shared" ref="J318:W318" si="144">J295+J316</f>
        <v>32809133.613298014</v>
      </c>
      <c r="K318" s="895">
        <f t="shared" si="144"/>
        <v>32217457.912692107</v>
      </c>
      <c r="L318" s="895">
        <f t="shared" si="144"/>
        <v>31625902.703507945</v>
      </c>
      <c r="M318" s="895">
        <f t="shared" si="144"/>
        <v>31034344.796135083</v>
      </c>
      <c r="N318" s="895">
        <f t="shared" si="144"/>
        <v>30442662.388284609</v>
      </c>
      <c r="O318" s="895">
        <f t="shared" si="144"/>
        <v>29850735.089171715</v>
      </c>
      <c r="P318" s="895">
        <f t="shared" si="144"/>
        <v>29258443.941297691</v>
      </c>
      <c r="Q318" s="895">
        <f t="shared" si="144"/>
        <v>28665671.439942438</v>
      </c>
      <c r="R318" s="895">
        <f t="shared" si="144"/>
        <v>28072301.550474465</v>
      </c>
      <c r="S318" s="895">
        <f t="shared" si="144"/>
        <v>27478219.723581128</v>
      </c>
      <c r="T318" s="895">
        <f t="shared" si="144"/>
        <v>26883312.908518225</v>
      </c>
      <c r="U318" s="895">
        <f t="shared" si="144"/>
        <v>26287469.564474195</v>
      </c>
      <c r="V318" s="895">
        <f t="shared" si="144"/>
        <v>25690579.670140382</v>
      </c>
      <c r="W318" s="895">
        <f t="shared" si="144"/>
        <v>25092534.73157566</v>
      </c>
    </row>
    <row r="319" spans="2:24" x14ac:dyDescent="0.2">
      <c r="B319" s="731" t="str">
        <f>E319&amp;"."&amp;D283</f>
        <v>Annual Ethanol Charge.Cane trash (Cellulosic)</v>
      </c>
      <c r="E319" s="380" t="s">
        <v>845</v>
      </c>
      <c r="F319" s="571" t="s">
        <v>838</v>
      </c>
      <c r="G319" s="571"/>
      <c r="H319" s="571"/>
      <c r="I319" s="736">
        <f t="shared" ref="I319:W319" si="145">I318/($K$7*10^6)</f>
        <v>0.33401054355559134</v>
      </c>
      <c r="J319" s="736">
        <f t="shared" si="145"/>
        <v>0.32809133613298014</v>
      </c>
      <c r="K319" s="736">
        <f t="shared" si="145"/>
        <v>0.32217457912692105</v>
      </c>
      <c r="L319" s="736">
        <f t="shared" si="145"/>
        <v>0.31625902703507947</v>
      </c>
      <c r="M319" s="736">
        <f t="shared" si="145"/>
        <v>0.31034344796135083</v>
      </c>
      <c r="N319" s="736">
        <f t="shared" si="145"/>
        <v>0.30442662388284608</v>
      </c>
      <c r="O319" s="736">
        <f t="shared" si="145"/>
        <v>0.29850735089171715</v>
      </c>
      <c r="P319" s="736">
        <f t="shared" si="145"/>
        <v>0.2925844394129769</v>
      </c>
      <c r="Q319" s="736">
        <f t="shared" si="145"/>
        <v>0.28665671439942436</v>
      </c>
      <c r="R319" s="736">
        <f t="shared" si="145"/>
        <v>0.28072301550474466</v>
      </c>
      <c r="S319" s="736">
        <f t="shared" si="145"/>
        <v>0.27478219723581127</v>
      </c>
      <c r="T319" s="736">
        <f t="shared" si="145"/>
        <v>0.26883312908518225</v>
      </c>
      <c r="U319" s="736">
        <f t="shared" si="145"/>
        <v>0.26287469564474197</v>
      </c>
      <c r="V319" s="736">
        <f t="shared" si="145"/>
        <v>0.25690579670140384</v>
      </c>
      <c r="W319" s="736">
        <f t="shared" si="145"/>
        <v>0.25092534731575661</v>
      </c>
    </row>
    <row r="320" spans="2:24" x14ac:dyDescent="0.2">
      <c r="B320" s="731" t="str">
        <f>E320&amp;"."&amp;D283</f>
        <v>15 year average Ethanol Charge.Cane trash (Cellulosic)</v>
      </c>
      <c r="E320" s="380" t="str">
        <f>$K$8&amp;" year average Ethanol Charge"</f>
        <v>15 year average Ethanol Charge</v>
      </c>
      <c r="F320" s="571" t="s">
        <v>838</v>
      </c>
      <c r="G320" s="571"/>
      <c r="H320" s="571"/>
      <c r="I320" s="747">
        <f ca="1">AVERAGE($I319:OFFSET($I319,0,$K$8-1))</f>
        <v>0.29253988292576855</v>
      </c>
      <c r="J320" s="747"/>
      <c r="K320" s="747"/>
      <c r="L320" s="747"/>
      <c r="M320" s="747"/>
      <c r="N320" s="747"/>
      <c r="O320" s="747"/>
      <c r="P320" s="747"/>
      <c r="Q320" s="747"/>
      <c r="R320" s="747"/>
      <c r="S320" s="747"/>
      <c r="T320" s="747"/>
      <c r="U320" s="747"/>
      <c r="V320" s="747"/>
      <c r="W320" s="747"/>
    </row>
    <row r="322" spans="2:25" ht="15" x14ac:dyDescent="0.25">
      <c r="D322" s="757" t="str">
        <f>E18</f>
        <v>Forest Residues (Cellulosic)</v>
      </c>
      <c r="E322" s="758"/>
      <c r="F322" s="758"/>
      <c r="G322" s="758"/>
      <c r="H322" s="758"/>
      <c r="I322" s="758"/>
      <c r="J322" s="758"/>
      <c r="K322" s="758"/>
      <c r="L322" s="758"/>
      <c r="M322" s="758"/>
      <c r="N322" s="758"/>
      <c r="O322" s="758"/>
      <c r="P322" s="758"/>
      <c r="Q322" s="758"/>
      <c r="R322" s="758"/>
      <c r="S322" s="758"/>
      <c r="T322" s="758"/>
      <c r="U322" s="758"/>
      <c r="V322" s="758"/>
      <c r="W322" s="758"/>
    </row>
    <row r="323" spans="2:25" x14ac:dyDescent="0.2">
      <c r="D323" s="873"/>
      <c r="E323" s="743" t="s">
        <v>828</v>
      </c>
      <c r="F323" s="743" t="s">
        <v>836</v>
      </c>
      <c r="G323" s="738"/>
      <c r="H323" s="743"/>
      <c r="I323" s="739">
        <f>H328</f>
        <v>286948750</v>
      </c>
      <c r="J323" s="739">
        <f>I328</f>
        <v>280205454.375</v>
      </c>
      <c r="K323" s="739">
        <f t="shared" ref="K323:W323" si="146">J328</f>
        <v>273366509.16666669</v>
      </c>
      <c r="L323" s="739">
        <f t="shared" si="146"/>
        <v>266431914.37500003</v>
      </c>
      <c r="M323" s="739">
        <f t="shared" si="146"/>
        <v>259401670.00000006</v>
      </c>
      <c r="N323" s="739">
        <f t="shared" si="146"/>
        <v>252275776.04166672</v>
      </c>
      <c r="O323" s="739">
        <f t="shared" si="146"/>
        <v>245054232.50000006</v>
      </c>
      <c r="P323" s="739">
        <f t="shared" si="146"/>
        <v>237737039.37500006</v>
      </c>
      <c r="Q323" s="739">
        <f t="shared" si="146"/>
        <v>230324196.66666672</v>
      </c>
      <c r="R323" s="739">
        <f t="shared" si="146"/>
        <v>222815704.37500006</v>
      </c>
      <c r="S323" s="739">
        <f t="shared" si="146"/>
        <v>215211562.50000006</v>
      </c>
      <c r="T323" s="739">
        <f t="shared" si="146"/>
        <v>207511771.04166672</v>
      </c>
      <c r="U323" s="739">
        <f t="shared" si="146"/>
        <v>199716330.00000006</v>
      </c>
      <c r="V323" s="739">
        <f t="shared" si="146"/>
        <v>191825239.37500006</v>
      </c>
      <c r="W323" s="739">
        <f t="shared" si="146"/>
        <v>183838499.16666672</v>
      </c>
      <c r="X323" s="766"/>
    </row>
    <row r="324" spans="2:25" x14ac:dyDescent="0.2">
      <c r="D324" s="873"/>
      <c r="E324" s="743" t="s">
        <v>829</v>
      </c>
      <c r="F324" s="743" t="s">
        <v>836</v>
      </c>
      <c r="G324" s="738"/>
      <c r="H324" s="743"/>
      <c r="I324" s="739">
        <f>INDEX($F$11:$F$18,MATCH(D322,$E$11:$E$18,0))</f>
        <v>2869487.5000000005</v>
      </c>
      <c r="J324" s="739">
        <f>I324</f>
        <v>2869487.5000000005</v>
      </c>
      <c r="K324" s="739">
        <f t="shared" ref="K324:W325" si="147">J324</f>
        <v>2869487.5000000005</v>
      </c>
      <c r="L324" s="739">
        <f t="shared" si="147"/>
        <v>2869487.5000000005</v>
      </c>
      <c r="M324" s="739">
        <f t="shared" si="147"/>
        <v>2869487.5000000005</v>
      </c>
      <c r="N324" s="739">
        <f t="shared" si="147"/>
        <v>2869487.5000000005</v>
      </c>
      <c r="O324" s="739">
        <f t="shared" si="147"/>
        <v>2869487.5000000005</v>
      </c>
      <c r="P324" s="739">
        <f t="shared" si="147"/>
        <v>2869487.5000000005</v>
      </c>
      <c r="Q324" s="739">
        <f t="shared" si="147"/>
        <v>2869487.5000000005</v>
      </c>
      <c r="R324" s="739">
        <f t="shared" si="147"/>
        <v>2869487.5000000005</v>
      </c>
      <c r="S324" s="739">
        <f t="shared" si="147"/>
        <v>2869487.5000000005</v>
      </c>
      <c r="T324" s="739">
        <f t="shared" si="147"/>
        <v>2869487.5000000005</v>
      </c>
      <c r="U324" s="739">
        <f t="shared" si="147"/>
        <v>2869487.5000000005</v>
      </c>
      <c r="V324" s="739">
        <f t="shared" si="147"/>
        <v>2869487.5000000005</v>
      </c>
      <c r="W324" s="739">
        <f t="shared" si="147"/>
        <v>2869487.5000000005</v>
      </c>
      <c r="X324" s="766"/>
    </row>
    <row r="325" spans="2:25" x14ac:dyDescent="0.2">
      <c r="D325" s="873"/>
      <c r="E325" s="743" t="s">
        <v>830</v>
      </c>
      <c r="F325" s="743" t="s">
        <v>836</v>
      </c>
      <c r="G325" s="738"/>
      <c r="H325" s="743"/>
      <c r="I325" s="743">
        <v>0</v>
      </c>
      <c r="J325" s="743">
        <f>I325</f>
        <v>0</v>
      </c>
      <c r="K325" s="743">
        <f t="shared" si="147"/>
        <v>0</v>
      </c>
      <c r="L325" s="743">
        <f t="shared" si="147"/>
        <v>0</v>
      </c>
      <c r="M325" s="743">
        <f t="shared" si="147"/>
        <v>0</v>
      </c>
      <c r="N325" s="743">
        <f t="shared" si="147"/>
        <v>0</v>
      </c>
      <c r="O325" s="743">
        <f t="shared" si="147"/>
        <v>0</v>
      </c>
      <c r="P325" s="743">
        <f t="shared" si="147"/>
        <v>0</v>
      </c>
      <c r="Q325" s="743">
        <f t="shared" si="147"/>
        <v>0</v>
      </c>
      <c r="R325" s="743">
        <f t="shared" si="147"/>
        <v>0</v>
      </c>
      <c r="S325" s="743">
        <f t="shared" si="147"/>
        <v>0</v>
      </c>
      <c r="T325" s="743">
        <f t="shared" si="147"/>
        <v>0</v>
      </c>
      <c r="U325" s="743">
        <f t="shared" si="147"/>
        <v>0</v>
      </c>
      <c r="V325" s="743">
        <f t="shared" si="147"/>
        <v>0</v>
      </c>
      <c r="W325" s="743">
        <f t="shared" si="147"/>
        <v>0</v>
      </c>
      <c r="X325" s="766"/>
    </row>
    <row r="326" spans="2:25" x14ac:dyDescent="0.2">
      <c r="B326" s="731" t="str">
        <f>"Total Depreciation "&amp;D322&amp;" ("&amp;"Straight-Line"&amp;") over 30 years"</f>
        <v>Total Depreciation Forest Residues (Cellulosic) (Straight-Line) over 30 years</v>
      </c>
      <c r="D326" s="873"/>
      <c r="E326" s="743" t="s">
        <v>831</v>
      </c>
      <c r="F326" s="743" t="s">
        <v>836</v>
      </c>
      <c r="G326" s="738"/>
      <c r="H326" s="743"/>
      <c r="I326" s="890">
        <f>$H328/$K$4+I324*$K$9/$K$5</f>
        <v>9612783.125</v>
      </c>
      <c r="J326" s="739">
        <f>$H328/$K$4+SUM($I324:I324)/$K$5+J324*$K$9/$K$5</f>
        <v>9708432.708333334</v>
      </c>
      <c r="K326" s="739">
        <f>$H328/$K$4+SUM($I324:J324)/$K$5+K324*$K$9/$K$5</f>
        <v>9804082.291666666</v>
      </c>
      <c r="L326" s="739">
        <f>$H328/$K$4+SUM($I324:K324)/$K$5+L324*$K$9/$K$5</f>
        <v>9899731.875</v>
      </c>
      <c r="M326" s="739">
        <f>$H328/$K$4+SUM($I324:L324)/$K$5+M324*$K$9/$K$5</f>
        <v>9995381.458333334</v>
      </c>
      <c r="N326" s="739">
        <f>$H328/$K$4+SUM($I324:M324)/$K$5+N324*$K$9/$K$5</f>
        <v>10091031.041666666</v>
      </c>
      <c r="O326" s="739">
        <f>$H328/$K$4+SUM($I324:N324)/$K$5+O324*$K$9/$K$5</f>
        <v>10186680.625</v>
      </c>
      <c r="P326" s="739">
        <f>$H328/$K$4+SUM($I324:O324)/$K$5+P324*$K$9/$K$5</f>
        <v>10282330.208333334</v>
      </c>
      <c r="Q326" s="739">
        <f>$H328/$K$4+SUM($I324:P324)/$K$5+Q324*$K$9/$K$5</f>
        <v>10377979.791666666</v>
      </c>
      <c r="R326" s="739">
        <f>$H328/$K$4+SUM($I324:Q324)/$K$5+R324*$K$9/$K$5</f>
        <v>10473629.375</v>
      </c>
      <c r="S326" s="739">
        <f>$H328/$K$4+SUM($I324:R324)/$K$5+S324*$K$9/$K$5</f>
        <v>10569278.958333334</v>
      </c>
      <c r="T326" s="739">
        <f>$H328/$K$4+SUM($I324:S324)/$K$5+T324*$K$9/$K$5</f>
        <v>10664928.541666666</v>
      </c>
      <c r="U326" s="739">
        <f>$H328/$K$4+SUM($I324:T324)/$K$5+U324*$K$9/$K$5</f>
        <v>10760578.125</v>
      </c>
      <c r="V326" s="739">
        <f>$H328/$K$4+SUM($I324:U324)/$K$5+V324*$K$9/$K$5</f>
        <v>10856227.708333334</v>
      </c>
      <c r="W326" s="739">
        <f>$H328/$K$4+SUM($I324:V324)/$K$5+W324*$K$9/$K$5</f>
        <v>10951877.291666666</v>
      </c>
      <c r="X326" s="766"/>
    </row>
    <row r="327" spans="2:25" x14ac:dyDescent="0.2">
      <c r="D327" s="873"/>
      <c r="E327" s="743" t="s">
        <v>832</v>
      </c>
      <c r="F327" s="743" t="s">
        <v>836</v>
      </c>
      <c r="G327" s="738"/>
      <c r="H327" s="743"/>
      <c r="I327" s="743">
        <v>0</v>
      </c>
      <c r="J327" s="743">
        <v>0</v>
      </c>
      <c r="K327" s="743">
        <v>0</v>
      </c>
      <c r="L327" s="743">
        <v>0</v>
      </c>
      <c r="M327" s="743">
        <v>0</v>
      </c>
      <c r="N327" s="743">
        <v>0</v>
      </c>
      <c r="O327" s="743">
        <v>0</v>
      </c>
      <c r="P327" s="743">
        <v>0</v>
      </c>
      <c r="Q327" s="743">
        <v>0</v>
      </c>
      <c r="R327" s="743">
        <v>0</v>
      </c>
      <c r="S327" s="743">
        <v>0</v>
      </c>
      <c r="T327" s="743">
        <v>0</v>
      </c>
      <c r="U327" s="743">
        <v>0</v>
      </c>
      <c r="V327" s="743">
        <v>0</v>
      </c>
      <c r="W327" s="743">
        <v>0</v>
      </c>
      <c r="X327" s="766"/>
    </row>
    <row r="328" spans="2:25" x14ac:dyDescent="0.2">
      <c r="B328" s="731" t="str">
        <f>"Total Depreciation "&amp;D322&amp;" ("&amp;"Straight-Line"&amp;") over 30 years"</f>
        <v>Total Depreciation Forest Residues (Cellulosic) (Straight-Line) over 30 years</v>
      </c>
      <c r="D328" s="873"/>
      <c r="E328" s="743" t="s">
        <v>833</v>
      </c>
      <c r="F328" s="743" t="s">
        <v>836</v>
      </c>
      <c r="G328" s="738"/>
      <c r="H328" s="739">
        <f>INDEX($F$33:$F$40,MATCH(B328,$B$33:$B$40,0))</f>
        <v>286948750</v>
      </c>
      <c r="I328" s="739">
        <f>I323+I324-I326</f>
        <v>280205454.375</v>
      </c>
      <c r="J328" s="739">
        <f>J323+J324-J326</f>
        <v>273366509.16666669</v>
      </c>
      <c r="K328" s="739">
        <f t="shared" ref="K328:W328" si="148">K323+K324-K326</f>
        <v>266431914.37500003</v>
      </c>
      <c r="L328" s="739">
        <f t="shared" si="148"/>
        <v>259401670.00000006</v>
      </c>
      <c r="M328" s="739">
        <f t="shared" si="148"/>
        <v>252275776.04166672</v>
      </c>
      <c r="N328" s="739">
        <f t="shared" si="148"/>
        <v>245054232.50000006</v>
      </c>
      <c r="O328" s="739">
        <f t="shared" si="148"/>
        <v>237737039.37500006</v>
      </c>
      <c r="P328" s="739">
        <f t="shared" si="148"/>
        <v>230324196.66666672</v>
      </c>
      <c r="Q328" s="739">
        <f t="shared" si="148"/>
        <v>222815704.37500006</v>
      </c>
      <c r="R328" s="739">
        <f t="shared" si="148"/>
        <v>215211562.50000006</v>
      </c>
      <c r="S328" s="739">
        <f t="shared" si="148"/>
        <v>207511771.04166672</v>
      </c>
      <c r="T328" s="739">
        <f t="shared" si="148"/>
        <v>199716330.00000006</v>
      </c>
      <c r="U328" s="739">
        <f t="shared" si="148"/>
        <v>191825239.37500006</v>
      </c>
      <c r="V328" s="739">
        <f t="shared" si="148"/>
        <v>183838499.16666672</v>
      </c>
      <c r="W328" s="739">
        <f t="shared" si="148"/>
        <v>175756109.37500006</v>
      </c>
      <c r="X328" s="766"/>
      <c r="Y328" s="766"/>
    </row>
    <row r="329" spans="2:25" x14ac:dyDescent="0.2">
      <c r="D329" s="766"/>
      <c r="E329" s="744"/>
      <c r="F329" s="744"/>
      <c r="G329" s="571"/>
      <c r="H329" s="744"/>
      <c r="I329" s="744"/>
      <c r="J329" s="744"/>
      <c r="K329" s="744"/>
      <c r="L329" s="744"/>
      <c r="M329" s="744"/>
      <c r="N329" s="744"/>
      <c r="O329" s="744"/>
      <c r="P329" s="744"/>
      <c r="Q329" s="744"/>
      <c r="R329" s="744"/>
      <c r="S329" s="744"/>
      <c r="T329" s="744"/>
      <c r="U329" s="744"/>
      <c r="V329" s="744"/>
      <c r="W329" s="744"/>
      <c r="X329" s="766"/>
      <c r="Y329" s="766"/>
    </row>
    <row r="330" spans="2:25" x14ac:dyDescent="0.2">
      <c r="D330" s="873"/>
      <c r="E330" s="881" t="s">
        <v>834</v>
      </c>
      <c r="F330" s="743"/>
      <c r="G330" s="738"/>
      <c r="H330" s="743"/>
      <c r="I330" s="739"/>
      <c r="J330" s="739"/>
      <c r="K330" s="739"/>
      <c r="L330" s="739"/>
      <c r="M330" s="739"/>
      <c r="N330" s="739"/>
      <c r="O330" s="739"/>
      <c r="P330" s="739"/>
      <c r="Q330" s="739"/>
      <c r="R330" s="739"/>
      <c r="S330" s="739"/>
      <c r="T330" s="739"/>
      <c r="U330" s="739"/>
      <c r="V330" s="739"/>
      <c r="W330" s="739"/>
      <c r="X330" s="766"/>
      <c r="Y330" s="766"/>
    </row>
    <row r="331" spans="2:25" x14ac:dyDescent="0.2">
      <c r="D331" s="873"/>
      <c r="E331" s="743" t="s">
        <v>835</v>
      </c>
      <c r="F331" s="743" t="s">
        <v>836</v>
      </c>
      <c r="G331" s="738"/>
      <c r="H331" s="743"/>
      <c r="I331" s="739">
        <f t="shared" ref="I331:W331" si="149">I323+I324*$K$9</f>
        <v>288383493.75</v>
      </c>
      <c r="J331" s="739">
        <f t="shared" si="149"/>
        <v>281640198.125</v>
      </c>
      <c r="K331" s="739">
        <f t="shared" si="149"/>
        <v>274801252.91666669</v>
      </c>
      <c r="L331" s="739">
        <f t="shared" si="149"/>
        <v>267866658.12500003</v>
      </c>
      <c r="M331" s="739">
        <f t="shared" si="149"/>
        <v>260836413.75000006</v>
      </c>
      <c r="N331" s="739">
        <f t="shared" si="149"/>
        <v>253710519.79166672</v>
      </c>
      <c r="O331" s="739">
        <f t="shared" si="149"/>
        <v>246488976.25000006</v>
      </c>
      <c r="P331" s="739">
        <f t="shared" si="149"/>
        <v>239171783.12500006</v>
      </c>
      <c r="Q331" s="739">
        <f t="shared" si="149"/>
        <v>231758940.41666672</v>
      </c>
      <c r="R331" s="739">
        <f t="shared" si="149"/>
        <v>224250448.12500006</v>
      </c>
      <c r="S331" s="739">
        <f t="shared" si="149"/>
        <v>216646306.25000006</v>
      </c>
      <c r="T331" s="739">
        <f t="shared" si="149"/>
        <v>208946514.79166672</v>
      </c>
      <c r="U331" s="739">
        <f t="shared" si="149"/>
        <v>201151073.75000006</v>
      </c>
      <c r="V331" s="739">
        <f t="shared" si="149"/>
        <v>193259983.12500006</v>
      </c>
      <c r="W331" s="739">
        <f t="shared" si="149"/>
        <v>185273242.91666672</v>
      </c>
      <c r="X331" s="766" t="s">
        <v>948</v>
      </c>
      <c r="Y331" s="766"/>
    </row>
    <row r="332" spans="2:25" x14ac:dyDescent="0.2">
      <c r="D332" s="873"/>
      <c r="E332" s="743" t="str">
        <f>E$59</f>
        <v>Return on asset base (post-tax, year end value)</v>
      </c>
      <c r="F332" s="743" t="s">
        <v>836</v>
      </c>
      <c r="G332" s="738"/>
      <c r="H332" s="743"/>
      <c r="I332" s="739">
        <f t="shared" ref="I332:W332" si="150">I331*$K$3</f>
        <v>19898461.068750001</v>
      </c>
      <c r="J332" s="739">
        <f t="shared" si="150"/>
        <v>19433173.670625001</v>
      </c>
      <c r="K332" s="739">
        <f t="shared" si="150"/>
        <v>18961286.451250002</v>
      </c>
      <c r="L332" s="739">
        <f t="shared" si="150"/>
        <v>18482799.410625003</v>
      </c>
      <c r="M332" s="739">
        <f t="shared" si="150"/>
        <v>17997712.548750006</v>
      </c>
      <c r="N332" s="739">
        <f t="shared" si="150"/>
        <v>17506025.865625005</v>
      </c>
      <c r="O332" s="739">
        <f t="shared" si="150"/>
        <v>17007739.361250006</v>
      </c>
      <c r="P332" s="739">
        <f t="shared" si="150"/>
        <v>16502853.035625005</v>
      </c>
      <c r="Q332" s="739">
        <f t="shared" si="150"/>
        <v>15991366.888750006</v>
      </c>
      <c r="R332" s="739">
        <f t="shared" si="150"/>
        <v>15473280.920625005</v>
      </c>
      <c r="S332" s="739">
        <f t="shared" si="150"/>
        <v>14948595.131250005</v>
      </c>
      <c r="T332" s="739">
        <f t="shared" si="150"/>
        <v>14417309.520625005</v>
      </c>
      <c r="U332" s="739">
        <f t="shared" si="150"/>
        <v>13879424.088750005</v>
      </c>
      <c r="V332" s="739">
        <f t="shared" si="150"/>
        <v>13334938.835625006</v>
      </c>
      <c r="W332" s="739">
        <f t="shared" si="150"/>
        <v>12783853.761250004</v>
      </c>
      <c r="X332" s="766"/>
      <c r="Y332" s="766"/>
    </row>
    <row r="333" spans="2:25" x14ac:dyDescent="0.2">
      <c r="D333" s="766"/>
      <c r="E333" s="744"/>
      <c r="F333" s="744"/>
      <c r="G333" s="571"/>
      <c r="H333" s="744"/>
      <c r="I333" s="744"/>
      <c r="J333" s="744"/>
      <c r="K333" s="744"/>
      <c r="L333" s="744"/>
      <c r="M333" s="744"/>
      <c r="N333" s="744"/>
      <c r="O333" s="744"/>
      <c r="P333" s="744"/>
      <c r="Q333" s="744"/>
      <c r="R333" s="744"/>
      <c r="S333" s="744"/>
      <c r="T333" s="744"/>
      <c r="U333" s="744"/>
      <c r="V333" s="744"/>
      <c r="W333" s="744"/>
      <c r="X333" s="766"/>
      <c r="Y333" s="766"/>
    </row>
    <row r="334" spans="2:25" x14ac:dyDescent="0.2">
      <c r="D334" s="766"/>
      <c r="E334" s="744" t="str">
        <f>E295</f>
        <v>Return on asset base + depn, mid-year value</v>
      </c>
      <c r="F334" s="744"/>
      <c r="G334" s="571"/>
      <c r="H334" s="744"/>
      <c r="I334" s="891">
        <f>(I332+I326)/(1+$K$3)^0.5</f>
        <v>28542937.538285129</v>
      </c>
      <c r="J334" s="891">
        <f t="shared" ref="J334:W334" si="151">(J332+J326)/(1+$K$3)^0.5</f>
        <v>28185428.075447194</v>
      </c>
      <c r="K334" s="891">
        <f t="shared" si="151"/>
        <v>27821535.341051273</v>
      </c>
      <c r="L334" s="891">
        <f t="shared" si="151"/>
        <v>27451259.335097376</v>
      </c>
      <c r="M334" s="891">
        <f t="shared" si="151"/>
        <v>27074600.0575855</v>
      </c>
      <c r="N334" s="891">
        <f t="shared" si="151"/>
        <v>26691557.508515637</v>
      </c>
      <c r="O334" s="891">
        <f t="shared" si="151"/>
        <v>26302131.687887795</v>
      </c>
      <c r="P334" s="891">
        <f t="shared" si="151"/>
        <v>25906322.595701974</v>
      </c>
      <c r="Q334" s="891">
        <f t="shared" si="151"/>
        <v>25504130.231958169</v>
      </c>
      <c r="R334" s="891">
        <f t="shared" si="151"/>
        <v>25095554.596656382</v>
      </c>
      <c r="S334" s="891">
        <f t="shared" si="151"/>
        <v>24680595.689796615</v>
      </c>
      <c r="T334" s="891">
        <f t="shared" si="151"/>
        <v>24259253.511378869</v>
      </c>
      <c r="U334" s="891">
        <f t="shared" si="151"/>
        <v>23831528.06140314</v>
      </c>
      <c r="V334" s="891">
        <f t="shared" si="151"/>
        <v>23397419.339869436</v>
      </c>
      <c r="W334" s="891">
        <f t="shared" si="151"/>
        <v>22956927.346777741</v>
      </c>
      <c r="X334" s="766"/>
      <c r="Y334" s="766"/>
    </row>
    <row r="335" spans="2:25" x14ac:dyDescent="0.2">
      <c r="D335" s="766"/>
      <c r="E335" s="744"/>
      <c r="F335" s="744"/>
      <c r="G335" s="571"/>
      <c r="H335" s="744"/>
      <c r="I335" s="891"/>
      <c r="J335" s="744"/>
      <c r="K335" s="744"/>
      <c r="L335" s="744"/>
      <c r="M335" s="744"/>
      <c r="N335" s="744"/>
      <c r="O335" s="744"/>
      <c r="P335" s="744"/>
      <c r="Q335" s="744"/>
      <c r="R335" s="744"/>
      <c r="S335" s="744"/>
      <c r="T335" s="744"/>
      <c r="U335" s="744"/>
      <c r="V335" s="744"/>
      <c r="W335" s="744"/>
      <c r="X335" s="766"/>
      <c r="Y335" s="766"/>
    </row>
    <row r="336" spans="2:25" x14ac:dyDescent="0.2">
      <c r="D336" s="766"/>
      <c r="E336" s="254" t="str">
        <f>E$63</f>
        <v>Tax depreciation</v>
      </c>
      <c r="F336" s="515"/>
      <c r="G336" s="656"/>
      <c r="H336" s="515"/>
      <c r="I336" s="894"/>
      <c r="J336" s="894"/>
      <c r="K336" s="894"/>
      <c r="L336" s="894"/>
      <c r="M336" s="894"/>
      <c r="N336" s="894"/>
      <c r="O336" s="894"/>
      <c r="P336" s="894"/>
      <c r="Q336" s="894"/>
      <c r="R336" s="894"/>
      <c r="S336" s="894"/>
      <c r="T336" s="894"/>
      <c r="U336" s="894"/>
      <c r="V336" s="894"/>
      <c r="W336" s="894"/>
      <c r="X336" s="766"/>
    </row>
    <row r="337" spans="4:24" x14ac:dyDescent="0.2">
      <c r="D337" s="766"/>
      <c r="E337" s="515" t="str">
        <f>E$64</f>
        <v>Opening TVA</v>
      </c>
      <c r="F337" s="515" t="str">
        <f>F$64</f>
        <v>$'000 nominal</v>
      </c>
      <c r="G337" s="656"/>
      <c r="H337" s="744"/>
      <c r="I337" s="890">
        <f>H342</f>
        <v>293835520</v>
      </c>
      <c r="J337" s="891">
        <f t="shared" ref="J337:W337" si="152">I342</f>
        <v>286999730.46271998</v>
      </c>
      <c r="K337" s="891">
        <f t="shared" si="152"/>
        <v>280134654.53505194</v>
      </c>
      <c r="L337" s="891">
        <f t="shared" si="152"/>
        <v>273239589.34362656</v>
      </c>
      <c r="M337" s="891">
        <f t="shared" si="152"/>
        <v>266313815.1461136</v>
      </c>
      <c r="N337" s="891">
        <f t="shared" si="152"/>
        <v>259356594.92636698</v>
      </c>
      <c r="O337" s="891">
        <f t="shared" si="152"/>
        <v>252367173.97985312</v>
      </c>
      <c r="P337" s="891">
        <f t="shared" si="152"/>
        <v>245344779.4891296</v>
      </c>
      <c r="Q337" s="891">
        <f t="shared" si="152"/>
        <v>238288620.08913538</v>
      </c>
      <c r="R337" s="891">
        <f t="shared" si="152"/>
        <v>231197885.42204797</v>
      </c>
      <c r="S337" s="891">
        <f t="shared" si="152"/>
        <v>224071745.68145713</v>
      </c>
      <c r="T337" s="891">
        <f t="shared" si="152"/>
        <v>216909351.14559877</v>
      </c>
      <c r="U337" s="891">
        <f t="shared" si="152"/>
        <v>209709831.69938648</v>
      </c>
      <c r="V337" s="891">
        <f t="shared" si="152"/>
        <v>202472296.34497175</v>
      </c>
      <c r="W337" s="891">
        <f t="shared" si="152"/>
        <v>195195832.70055774</v>
      </c>
      <c r="X337" s="766"/>
    </row>
    <row r="338" spans="4:24" x14ac:dyDescent="0.2">
      <c r="D338" s="766"/>
      <c r="E338" s="515" t="str">
        <f>E$65</f>
        <v xml:space="preserve">  capex net of capital contributions </v>
      </c>
      <c r="F338" s="515" t="str">
        <f>F$65</f>
        <v>$'000 nominal</v>
      </c>
      <c r="G338" s="656"/>
      <c r="H338" s="744"/>
      <c r="I338" s="891">
        <f t="shared" ref="I338:W338" si="153">I324*I$48</f>
        <v>3008875.7248000004</v>
      </c>
      <c r="J338" s="891">
        <f t="shared" si="153"/>
        <v>3081088.7421952006</v>
      </c>
      <c r="K338" s="891">
        <f t="shared" si="153"/>
        <v>3155034.8720078859</v>
      </c>
      <c r="L338" s="891">
        <f t="shared" si="153"/>
        <v>3230755.7089360757</v>
      </c>
      <c r="M338" s="891">
        <f t="shared" si="153"/>
        <v>3308293.8459505411</v>
      </c>
      <c r="N338" s="891">
        <f t="shared" si="153"/>
        <v>3387692.8982533542</v>
      </c>
      <c r="O338" s="891">
        <f t="shared" si="153"/>
        <v>3468997.5278114346</v>
      </c>
      <c r="P338" s="891">
        <f t="shared" si="153"/>
        <v>3552253.4684789097</v>
      </c>
      <c r="Q338" s="891">
        <f t="shared" si="153"/>
        <v>3637507.5517224036</v>
      </c>
      <c r="R338" s="891">
        <f t="shared" si="153"/>
        <v>3724807.7329637413</v>
      </c>
      <c r="S338" s="891">
        <f t="shared" si="153"/>
        <v>3814203.1185548711</v>
      </c>
      <c r="T338" s="891">
        <f t="shared" si="153"/>
        <v>3905743.9934001877</v>
      </c>
      <c r="U338" s="891">
        <f t="shared" si="153"/>
        <v>3999481.8492417927</v>
      </c>
      <c r="V338" s="891">
        <f t="shared" si="153"/>
        <v>4095469.4136235961</v>
      </c>
      <c r="W338" s="891">
        <f t="shared" si="153"/>
        <v>4193760.6795505625</v>
      </c>
      <c r="X338" s="766"/>
    </row>
    <row r="339" spans="4:24" x14ac:dyDescent="0.2">
      <c r="D339" s="766"/>
      <c r="E339" s="515" t="str">
        <f>E$66</f>
        <v xml:space="preserve">  disposals </v>
      </c>
      <c r="F339" s="515" t="str">
        <f>F$66</f>
        <v>$'000 nominal</v>
      </c>
      <c r="G339" s="656"/>
      <c r="H339" s="744"/>
      <c r="I339" s="744"/>
      <c r="J339" s="744"/>
      <c r="K339" s="744"/>
      <c r="L339" s="744"/>
      <c r="M339" s="744"/>
      <c r="N339" s="744"/>
      <c r="O339" s="744"/>
      <c r="P339" s="744"/>
      <c r="Q339" s="744"/>
      <c r="R339" s="744"/>
      <c r="S339" s="744"/>
      <c r="T339" s="744"/>
      <c r="U339" s="744"/>
      <c r="V339" s="744"/>
      <c r="W339" s="744"/>
      <c r="X339" s="766"/>
    </row>
    <row r="340" spans="4:24" x14ac:dyDescent="0.2">
      <c r="D340" s="766"/>
      <c r="E340" s="515" t="str">
        <f>E$67</f>
        <v xml:space="preserve">  depreciation</v>
      </c>
      <c r="F340" s="515" t="str">
        <f>F$67</f>
        <v>$'000 nominal</v>
      </c>
      <c r="G340" s="656"/>
      <c r="H340" s="744"/>
      <c r="I340" s="890">
        <f>$H342/$K$4+I338*$K$9/$K$5</f>
        <v>9844665.2620800007</v>
      </c>
      <c r="J340" s="739">
        <f>$H342/$K$4+SUM($I338:I338)/$K$5+J338*$K$9/$K$5</f>
        <v>9946164.6698632538</v>
      </c>
      <c r="K340" s="739">
        <f>$H342/$K$4+SUM($I338:J338)/$K$5+K338*$K$9/$K$5</f>
        <v>10050100.063433304</v>
      </c>
      <c r="L340" s="739">
        <f>$H342/$K$4+SUM($I338:K338)/$K$5+L338*$K$9/$K$5</f>
        <v>10156529.906449039</v>
      </c>
      <c r="M340" s="739">
        <f>$H342/$K$4+SUM($I338:L338)/$K$5+M338*$K$9/$K$5</f>
        <v>10265514.065697148</v>
      </c>
      <c r="N340" s="739">
        <f>$H342/$K$4+SUM($I338:M338)/$K$5+N338*$K$9/$K$5</f>
        <v>10377113.844767213</v>
      </c>
      <c r="O340" s="739">
        <f>$H342/$K$4+SUM($I338:N338)/$K$5+O338*$K$9/$K$5</f>
        <v>10491392.01853496</v>
      </c>
      <c r="P340" s="739">
        <f>$H342/$K$4+SUM($I338:O338)/$K$5+P338*$K$9/$K$5</f>
        <v>10608412.868473131</v>
      </c>
      <c r="Q340" s="739">
        <f>$H342/$K$4+SUM($I338:P338)/$K$5+Q338*$K$9/$K$5</f>
        <v>10728242.218809821</v>
      </c>
      <c r="R340" s="739">
        <f>$H342/$K$4+SUM($I338:Q338)/$K$5+R338*$K$9/$K$5</f>
        <v>10850947.473554589</v>
      </c>
      <c r="S340" s="739">
        <f>$H342/$K$4+SUM($I338:R338)/$K$5+S338*$K$9/$K$5</f>
        <v>10976597.654413234</v>
      </c>
      <c r="T340" s="739">
        <f>$H342/$K$4+SUM($I338:S338)/$K$5+T338*$K$9/$K$5</f>
        <v>11105263.439612484</v>
      </c>
      <c r="U340" s="739">
        <f>$H342/$K$4+SUM($I338:T338)/$K$5+U338*$K$9/$K$5</f>
        <v>11237017.203656517</v>
      </c>
      <c r="V340" s="739">
        <f>$H342/$K$4+SUM($I338:U338)/$K$5+V338*$K$9/$K$5</f>
        <v>11371933.058037607</v>
      </c>
      <c r="W340" s="739">
        <f>$H342/$K$4+SUM($I338:V338)/$K$5+W338*$K$9/$K$5</f>
        <v>11510086.892923843</v>
      </c>
      <c r="X340" s="766"/>
    </row>
    <row r="341" spans="4:24" x14ac:dyDescent="0.2">
      <c r="D341" s="766"/>
      <c r="E341" s="515" t="str">
        <f>E$68</f>
        <v xml:space="preserve">  no indexation for TVA</v>
      </c>
      <c r="F341" s="515" t="str">
        <f>F$68</f>
        <v>$'000 nominal</v>
      </c>
      <c r="G341" s="656"/>
      <c r="H341" s="744"/>
      <c r="I341" s="891"/>
      <c r="J341" s="744"/>
      <c r="K341" s="744"/>
      <c r="L341" s="744"/>
      <c r="M341" s="744"/>
      <c r="N341" s="744"/>
      <c r="O341" s="744"/>
      <c r="P341" s="744"/>
      <c r="Q341" s="744"/>
      <c r="R341" s="744"/>
      <c r="S341" s="744"/>
      <c r="T341" s="744"/>
      <c r="U341" s="744"/>
      <c r="V341" s="744"/>
      <c r="W341" s="744"/>
      <c r="X341" s="766"/>
    </row>
    <row r="342" spans="4:24" x14ac:dyDescent="0.2">
      <c r="D342" s="766"/>
      <c r="E342" s="515" t="str">
        <f>E$69</f>
        <v>Closing TVA</v>
      </c>
      <c r="F342" s="515" t="str">
        <f>F$69</f>
        <v>$'000 nominal</v>
      </c>
      <c r="G342" s="656"/>
      <c r="H342" s="890">
        <f>H328*H$48</f>
        <v>293835520</v>
      </c>
      <c r="I342" s="891">
        <f>I337+I338-I340</f>
        <v>286999730.46271998</v>
      </c>
      <c r="J342" s="891">
        <f t="shared" ref="J342:W342" si="154">J337+J338-J340</f>
        <v>280134654.53505194</v>
      </c>
      <c r="K342" s="891">
        <f t="shared" si="154"/>
        <v>273239589.34362656</v>
      </c>
      <c r="L342" s="891">
        <f t="shared" si="154"/>
        <v>266313815.1461136</v>
      </c>
      <c r="M342" s="891">
        <f t="shared" si="154"/>
        <v>259356594.92636698</v>
      </c>
      <c r="N342" s="891">
        <f t="shared" si="154"/>
        <v>252367173.97985312</v>
      </c>
      <c r="O342" s="891">
        <f t="shared" si="154"/>
        <v>245344779.4891296</v>
      </c>
      <c r="P342" s="891">
        <f t="shared" si="154"/>
        <v>238288620.08913538</v>
      </c>
      <c r="Q342" s="891">
        <f t="shared" si="154"/>
        <v>231197885.42204797</v>
      </c>
      <c r="R342" s="891">
        <f t="shared" si="154"/>
        <v>224071745.68145713</v>
      </c>
      <c r="S342" s="891">
        <f t="shared" si="154"/>
        <v>216909351.14559877</v>
      </c>
      <c r="T342" s="891">
        <f t="shared" si="154"/>
        <v>209709831.69938648</v>
      </c>
      <c r="U342" s="891">
        <f t="shared" si="154"/>
        <v>202472296.34497175</v>
      </c>
      <c r="V342" s="891">
        <f t="shared" si="154"/>
        <v>195195832.70055774</v>
      </c>
      <c r="W342" s="891">
        <f t="shared" si="154"/>
        <v>187879506.48718446</v>
      </c>
      <c r="X342" s="766"/>
    </row>
    <row r="343" spans="4:24" x14ac:dyDescent="0.2">
      <c r="D343" s="766"/>
      <c r="E343" s="515"/>
      <c r="F343" s="515"/>
      <c r="G343" s="656"/>
      <c r="H343" s="744"/>
      <c r="I343" s="744"/>
      <c r="J343" s="744"/>
      <c r="K343" s="744"/>
      <c r="L343" s="744"/>
      <c r="M343" s="744"/>
      <c r="N343" s="744"/>
      <c r="O343" s="744"/>
      <c r="P343" s="744"/>
      <c r="Q343" s="744"/>
      <c r="R343" s="744"/>
      <c r="S343" s="744"/>
      <c r="T343" s="744"/>
      <c r="U343" s="744"/>
      <c r="V343" s="744"/>
      <c r="W343" s="744"/>
      <c r="X343" s="766"/>
    </row>
    <row r="344" spans="4:24" x14ac:dyDescent="0.2">
      <c r="D344" s="766"/>
      <c r="E344" s="254" t="str">
        <f>E$71</f>
        <v xml:space="preserve">Tax allowance </v>
      </c>
      <c r="F344" s="515"/>
      <c r="G344" s="656"/>
      <c r="H344" s="744"/>
      <c r="I344" s="744"/>
      <c r="J344" s="744"/>
      <c r="K344" s="744"/>
      <c r="L344" s="744"/>
      <c r="M344" s="744"/>
      <c r="N344" s="744"/>
      <c r="O344" s="744"/>
      <c r="P344" s="744"/>
      <c r="Q344" s="744"/>
      <c r="R344" s="744"/>
      <c r="S344" s="744"/>
      <c r="T344" s="744"/>
      <c r="U344" s="744"/>
      <c r="V344" s="744"/>
      <c r="W344" s="744"/>
      <c r="X344" s="766"/>
    </row>
    <row r="345" spans="4:24" x14ac:dyDescent="0.2">
      <c r="D345" s="766"/>
      <c r="E345" s="515" t="str">
        <f>E$72</f>
        <v>Required revenue excluding tax liability and opex</v>
      </c>
      <c r="F345" s="515" t="str">
        <f>F$72</f>
        <v>$'000 nominal</v>
      </c>
      <c r="G345" s="656"/>
      <c r="H345" s="892" t="s">
        <v>957</v>
      </c>
      <c r="I345" s="891">
        <f>I334</f>
        <v>28542937.538285129</v>
      </c>
      <c r="J345" s="891">
        <f t="shared" ref="J345:W345" si="155">J334</f>
        <v>28185428.075447194</v>
      </c>
      <c r="K345" s="891">
        <f t="shared" si="155"/>
        <v>27821535.341051273</v>
      </c>
      <c r="L345" s="891">
        <f t="shared" si="155"/>
        <v>27451259.335097376</v>
      </c>
      <c r="M345" s="891">
        <f t="shared" si="155"/>
        <v>27074600.0575855</v>
      </c>
      <c r="N345" s="891">
        <f t="shared" si="155"/>
        <v>26691557.508515637</v>
      </c>
      <c r="O345" s="891">
        <f t="shared" si="155"/>
        <v>26302131.687887795</v>
      </c>
      <c r="P345" s="891">
        <f t="shared" si="155"/>
        <v>25906322.595701974</v>
      </c>
      <c r="Q345" s="891">
        <f t="shared" si="155"/>
        <v>25504130.231958169</v>
      </c>
      <c r="R345" s="891">
        <f t="shared" si="155"/>
        <v>25095554.596656382</v>
      </c>
      <c r="S345" s="891">
        <f t="shared" si="155"/>
        <v>24680595.689796615</v>
      </c>
      <c r="T345" s="891">
        <f t="shared" si="155"/>
        <v>24259253.511378869</v>
      </c>
      <c r="U345" s="891">
        <f t="shared" si="155"/>
        <v>23831528.06140314</v>
      </c>
      <c r="V345" s="891">
        <f t="shared" si="155"/>
        <v>23397419.339869436</v>
      </c>
      <c r="W345" s="891">
        <f t="shared" si="155"/>
        <v>22956927.346777741</v>
      </c>
      <c r="X345" s="766"/>
    </row>
    <row r="346" spans="4:24" x14ac:dyDescent="0.2">
      <c r="D346" s="766"/>
      <c r="E346" s="515" t="str">
        <f>E$73</f>
        <v xml:space="preserve">  less</v>
      </c>
      <c r="F346" s="515"/>
      <c r="G346" s="656"/>
      <c r="H346" s="892" t="s">
        <v>959</v>
      </c>
      <c r="I346" s="891"/>
      <c r="J346" s="891"/>
      <c r="K346" s="891"/>
      <c r="L346" s="891"/>
      <c r="M346" s="891"/>
      <c r="N346" s="891"/>
      <c r="O346" s="891"/>
      <c r="P346" s="891"/>
      <c r="Q346" s="891"/>
      <c r="R346" s="891"/>
      <c r="S346" s="891"/>
      <c r="T346" s="891"/>
      <c r="U346" s="891"/>
      <c r="V346" s="891"/>
      <c r="W346" s="891"/>
      <c r="X346" s="766"/>
    </row>
    <row r="347" spans="4:24" x14ac:dyDescent="0.2">
      <c r="D347" s="766"/>
      <c r="E347" s="515" t="str">
        <f>E$74</f>
        <v>NA - Operating expenditure</v>
      </c>
      <c r="F347" s="515" t="str">
        <f>F$74</f>
        <v>$'000 nominal</v>
      </c>
      <c r="G347" s="656"/>
      <c r="H347" s="744"/>
      <c r="I347" s="893">
        <v>0</v>
      </c>
      <c r="J347" s="893">
        <v>0</v>
      </c>
      <c r="K347" s="893">
        <v>0</v>
      </c>
      <c r="L347" s="893">
        <v>0</v>
      </c>
      <c r="M347" s="893">
        <v>0</v>
      </c>
      <c r="N347" s="893">
        <v>0</v>
      </c>
      <c r="O347" s="893">
        <v>0</v>
      </c>
      <c r="P347" s="893">
        <v>0</v>
      </c>
      <c r="Q347" s="893">
        <v>0</v>
      </c>
      <c r="R347" s="893">
        <v>0</v>
      </c>
      <c r="S347" s="893">
        <v>0</v>
      </c>
      <c r="T347" s="893">
        <v>0</v>
      </c>
      <c r="U347" s="893">
        <v>0</v>
      </c>
      <c r="V347" s="893">
        <v>0</v>
      </c>
      <c r="W347" s="893">
        <v>0</v>
      </c>
      <c r="X347" s="766"/>
    </row>
    <row r="348" spans="4:24" x14ac:dyDescent="0.2">
      <c r="D348" s="766"/>
      <c r="E348" s="515" t="str">
        <f>E$75</f>
        <v>Tax depreciation</v>
      </c>
      <c r="F348" s="515" t="str">
        <f>F$75</f>
        <v>$'000 nominal</v>
      </c>
      <c r="G348" s="656"/>
      <c r="H348" s="744"/>
      <c r="I348" s="891">
        <f>I340</f>
        <v>9844665.2620800007</v>
      </c>
      <c r="J348" s="891">
        <f t="shared" ref="J348:W348" si="156">J340</f>
        <v>9946164.6698632538</v>
      </c>
      <c r="K348" s="891">
        <f t="shared" si="156"/>
        <v>10050100.063433304</v>
      </c>
      <c r="L348" s="891">
        <f t="shared" si="156"/>
        <v>10156529.906449039</v>
      </c>
      <c r="M348" s="891">
        <f t="shared" si="156"/>
        <v>10265514.065697148</v>
      </c>
      <c r="N348" s="891">
        <f t="shared" si="156"/>
        <v>10377113.844767213</v>
      </c>
      <c r="O348" s="891">
        <f t="shared" si="156"/>
        <v>10491392.01853496</v>
      </c>
      <c r="P348" s="891">
        <f t="shared" si="156"/>
        <v>10608412.868473131</v>
      </c>
      <c r="Q348" s="891">
        <f t="shared" si="156"/>
        <v>10728242.218809821</v>
      </c>
      <c r="R348" s="891">
        <f t="shared" si="156"/>
        <v>10850947.473554589</v>
      </c>
      <c r="S348" s="891">
        <f t="shared" si="156"/>
        <v>10976597.654413234</v>
      </c>
      <c r="T348" s="891">
        <f t="shared" si="156"/>
        <v>11105263.439612484</v>
      </c>
      <c r="U348" s="891">
        <f t="shared" si="156"/>
        <v>11237017.203656517</v>
      </c>
      <c r="V348" s="891">
        <f t="shared" si="156"/>
        <v>11371933.058037607</v>
      </c>
      <c r="W348" s="891">
        <f t="shared" si="156"/>
        <v>11510086.892923843</v>
      </c>
      <c r="X348" s="766"/>
    </row>
    <row r="349" spans="4:24" x14ac:dyDescent="0.2">
      <c r="D349" s="766"/>
      <c r="E349" s="515" t="str">
        <f>E$76</f>
        <v>Interest deductible</v>
      </c>
      <c r="F349" s="515" t="str">
        <f>F$76</f>
        <v>$'000 nominal</v>
      </c>
      <c r="G349" s="656"/>
      <c r="H349" s="744"/>
      <c r="I349" s="891">
        <f>AVERAGE(I323,I328)*I$48*$K$10*$K$11</f>
        <v>3122197.5067852801</v>
      </c>
      <c r="J349" s="891">
        <f t="shared" ref="J349:W349" si="157">AVERAGE(J323,J328)*J$48*$K$10*$K$11</f>
        <v>3120565.1917045773</v>
      </c>
      <c r="K349" s="891">
        <f t="shared" si="157"/>
        <v>3115951.8775308887</v>
      </c>
      <c r="L349" s="891">
        <f t="shared" si="157"/>
        <v>3108188.9142283136</v>
      </c>
      <c r="M349" s="891">
        <f t="shared" si="157"/>
        <v>3097100.6375596737</v>
      </c>
      <c r="N349" s="891">
        <f t="shared" si="157"/>
        <v>3082504.1142819556</v>
      </c>
      <c r="O349" s="891">
        <f t="shared" si="157"/>
        <v>3064208.8787849387</v>
      </c>
      <c r="P349" s="891">
        <f t="shared" si="157"/>
        <v>3042016.6609002701</v>
      </c>
      <c r="Q349" s="891">
        <f t="shared" si="157"/>
        <v>3015721.1045998558</v>
      </c>
      <c r="R349" s="891">
        <f t="shared" si="157"/>
        <v>2985107.4772938048</v>
      </c>
      <c r="S349" s="891">
        <f t="shared" si="157"/>
        <v>2949952.3694293196</v>
      </c>
      <c r="T349" s="891">
        <f t="shared" si="157"/>
        <v>2910023.3840827281</v>
      </c>
      <c r="U349" s="891">
        <f t="shared" si="157"/>
        <v>2865078.8162274742</v>
      </c>
      <c r="V349" s="891">
        <f t="shared" si="157"/>
        <v>2814867.3213511682</v>
      </c>
      <c r="W349" s="891">
        <f t="shared" si="157"/>
        <v>2759127.5730848098</v>
      </c>
      <c r="X349" s="766" t="s">
        <v>962</v>
      </c>
    </row>
    <row r="350" spans="4:24" x14ac:dyDescent="0.2">
      <c r="D350" s="766"/>
      <c r="E350" s="515" t="str">
        <f>E$77</f>
        <v>Taxable income for the year</v>
      </c>
      <c r="F350" s="515" t="str">
        <f>F$77</f>
        <v>$'000 nominal</v>
      </c>
      <c r="G350" s="656"/>
      <c r="H350" s="744"/>
      <c r="I350" s="891">
        <f>I345-I348-I349</f>
        <v>15576074.769419849</v>
      </c>
      <c r="J350" s="891">
        <f t="shared" ref="J350:W350" si="158">J345-J348-J349</f>
        <v>15118698.213879364</v>
      </c>
      <c r="K350" s="891">
        <f t="shared" si="158"/>
        <v>14655483.400087081</v>
      </c>
      <c r="L350" s="891">
        <f t="shared" si="158"/>
        <v>14186540.514420025</v>
      </c>
      <c r="M350" s="891">
        <f t="shared" si="158"/>
        <v>13711985.354328677</v>
      </c>
      <c r="N350" s="891">
        <f t="shared" si="158"/>
        <v>13231939.549466468</v>
      </c>
      <c r="O350" s="891">
        <f t="shared" si="158"/>
        <v>12746530.790567897</v>
      </c>
      <c r="P350" s="891">
        <f t="shared" si="158"/>
        <v>12255893.066328572</v>
      </c>
      <c r="Q350" s="891">
        <f t="shared" si="158"/>
        <v>11760166.908548493</v>
      </c>
      <c r="R350" s="891">
        <f t="shared" si="158"/>
        <v>11259499.645807989</v>
      </c>
      <c r="S350" s="891">
        <f t="shared" si="158"/>
        <v>10754045.665954061</v>
      </c>
      <c r="T350" s="891">
        <f t="shared" si="158"/>
        <v>10243966.687683657</v>
      </c>
      <c r="U350" s="891">
        <f t="shared" si="158"/>
        <v>9729432.0415191501</v>
      </c>
      <c r="V350" s="891">
        <f t="shared" si="158"/>
        <v>9210618.9604806602</v>
      </c>
      <c r="W350" s="891">
        <f t="shared" si="158"/>
        <v>8687712.8807690889</v>
      </c>
      <c r="X350" s="766"/>
    </row>
    <row r="351" spans="4:24" x14ac:dyDescent="0.2">
      <c r="D351" s="766"/>
      <c r="E351" s="515"/>
      <c r="F351" s="515"/>
      <c r="G351" s="656"/>
      <c r="H351" s="744"/>
      <c r="I351" s="744"/>
      <c r="J351" s="744"/>
      <c r="K351" s="744"/>
      <c r="L351" s="744"/>
      <c r="M351" s="744"/>
      <c r="N351" s="744"/>
      <c r="O351" s="744"/>
      <c r="P351" s="744"/>
      <c r="Q351" s="744"/>
      <c r="R351" s="744"/>
      <c r="S351" s="744"/>
      <c r="T351" s="744"/>
      <c r="U351" s="744"/>
      <c r="V351" s="744"/>
      <c r="W351" s="744"/>
      <c r="X351" s="766"/>
    </row>
    <row r="352" spans="4:24" x14ac:dyDescent="0.2">
      <c r="D352" s="766"/>
      <c r="E352" s="515" t="str">
        <f>E$79</f>
        <v>Tax before adjustment for franking credits</v>
      </c>
      <c r="F352" s="515" t="str">
        <f>F$79</f>
        <v>$'000 nominal</v>
      </c>
      <c r="G352" s="656"/>
      <c r="H352" s="744"/>
      <c r="I352" s="891">
        <f>I350*$K$13/(1-$K$13*(1-$K$12))</f>
        <v>6029448.2978399405</v>
      </c>
      <c r="J352" s="891">
        <f t="shared" ref="J352:W352" si="159">J350*$K$13/(1-$K$13*(1-$K$12))</f>
        <v>5852399.3085984634</v>
      </c>
      <c r="K352" s="891">
        <f t="shared" si="159"/>
        <v>5673090.3484208053</v>
      </c>
      <c r="L352" s="891">
        <f t="shared" si="159"/>
        <v>5491564.0700980742</v>
      </c>
      <c r="M352" s="891">
        <f t="shared" si="159"/>
        <v>5307865.2984498106</v>
      </c>
      <c r="N352" s="891">
        <f t="shared" si="159"/>
        <v>5122041.1159225032</v>
      </c>
      <c r="O352" s="891">
        <f t="shared" si="159"/>
        <v>4934140.9511875724</v>
      </c>
      <c r="P352" s="891">
        <f t="shared" si="159"/>
        <v>4744216.6708368659</v>
      </c>
      <c r="Q352" s="891">
        <f t="shared" si="159"/>
        <v>4552322.6742768362</v>
      </c>
      <c r="R352" s="891">
        <f t="shared" si="159"/>
        <v>4358515.9919256726</v>
      </c>
      <c r="S352" s="891">
        <f t="shared" si="159"/>
        <v>4162856.3868209268</v>
      </c>
      <c r="T352" s="891">
        <f t="shared" si="159"/>
        <v>3965406.4597485121</v>
      </c>
      <c r="U352" s="891">
        <f t="shared" si="159"/>
        <v>3766231.7580074123</v>
      </c>
      <c r="V352" s="891">
        <f t="shared" si="159"/>
        <v>3565400.8879279974</v>
      </c>
      <c r="W352" s="891">
        <f t="shared" si="159"/>
        <v>3362985.6312654535</v>
      </c>
      <c r="X352" s="766"/>
    </row>
    <row r="353" spans="2:24" x14ac:dyDescent="0.2">
      <c r="D353" s="766"/>
      <c r="E353" s="515" t="str">
        <f>E$80</f>
        <v>Adjustment for franking credits</v>
      </c>
      <c r="F353" s="515" t="str">
        <f>F$80</f>
        <v>$'000 nominal</v>
      </c>
      <c r="G353" s="656"/>
      <c r="H353" s="744"/>
      <c r="I353" s="891">
        <f>-I352*$K$12</f>
        <v>-1507362.0744599851</v>
      </c>
      <c r="J353" s="891">
        <f t="shared" ref="J353:W353" si="160">-J352*$K$12</f>
        <v>-1463099.8271496159</v>
      </c>
      <c r="K353" s="891">
        <f t="shared" si="160"/>
        <v>-1418272.5871052013</v>
      </c>
      <c r="L353" s="891">
        <f t="shared" si="160"/>
        <v>-1372891.0175245185</v>
      </c>
      <c r="M353" s="891">
        <f t="shared" si="160"/>
        <v>-1326966.3246124526</v>
      </c>
      <c r="N353" s="891">
        <f t="shared" si="160"/>
        <v>-1280510.2789806258</v>
      </c>
      <c r="O353" s="891">
        <f t="shared" si="160"/>
        <v>-1233535.2377968931</v>
      </c>
      <c r="P353" s="891">
        <f t="shared" si="160"/>
        <v>-1186054.1677092165</v>
      </c>
      <c r="Q353" s="891">
        <f t="shared" si="160"/>
        <v>-1138080.6685692091</v>
      </c>
      <c r="R353" s="891">
        <f t="shared" si="160"/>
        <v>-1089628.9979814182</v>
      </c>
      <c r="S353" s="891">
        <f t="shared" si="160"/>
        <v>-1040714.0967052317</v>
      </c>
      <c r="T353" s="891">
        <f t="shared" si="160"/>
        <v>-991351.61493712803</v>
      </c>
      <c r="U353" s="891">
        <f t="shared" si="160"/>
        <v>-941557.93950185308</v>
      </c>
      <c r="V353" s="891">
        <f t="shared" si="160"/>
        <v>-891350.22198199935</v>
      </c>
      <c r="W353" s="891">
        <f t="shared" si="160"/>
        <v>-840746.40781636338</v>
      </c>
      <c r="X353" s="766"/>
    </row>
    <row r="354" spans="2:24" x14ac:dyDescent="0.2">
      <c r="D354" s="766"/>
      <c r="E354" s="515" t="str">
        <f>E$81</f>
        <v>Tax net of adjustment for franking credits</v>
      </c>
      <c r="F354" s="515" t="str">
        <f>F$81</f>
        <v>$'000 nominal</v>
      </c>
      <c r="G354" s="656"/>
      <c r="H354" s="744"/>
      <c r="I354" s="891">
        <f>SUM(I352:I353)</f>
        <v>4522086.2233799556</v>
      </c>
      <c r="J354" s="891">
        <f t="shared" ref="J354:W354" si="161">SUM(J352:J353)</f>
        <v>4389299.4814488478</v>
      </c>
      <c r="K354" s="891">
        <f t="shared" si="161"/>
        <v>4254817.7613156037</v>
      </c>
      <c r="L354" s="891">
        <f t="shared" si="161"/>
        <v>4118673.0525735556</v>
      </c>
      <c r="M354" s="891">
        <f t="shared" si="161"/>
        <v>3980898.9738373579</v>
      </c>
      <c r="N354" s="891">
        <f t="shared" si="161"/>
        <v>3841530.8369418774</v>
      </c>
      <c r="O354" s="891">
        <f t="shared" si="161"/>
        <v>3700605.7133906791</v>
      </c>
      <c r="P354" s="891">
        <f t="shared" si="161"/>
        <v>3558162.5031276494</v>
      </c>
      <c r="Q354" s="891">
        <f t="shared" si="161"/>
        <v>3414242.0057076272</v>
      </c>
      <c r="R354" s="891">
        <f t="shared" si="161"/>
        <v>3268886.9939442547</v>
      </c>
      <c r="S354" s="891">
        <f t="shared" si="161"/>
        <v>3122142.290115695</v>
      </c>
      <c r="T354" s="891">
        <f t="shared" si="161"/>
        <v>2974054.8448113841</v>
      </c>
      <c r="U354" s="891">
        <f t="shared" si="161"/>
        <v>2824673.8185055591</v>
      </c>
      <c r="V354" s="891">
        <f t="shared" si="161"/>
        <v>2674050.6659459979</v>
      </c>
      <c r="W354" s="891">
        <f t="shared" si="161"/>
        <v>2522239.22344909</v>
      </c>
      <c r="X354" s="766"/>
    </row>
    <row r="355" spans="2:24" x14ac:dyDescent="0.2">
      <c r="D355" s="766"/>
      <c r="E355" s="515" t="str">
        <f>E$82</f>
        <v>Tax net of adjustment for franking credits</v>
      </c>
      <c r="F355" s="515" t="str">
        <f>F$82</f>
        <v>$'000 real</v>
      </c>
      <c r="G355" s="656"/>
      <c r="H355" s="744"/>
      <c r="I355" s="891">
        <f>I354/I$48</f>
        <v>4312597.4878120003</v>
      </c>
      <c r="J355" s="891">
        <f t="shared" ref="J355:W355" si="162">J354/J$48</f>
        <v>4087853.6938213254</v>
      </c>
      <c r="K355" s="891">
        <f t="shared" si="162"/>
        <v>3869734.2109258925</v>
      </c>
      <c r="L355" s="891">
        <f t="shared" si="162"/>
        <v>3658116.5230962704</v>
      </c>
      <c r="M355" s="891">
        <f t="shared" si="162"/>
        <v>3452879.4527038219</v>
      </c>
      <c r="N355" s="891">
        <f t="shared" si="162"/>
        <v>3253903.1867831564</v>
      </c>
      <c r="O355" s="891">
        <f t="shared" si="162"/>
        <v>3061069.300819735</v>
      </c>
      <c r="P355" s="891">
        <f t="shared" si="162"/>
        <v>2874260.7801761152</v>
      </c>
      <c r="Q355" s="891">
        <f t="shared" si="162"/>
        <v>2693362.0392661206</v>
      </c>
      <c r="R355" s="891">
        <f t="shared" si="162"/>
        <v>2518258.938582086</v>
      </c>
      <c r="S355" s="891">
        <f t="shared" si="162"/>
        <v>2348838.7996763885</v>
      </c>
      <c r="T355" s="891">
        <f t="shared" si="162"/>
        <v>2184990.4181946474</v>
      </c>
      <c r="U355" s="891">
        <f t="shared" si="162"/>
        <v>2026604.0750542618</v>
      </c>
      <c r="V355" s="891">
        <f t="shared" si="162"/>
        <v>1873571.5458584395</v>
      </c>
      <c r="W355" s="891">
        <f t="shared" si="162"/>
        <v>1725786.1086323373</v>
      </c>
      <c r="X355" s="766"/>
    </row>
    <row r="356" spans="2:24" x14ac:dyDescent="0.2">
      <c r="D356" s="766"/>
      <c r="E356" s="744"/>
      <c r="F356" s="744"/>
      <c r="G356" s="571"/>
      <c r="H356" s="744"/>
      <c r="I356" s="735"/>
      <c r="J356" s="735"/>
      <c r="K356" s="735"/>
      <c r="L356" s="735"/>
      <c r="M356" s="735"/>
      <c r="N356" s="735"/>
      <c r="O356" s="735"/>
      <c r="P356" s="735"/>
      <c r="Q356" s="735"/>
      <c r="R356" s="735"/>
      <c r="S356" s="735"/>
      <c r="T356" s="735"/>
      <c r="U356" s="735"/>
      <c r="V356" s="735"/>
      <c r="W356" s="735"/>
    </row>
    <row r="357" spans="2:24" x14ac:dyDescent="0.2">
      <c r="E357" s="380" t="str">
        <f>E$84</f>
        <v>Return on asset base + depn + tax allowance</v>
      </c>
      <c r="F357" s="571" t="s">
        <v>853</v>
      </c>
      <c r="G357" s="571"/>
      <c r="H357" s="571"/>
      <c r="I357" s="895">
        <f>I334+I355</f>
        <v>32855535.02609713</v>
      </c>
      <c r="J357" s="895">
        <f t="shared" ref="J357:W357" si="163">J334+J355</f>
        <v>32273281.76926852</v>
      </c>
      <c r="K357" s="895">
        <f t="shared" si="163"/>
        <v>31691269.551977165</v>
      </c>
      <c r="L357" s="895">
        <f t="shared" si="163"/>
        <v>31109375.858193647</v>
      </c>
      <c r="M357" s="895">
        <f t="shared" si="163"/>
        <v>30527479.510289323</v>
      </c>
      <c r="N357" s="895">
        <f t="shared" si="163"/>
        <v>29945460.695298795</v>
      </c>
      <c r="O357" s="895">
        <f t="shared" si="163"/>
        <v>29363200.988707531</v>
      </c>
      <c r="P357" s="895">
        <f t="shared" si="163"/>
        <v>28780583.375878088</v>
      </c>
      <c r="Q357" s="895">
        <f t="shared" si="163"/>
        <v>28197492.27122429</v>
      </c>
      <c r="R357" s="895">
        <f t="shared" si="163"/>
        <v>27613813.535238467</v>
      </c>
      <c r="S357" s="895">
        <f t="shared" si="163"/>
        <v>27029434.489473004</v>
      </c>
      <c r="T357" s="895">
        <f t="shared" si="163"/>
        <v>26444243.929573517</v>
      </c>
      <c r="U357" s="895">
        <f t="shared" si="163"/>
        <v>25858132.136457402</v>
      </c>
      <c r="V357" s="895">
        <f t="shared" si="163"/>
        <v>25270990.885727875</v>
      </c>
      <c r="W357" s="895">
        <f t="shared" si="163"/>
        <v>24682713.455410078</v>
      </c>
    </row>
    <row r="358" spans="2:24" x14ac:dyDescent="0.2">
      <c r="B358" s="731" t="str">
        <f>E358&amp;"."&amp;D322</f>
        <v>Annual Ethanol Charge.Forest Residues (Cellulosic)</v>
      </c>
      <c r="E358" s="380" t="s">
        <v>845</v>
      </c>
      <c r="F358" s="571" t="s">
        <v>838</v>
      </c>
      <c r="G358" s="571"/>
      <c r="H358" s="571"/>
      <c r="I358" s="736">
        <f t="shared" ref="I358:W358" si="164">I357/($K$7*10^6)</f>
        <v>0.32855535026097132</v>
      </c>
      <c r="J358" s="736">
        <f t="shared" si="164"/>
        <v>0.32273281769268519</v>
      </c>
      <c r="K358" s="736">
        <f t="shared" si="164"/>
        <v>0.31691269551977164</v>
      </c>
      <c r="L358" s="736">
        <f t="shared" si="164"/>
        <v>0.3110937585819365</v>
      </c>
      <c r="M358" s="736">
        <f t="shared" si="164"/>
        <v>0.30527479510289324</v>
      </c>
      <c r="N358" s="736">
        <f t="shared" si="164"/>
        <v>0.29945460695298792</v>
      </c>
      <c r="O358" s="736">
        <f t="shared" si="164"/>
        <v>0.29363200988707533</v>
      </c>
      <c r="P358" s="736">
        <f t="shared" si="164"/>
        <v>0.28780583375878088</v>
      </c>
      <c r="Q358" s="736">
        <f t="shared" si="164"/>
        <v>0.28197492271224289</v>
      </c>
      <c r="R358" s="736">
        <f t="shared" si="164"/>
        <v>0.27613813535238468</v>
      </c>
      <c r="S358" s="736">
        <f t="shared" si="164"/>
        <v>0.27029434489473003</v>
      </c>
      <c r="T358" s="736">
        <f t="shared" si="164"/>
        <v>0.26444243929573519</v>
      </c>
      <c r="U358" s="736">
        <f t="shared" si="164"/>
        <v>0.25858132136457401</v>
      </c>
      <c r="V358" s="736">
        <f t="shared" si="164"/>
        <v>0.25270990885727873</v>
      </c>
      <c r="W358" s="736">
        <f t="shared" si="164"/>
        <v>0.24682713455410077</v>
      </c>
    </row>
    <row r="359" spans="2:24" x14ac:dyDescent="0.2">
      <c r="B359" s="731" t="str">
        <f>E359&amp;"."&amp;D322</f>
        <v>15 year average Ethanol Charge.Forest Residues (Cellulosic)</v>
      </c>
      <c r="E359" s="380" t="str">
        <f>$K$8&amp;" year average Ethanol Charge"</f>
        <v>15 year average Ethanol Charge</v>
      </c>
      <c r="F359" s="571" t="s">
        <v>838</v>
      </c>
      <c r="G359" s="571"/>
      <c r="H359" s="571"/>
      <c r="I359" s="747">
        <f ca="1">AVERAGE($I358:OFFSET($I358,0,$K$8-1))</f>
        <v>0.28776200498587656</v>
      </c>
      <c r="J359" s="747"/>
      <c r="K359" s="747"/>
      <c r="L359" s="747"/>
      <c r="M359" s="747"/>
      <c r="N359" s="747"/>
      <c r="O359" s="747"/>
      <c r="P359" s="747"/>
      <c r="Q359" s="747"/>
      <c r="R359" s="747"/>
      <c r="S359" s="747"/>
      <c r="T359" s="747"/>
      <c r="U359" s="747"/>
      <c r="V359" s="747"/>
      <c r="W359" s="747"/>
    </row>
    <row r="362" spans="2:24" x14ac:dyDescent="0.2">
      <c r="E362" s="862" t="s">
        <v>968</v>
      </c>
      <c r="F362" s="772"/>
      <c r="G362" s="772"/>
      <c r="H362" s="772"/>
      <c r="I362" s="772"/>
      <c r="J362" s="772"/>
      <c r="K362" s="772"/>
      <c r="L362" s="772"/>
      <c r="M362" s="772"/>
      <c r="N362" s="772"/>
      <c r="O362" s="772"/>
      <c r="P362" s="772"/>
      <c r="Q362" s="772"/>
      <c r="R362" s="772"/>
      <c r="S362" s="772"/>
      <c r="T362" s="772"/>
      <c r="U362" s="772"/>
      <c r="V362" s="772"/>
      <c r="W362" s="772"/>
    </row>
    <row r="363" spans="2:24" x14ac:dyDescent="0.2">
      <c r="E363" s="772" t="s">
        <v>969</v>
      </c>
      <c r="F363" s="772"/>
      <c r="G363" s="772"/>
      <c r="H363" s="772"/>
      <c r="I363" s="772"/>
      <c r="J363" s="772"/>
      <c r="K363" s="772"/>
      <c r="L363" s="772"/>
      <c r="M363" s="772"/>
      <c r="N363" s="772"/>
      <c r="O363" s="772"/>
      <c r="P363" s="772"/>
      <c r="Q363" s="772"/>
      <c r="R363" s="772"/>
      <c r="S363" s="772"/>
      <c r="T363" s="772"/>
      <c r="U363" s="772"/>
      <c r="V363" s="772"/>
      <c r="W363" s="772"/>
    </row>
    <row r="364" spans="2:24" x14ac:dyDescent="0.2">
      <c r="E364" s="772" t="s">
        <v>970</v>
      </c>
      <c r="F364" s="772"/>
      <c r="G364" s="863">
        <f>1/K4</f>
        <v>3.3333333333333333E-2</v>
      </c>
      <c r="H364" s="772"/>
      <c r="I364" s="864">
        <f t="shared" ref="I364:W364" si="165">$G364*$H55</f>
        <v>4906000</v>
      </c>
      <c r="J364" s="864">
        <f t="shared" si="165"/>
        <v>4906000</v>
      </c>
      <c r="K364" s="864">
        <f t="shared" si="165"/>
        <v>4906000</v>
      </c>
      <c r="L364" s="864">
        <f t="shared" si="165"/>
        <v>4906000</v>
      </c>
      <c r="M364" s="864">
        <f t="shared" si="165"/>
        <v>4906000</v>
      </c>
      <c r="N364" s="864">
        <f t="shared" si="165"/>
        <v>4906000</v>
      </c>
      <c r="O364" s="864">
        <f t="shared" si="165"/>
        <v>4906000</v>
      </c>
      <c r="P364" s="864">
        <f t="shared" si="165"/>
        <v>4906000</v>
      </c>
      <c r="Q364" s="864">
        <f t="shared" si="165"/>
        <v>4906000</v>
      </c>
      <c r="R364" s="864">
        <f t="shared" si="165"/>
        <v>4906000</v>
      </c>
      <c r="S364" s="864">
        <f t="shared" si="165"/>
        <v>4906000</v>
      </c>
      <c r="T364" s="864">
        <f t="shared" si="165"/>
        <v>4906000</v>
      </c>
      <c r="U364" s="864">
        <f t="shared" si="165"/>
        <v>4906000</v>
      </c>
      <c r="V364" s="864">
        <f t="shared" si="165"/>
        <v>4906000</v>
      </c>
      <c r="W364" s="864">
        <f t="shared" si="165"/>
        <v>4906000</v>
      </c>
    </row>
    <row r="365" spans="2:24" x14ac:dyDescent="0.2">
      <c r="E365" s="772" t="s">
        <v>971</v>
      </c>
      <c r="F365" s="772"/>
      <c r="G365" s="772"/>
      <c r="H365" s="772"/>
      <c r="I365" s="865">
        <f>I51*$K$9</f>
        <v>735900</v>
      </c>
      <c r="J365" s="864">
        <f>J51*$K$9+SUM($I51:I51)</f>
        <v>2207700</v>
      </c>
      <c r="K365" s="864">
        <f>K51*$K$9+SUM($I51:J51)</f>
        <v>3679500</v>
      </c>
      <c r="L365" s="864">
        <f>L51*$K$9+SUM($I51:K51)</f>
        <v>5151300</v>
      </c>
      <c r="M365" s="864">
        <f>M51*$K$9+SUM($I51:L51)</f>
        <v>6623100</v>
      </c>
      <c r="N365" s="864">
        <f>N51*$K$9+SUM($I51:M51)</f>
        <v>8094900</v>
      </c>
      <c r="O365" s="864">
        <f>O51*$K$9+SUM($I51:N51)</f>
        <v>9566700</v>
      </c>
      <c r="P365" s="864">
        <f>P51*$K$9+SUM($I51:O51)</f>
        <v>11038500</v>
      </c>
      <c r="Q365" s="864">
        <f>Q51*$K$9+SUM($I51:P51)</f>
        <v>12510300</v>
      </c>
      <c r="R365" s="864">
        <f>R51*$K$9+SUM($I51:Q51)</f>
        <v>13982100</v>
      </c>
      <c r="S365" s="864">
        <f>S51*$K$9+SUM($I51:R51)</f>
        <v>15453900</v>
      </c>
      <c r="T365" s="864">
        <f>T51*$K$9+SUM($I51:S51)</f>
        <v>16925700</v>
      </c>
      <c r="U365" s="864">
        <f>U51*$K$9+SUM($I51:T51)</f>
        <v>18397500</v>
      </c>
      <c r="V365" s="864">
        <f>V51*$K$9+SUM($I51:U51)</f>
        <v>19869300</v>
      </c>
      <c r="W365" s="864">
        <f>W51*$K$9+SUM($I51:V51)</f>
        <v>21341100</v>
      </c>
    </row>
    <row r="366" spans="2:24" x14ac:dyDescent="0.2">
      <c r="E366" s="772" t="s">
        <v>972</v>
      </c>
      <c r="F366" s="772"/>
      <c r="G366" s="863">
        <f>1/K5</f>
        <v>3.3333333333333333E-2</v>
      </c>
      <c r="H366" s="772"/>
      <c r="I366" s="864">
        <f>I365*$G366</f>
        <v>24530</v>
      </c>
      <c r="J366" s="864">
        <f t="shared" ref="J366:W366" si="166">J365*$G366</f>
        <v>73590</v>
      </c>
      <c r="K366" s="864">
        <f t="shared" si="166"/>
        <v>122650</v>
      </c>
      <c r="L366" s="864">
        <f t="shared" si="166"/>
        <v>171710</v>
      </c>
      <c r="M366" s="864">
        <f t="shared" si="166"/>
        <v>220770</v>
      </c>
      <c r="N366" s="864">
        <f t="shared" si="166"/>
        <v>269830</v>
      </c>
      <c r="O366" s="864">
        <f t="shared" si="166"/>
        <v>318890</v>
      </c>
      <c r="P366" s="864">
        <f t="shared" si="166"/>
        <v>367950</v>
      </c>
      <c r="Q366" s="864">
        <f t="shared" si="166"/>
        <v>417010</v>
      </c>
      <c r="R366" s="864">
        <f t="shared" si="166"/>
        <v>466070</v>
      </c>
      <c r="S366" s="864">
        <f t="shared" si="166"/>
        <v>515130</v>
      </c>
      <c r="T366" s="864">
        <f t="shared" si="166"/>
        <v>564190</v>
      </c>
      <c r="U366" s="864">
        <f t="shared" si="166"/>
        <v>613250</v>
      </c>
      <c r="V366" s="864">
        <f t="shared" si="166"/>
        <v>662310</v>
      </c>
      <c r="W366" s="864">
        <f t="shared" si="166"/>
        <v>711370</v>
      </c>
    </row>
    <row r="367" spans="2:24" x14ac:dyDescent="0.2">
      <c r="E367" s="866" t="s">
        <v>973</v>
      </c>
      <c r="F367" s="772"/>
      <c r="G367" s="772"/>
      <c r="H367" s="772"/>
      <c r="I367" s="866">
        <f t="shared" ref="I367:W367" si="167">I53-(I364+I366)</f>
        <v>0</v>
      </c>
      <c r="J367" s="866">
        <f t="shared" si="167"/>
        <v>0</v>
      </c>
      <c r="K367" s="866">
        <f t="shared" si="167"/>
        <v>0</v>
      </c>
      <c r="L367" s="866">
        <f t="shared" si="167"/>
        <v>0</v>
      </c>
      <c r="M367" s="866">
        <f t="shared" si="167"/>
        <v>0</v>
      </c>
      <c r="N367" s="866">
        <f t="shared" si="167"/>
        <v>0</v>
      </c>
      <c r="O367" s="866">
        <f t="shared" si="167"/>
        <v>0</v>
      </c>
      <c r="P367" s="866">
        <f t="shared" si="167"/>
        <v>0</v>
      </c>
      <c r="Q367" s="866">
        <f t="shared" si="167"/>
        <v>0</v>
      </c>
      <c r="R367" s="866">
        <f t="shared" si="167"/>
        <v>0</v>
      </c>
      <c r="S367" s="866">
        <f t="shared" si="167"/>
        <v>0</v>
      </c>
      <c r="T367" s="866">
        <f t="shared" si="167"/>
        <v>0</v>
      </c>
      <c r="U367" s="866">
        <f t="shared" si="167"/>
        <v>0</v>
      </c>
      <c r="V367" s="866">
        <f t="shared" si="167"/>
        <v>0</v>
      </c>
      <c r="W367" s="866">
        <f t="shared" si="167"/>
        <v>0</v>
      </c>
    </row>
    <row r="368" spans="2:24" x14ac:dyDescent="0.2">
      <c r="E368" s="772" t="s">
        <v>974</v>
      </c>
      <c r="F368" s="772"/>
      <c r="G368" s="772"/>
      <c r="H368" s="772"/>
      <c r="I368" s="867"/>
      <c r="J368" s="772"/>
      <c r="K368" s="772"/>
      <c r="L368" s="772"/>
      <c r="M368" s="772"/>
      <c r="N368" s="772"/>
      <c r="O368" s="772"/>
      <c r="P368" s="772"/>
      <c r="Q368" s="772"/>
      <c r="R368" s="772"/>
      <c r="S368" s="772"/>
      <c r="T368" s="772"/>
      <c r="U368" s="772"/>
      <c r="V368" s="772"/>
      <c r="W368" s="772"/>
    </row>
    <row r="369" spans="5:23" x14ac:dyDescent="0.2">
      <c r="E369" s="772" t="s">
        <v>970</v>
      </c>
      <c r="F369" s="772"/>
      <c r="G369" s="772"/>
      <c r="H369" s="772"/>
      <c r="I369" s="864">
        <f t="shared" ref="I369:W369" si="168">$H69/$K$4</f>
        <v>5023744</v>
      </c>
      <c r="J369" s="864">
        <f t="shared" si="168"/>
        <v>5023744</v>
      </c>
      <c r="K369" s="864">
        <f t="shared" si="168"/>
        <v>5023744</v>
      </c>
      <c r="L369" s="864">
        <f t="shared" si="168"/>
        <v>5023744</v>
      </c>
      <c r="M369" s="864">
        <f t="shared" si="168"/>
        <v>5023744</v>
      </c>
      <c r="N369" s="864">
        <f t="shared" si="168"/>
        <v>5023744</v>
      </c>
      <c r="O369" s="864">
        <f t="shared" si="168"/>
        <v>5023744</v>
      </c>
      <c r="P369" s="864">
        <f t="shared" si="168"/>
        <v>5023744</v>
      </c>
      <c r="Q369" s="864">
        <f t="shared" si="168"/>
        <v>5023744</v>
      </c>
      <c r="R369" s="864">
        <f t="shared" si="168"/>
        <v>5023744</v>
      </c>
      <c r="S369" s="864">
        <f t="shared" si="168"/>
        <v>5023744</v>
      </c>
      <c r="T369" s="864">
        <f t="shared" si="168"/>
        <v>5023744</v>
      </c>
      <c r="U369" s="864">
        <f t="shared" si="168"/>
        <v>5023744</v>
      </c>
      <c r="V369" s="864">
        <f t="shared" si="168"/>
        <v>5023744</v>
      </c>
      <c r="W369" s="864">
        <f t="shared" si="168"/>
        <v>5023744</v>
      </c>
    </row>
    <row r="370" spans="5:23" x14ac:dyDescent="0.2">
      <c r="E370" s="772" t="s">
        <v>975</v>
      </c>
      <c r="F370" s="772"/>
      <c r="G370" s="772"/>
      <c r="H370" s="772"/>
      <c r="I370" s="865">
        <f>(I65/2)/$K$5</f>
        <v>25721.56928</v>
      </c>
      <c r="J370" s="864">
        <f>(SUM($I65:I65)+J65/2)/$K$5</f>
        <v>77782.025502720004</v>
      </c>
      <c r="K370" s="864">
        <f>(SUM($I65:J65)+K65/2)/$K$5</f>
        <v>131091.93267478529</v>
      </c>
      <c r="L370" s="864">
        <f>(SUM($I65:K65)+L65/2)/$K$5</f>
        <v>185681.27761898015</v>
      </c>
      <c r="M370" s="864">
        <f>(SUM($I65:L65)+M65/2)/$K$5</f>
        <v>241580.76684183572</v>
      </c>
      <c r="N370" s="864">
        <f>(SUM($I65:M65)+N65/2)/$K$5</f>
        <v>298821.84380603977</v>
      </c>
      <c r="O370" s="864">
        <f>(SUM($I65:N65)+O65/2)/$K$5</f>
        <v>357436.7066173848</v>
      </c>
      <c r="P370" s="864">
        <f>(SUM($I65:O65)+P65/2)/$K$5</f>
        <v>417458.32613620197</v>
      </c>
      <c r="Q370" s="864">
        <f>(SUM($I65:P65)+Q65/2)/$K$5</f>
        <v>478920.46452347084</v>
      </c>
      <c r="R370" s="864">
        <f>(SUM($I65:Q65)+R65/2)/$K$5</f>
        <v>541857.69423203415</v>
      </c>
      <c r="S370" s="864">
        <f>(SUM($I65:R65)+S65/2)/$K$5</f>
        <v>606305.41745360312</v>
      </c>
      <c r="T370" s="864">
        <f>(SUM($I65:S65)+T65/2)/$K$5</f>
        <v>672299.88603248959</v>
      </c>
      <c r="U370" s="864">
        <f>(SUM($I65:T65)+U65/2)/$K$5</f>
        <v>739878.22185726941</v>
      </c>
      <c r="V370" s="864">
        <f>(SUM($I65:U65)+V65/2)/$K$5</f>
        <v>809078.43774184387</v>
      </c>
      <c r="W370" s="864">
        <f>(SUM($I65:V65)+W65/2)/$K$5</f>
        <v>879939.45880764804</v>
      </c>
    </row>
    <row r="371" spans="5:23" x14ac:dyDescent="0.2">
      <c r="E371" s="772"/>
      <c r="F371" s="772"/>
      <c r="G371" s="772"/>
      <c r="H371" s="772"/>
      <c r="I371" s="866">
        <f t="shared" ref="I371:W371" si="169">SUM(I369:I370)-I67</f>
        <v>0</v>
      </c>
      <c r="J371" s="866">
        <f t="shared" si="169"/>
        <v>0</v>
      </c>
      <c r="K371" s="866">
        <f t="shared" si="169"/>
        <v>0</v>
      </c>
      <c r="L371" s="866">
        <f t="shared" si="169"/>
        <v>0</v>
      </c>
      <c r="M371" s="866">
        <f t="shared" si="169"/>
        <v>0</v>
      </c>
      <c r="N371" s="866">
        <f t="shared" si="169"/>
        <v>0</v>
      </c>
      <c r="O371" s="866">
        <f t="shared" si="169"/>
        <v>0</v>
      </c>
      <c r="P371" s="866">
        <f t="shared" si="169"/>
        <v>0</v>
      </c>
      <c r="Q371" s="866">
        <f t="shared" si="169"/>
        <v>0</v>
      </c>
      <c r="R371" s="866">
        <f t="shared" si="169"/>
        <v>0</v>
      </c>
      <c r="S371" s="866">
        <f t="shared" si="169"/>
        <v>0</v>
      </c>
      <c r="T371" s="866">
        <f t="shared" si="169"/>
        <v>0</v>
      </c>
      <c r="U371" s="866">
        <f t="shared" si="169"/>
        <v>0</v>
      </c>
      <c r="V371" s="866">
        <f t="shared" si="169"/>
        <v>0</v>
      </c>
      <c r="W371" s="866">
        <f t="shared" si="169"/>
        <v>0</v>
      </c>
    </row>
  </sheetData>
  <sheetProtection password="C82C" sheet="1" objects="1" scenarios="1" selectLockedCells="1" selectUnlockedCells="1"/>
  <mergeCells count="1">
    <mergeCell ref="E46:F4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50"/>
  <sheetViews>
    <sheetView showGridLines="0" workbookViewId="0">
      <pane xSplit="1" ySplit="5" topLeftCell="B6" activePane="bottomRight" state="frozen"/>
      <selection pane="topRight" activeCell="B1" sqref="B1"/>
      <selection pane="bottomLeft" activeCell="A6" sqref="A6"/>
      <selection pane="bottomRight" activeCell="D2" sqref="D2"/>
    </sheetView>
  </sheetViews>
  <sheetFormatPr defaultRowHeight="12.75" x14ac:dyDescent="0.2"/>
  <cols>
    <col min="1" max="1" width="1.7109375" style="691" customWidth="1"/>
    <col min="2" max="2" width="47" style="691" customWidth="1"/>
    <col min="3" max="3" width="22.85546875" style="691" hidden="1" customWidth="1"/>
    <col min="4" max="4" width="11.42578125" style="691" customWidth="1"/>
    <col min="5" max="5" width="13.5703125" style="691" bestFit="1" customWidth="1"/>
    <col min="6" max="6" width="51.5703125" style="691" customWidth="1"/>
    <col min="7" max="7" width="3.7109375" style="691" customWidth="1"/>
    <col min="8" max="8" width="45.140625" style="691" hidden="1" customWidth="1"/>
    <col min="9" max="16384" width="9.140625" style="691"/>
  </cols>
  <sheetData>
    <row r="1" spans="2:8" ht="15.75" x14ac:dyDescent="0.25">
      <c r="B1" s="690" t="s">
        <v>797</v>
      </c>
      <c r="C1" s="690"/>
    </row>
    <row r="2" spans="2:8" ht="15.75" x14ac:dyDescent="0.25">
      <c r="B2" s="724" t="s">
        <v>798</v>
      </c>
      <c r="C2" s="690"/>
    </row>
    <row r="4" spans="2:8" x14ac:dyDescent="0.2">
      <c r="B4" s="692" t="s">
        <v>762</v>
      </c>
      <c r="C4" s="692"/>
    </row>
    <row r="5" spans="2:8" ht="25.5" x14ac:dyDescent="0.2">
      <c r="B5" s="693" t="s">
        <v>716</v>
      </c>
      <c r="C5" s="694" t="s">
        <v>744</v>
      </c>
      <c r="D5" s="694" t="s">
        <v>737</v>
      </c>
      <c r="E5" s="693" t="s">
        <v>338</v>
      </c>
      <c r="F5" s="693" t="s">
        <v>738</v>
      </c>
      <c r="G5" s="695"/>
      <c r="H5" s="693" t="s">
        <v>76</v>
      </c>
    </row>
    <row r="6" spans="2:8" x14ac:dyDescent="0.2">
      <c r="B6" s="696" t="s">
        <v>765</v>
      </c>
      <c r="C6" s="697"/>
      <c r="D6" s="696"/>
      <c r="E6" s="696"/>
      <c r="F6" s="698"/>
      <c r="G6" s="695"/>
      <c r="H6" s="693"/>
    </row>
    <row r="7" spans="2:8" x14ac:dyDescent="0.2">
      <c r="B7" s="699" t="s">
        <v>292</v>
      </c>
      <c r="C7" s="699"/>
      <c r="D7" s="700">
        <v>10</v>
      </c>
      <c r="E7" s="701" t="s">
        <v>763</v>
      </c>
      <c r="F7" s="702" t="s">
        <v>771</v>
      </c>
    </row>
    <row r="8" spans="2:8" x14ac:dyDescent="0.2">
      <c r="B8" s="699" t="s">
        <v>293</v>
      </c>
      <c r="C8" s="699"/>
      <c r="D8" s="700">
        <v>18</v>
      </c>
      <c r="E8" s="701" t="s">
        <v>763</v>
      </c>
      <c r="F8" s="762" t="s">
        <v>868</v>
      </c>
    </row>
    <row r="9" spans="2:8" x14ac:dyDescent="0.2">
      <c r="B9" s="699" t="s">
        <v>294</v>
      </c>
      <c r="C9" s="699"/>
      <c r="D9" s="703">
        <v>23</v>
      </c>
      <c r="E9" s="701" t="s">
        <v>763</v>
      </c>
      <c r="F9" s="702" t="s">
        <v>772</v>
      </c>
    </row>
    <row r="10" spans="2:8" x14ac:dyDescent="0.2">
      <c r="B10" s="699" t="s">
        <v>295</v>
      </c>
      <c r="C10" s="699"/>
      <c r="D10" s="703">
        <v>5</v>
      </c>
      <c r="E10" s="701" t="s">
        <v>763</v>
      </c>
      <c r="F10" s="702" t="s">
        <v>772</v>
      </c>
    </row>
    <row r="11" spans="2:8" x14ac:dyDescent="0.2">
      <c r="B11" s="699" t="s">
        <v>296</v>
      </c>
      <c r="C11" s="699"/>
      <c r="D11" s="703">
        <v>17</v>
      </c>
      <c r="E11" s="701" t="s">
        <v>763</v>
      </c>
      <c r="F11" s="702" t="s">
        <v>773</v>
      </c>
    </row>
    <row r="12" spans="2:8" x14ac:dyDescent="0.2">
      <c r="B12" s="699" t="s">
        <v>167</v>
      </c>
      <c r="C12" s="699"/>
      <c r="D12" s="703">
        <v>11</v>
      </c>
      <c r="E12" s="701" t="s">
        <v>763</v>
      </c>
      <c r="F12" s="702" t="s">
        <v>774</v>
      </c>
    </row>
    <row r="13" spans="2:8" x14ac:dyDescent="0.2">
      <c r="B13" s="699" t="s">
        <v>461</v>
      </c>
      <c r="C13" s="699"/>
      <c r="D13" s="703">
        <v>7.5</v>
      </c>
      <c r="E13" s="701" t="s">
        <v>763</v>
      </c>
      <c r="F13" s="702" t="s">
        <v>775</v>
      </c>
    </row>
    <row r="14" spans="2:8" x14ac:dyDescent="0.2">
      <c r="B14" s="699" t="s">
        <v>366</v>
      </c>
      <c r="C14" s="699"/>
      <c r="D14" s="703">
        <v>5</v>
      </c>
      <c r="E14" s="701" t="s">
        <v>763</v>
      </c>
      <c r="F14" s="702" t="s">
        <v>776</v>
      </c>
    </row>
    <row r="15" spans="2:8" x14ac:dyDescent="0.2">
      <c r="B15" s="696" t="s">
        <v>699</v>
      </c>
      <c r="C15" s="697"/>
      <c r="D15" s="696"/>
      <c r="E15" s="704"/>
      <c r="F15" s="698"/>
    </row>
    <row r="16" spans="2:8" x14ac:dyDescent="0.2">
      <c r="B16" s="699" t="s">
        <v>455</v>
      </c>
      <c r="C16" s="699"/>
      <c r="D16" s="699">
        <v>10</v>
      </c>
      <c r="E16" s="701" t="s">
        <v>763</v>
      </c>
      <c r="F16" s="699" t="s">
        <v>764</v>
      </c>
    </row>
    <row r="17" spans="2:6" x14ac:dyDescent="0.2">
      <c r="B17" s="699" t="s">
        <v>456</v>
      </c>
      <c r="C17" s="699"/>
      <c r="D17" s="699">
        <v>20</v>
      </c>
      <c r="E17" s="701" t="s">
        <v>763</v>
      </c>
      <c r="F17" s="699" t="s">
        <v>777</v>
      </c>
    </row>
    <row r="18" spans="2:6" x14ac:dyDescent="0.2">
      <c r="B18" s="699" t="s">
        <v>457</v>
      </c>
      <c r="C18" s="699"/>
      <c r="D18" s="699">
        <v>35</v>
      </c>
      <c r="E18" s="701" t="s">
        <v>763</v>
      </c>
      <c r="F18" s="762" t="s">
        <v>869</v>
      </c>
    </row>
    <row r="19" spans="2:6" x14ac:dyDescent="0.2">
      <c r="B19" s="699" t="s">
        <v>458</v>
      </c>
      <c r="C19" s="699"/>
      <c r="D19" s="699">
        <v>8</v>
      </c>
      <c r="E19" s="701" t="s">
        <v>763</v>
      </c>
      <c r="F19" s="699" t="s">
        <v>778</v>
      </c>
    </row>
    <row r="20" spans="2:6" x14ac:dyDescent="0.2">
      <c r="B20" s="699" t="s">
        <v>293</v>
      </c>
      <c r="C20" s="699"/>
      <c r="D20" s="699">
        <v>18</v>
      </c>
      <c r="E20" s="701" t="s">
        <v>763</v>
      </c>
      <c r="F20" s="699" t="s">
        <v>764</v>
      </c>
    </row>
    <row r="21" spans="2:6" x14ac:dyDescent="0.2">
      <c r="B21" s="699" t="s">
        <v>294</v>
      </c>
      <c r="C21" s="699"/>
      <c r="D21" s="699">
        <v>23</v>
      </c>
      <c r="E21" s="701" t="s">
        <v>763</v>
      </c>
      <c r="F21" s="699" t="s">
        <v>764</v>
      </c>
    </row>
    <row r="22" spans="2:6" x14ac:dyDescent="0.2">
      <c r="B22" s="699" t="s">
        <v>295</v>
      </c>
      <c r="C22" s="699"/>
      <c r="D22" s="699">
        <v>5</v>
      </c>
      <c r="E22" s="701" t="s">
        <v>763</v>
      </c>
      <c r="F22" s="699" t="s">
        <v>764</v>
      </c>
    </row>
    <row r="23" spans="2:6" x14ac:dyDescent="0.2">
      <c r="B23" s="699" t="s">
        <v>459</v>
      </c>
      <c r="C23" s="699"/>
      <c r="D23" s="699">
        <v>14</v>
      </c>
      <c r="E23" s="701" t="s">
        <v>763</v>
      </c>
      <c r="F23" s="702" t="s">
        <v>773</v>
      </c>
    </row>
    <row r="24" spans="2:6" x14ac:dyDescent="0.2">
      <c r="B24" s="699" t="s">
        <v>460</v>
      </c>
      <c r="C24" s="699"/>
      <c r="D24" s="699">
        <v>6</v>
      </c>
      <c r="E24" s="701" t="s">
        <v>763</v>
      </c>
      <c r="F24" s="699" t="s">
        <v>779</v>
      </c>
    </row>
    <row r="25" spans="2:6" x14ac:dyDescent="0.2">
      <c r="B25" s="699" t="s">
        <v>167</v>
      </c>
      <c r="C25" s="699"/>
      <c r="D25" s="699">
        <v>13</v>
      </c>
      <c r="E25" s="701" t="s">
        <v>763</v>
      </c>
      <c r="F25" s="699" t="s">
        <v>764</v>
      </c>
    </row>
    <row r="26" spans="2:6" x14ac:dyDescent="0.2">
      <c r="B26" s="699" t="s">
        <v>461</v>
      </c>
      <c r="C26" s="699"/>
      <c r="D26" s="699">
        <v>10</v>
      </c>
      <c r="E26" s="701" t="s">
        <v>763</v>
      </c>
      <c r="F26" s="699" t="s">
        <v>764</v>
      </c>
    </row>
    <row r="27" spans="2:6" x14ac:dyDescent="0.2">
      <c r="B27" s="699" t="s">
        <v>462</v>
      </c>
      <c r="C27" s="699"/>
      <c r="D27" s="699">
        <v>5</v>
      </c>
      <c r="E27" s="701" t="s">
        <v>763</v>
      </c>
      <c r="F27" s="699" t="s">
        <v>764</v>
      </c>
    </row>
    <row r="28" spans="2:6" x14ac:dyDescent="0.2">
      <c r="B28" s="696" t="s">
        <v>742</v>
      </c>
      <c r="C28" s="697"/>
      <c r="D28" s="696"/>
      <c r="E28" s="704"/>
      <c r="F28" s="698"/>
    </row>
    <row r="29" spans="2:6" x14ac:dyDescent="0.2">
      <c r="B29" s="699" t="s">
        <v>455</v>
      </c>
      <c r="C29" s="699"/>
      <c r="D29" s="699">
        <v>10</v>
      </c>
      <c r="E29" s="701" t="s">
        <v>763</v>
      </c>
      <c r="F29" s="699" t="s">
        <v>764</v>
      </c>
    </row>
    <row r="30" spans="2:6" x14ac:dyDescent="0.2">
      <c r="B30" s="699" t="s">
        <v>456</v>
      </c>
      <c r="C30" s="699"/>
      <c r="D30" s="699">
        <v>10</v>
      </c>
      <c r="E30" s="701" t="s">
        <v>763</v>
      </c>
      <c r="F30" s="699" t="s">
        <v>764</v>
      </c>
    </row>
    <row r="31" spans="2:6" x14ac:dyDescent="0.2">
      <c r="B31" s="699" t="s">
        <v>458</v>
      </c>
      <c r="C31" s="699"/>
      <c r="D31" s="699">
        <v>8</v>
      </c>
      <c r="E31" s="701" t="s">
        <v>763</v>
      </c>
      <c r="F31" s="699" t="s">
        <v>764</v>
      </c>
    </row>
    <row r="32" spans="2:6" x14ac:dyDescent="0.2">
      <c r="B32" s="699" t="s">
        <v>293</v>
      </c>
      <c r="C32" s="699"/>
      <c r="D32" s="699">
        <v>18</v>
      </c>
      <c r="E32" s="701" t="s">
        <v>763</v>
      </c>
      <c r="F32" s="699" t="s">
        <v>764</v>
      </c>
    </row>
    <row r="33" spans="2:6" x14ac:dyDescent="0.2">
      <c r="B33" s="699" t="s">
        <v>294</v>
      </c>
      <c r="C33" s="699"/>
      <c r="D33" s="699">
        <v>23</v>
      </c>
      <c r="E33" s="701" t="s">
        <v>763</v>
      </c>
      <c r="F33" s="699" t="s">
        <v>764</v>
      </c>
    </row>
    <row r="34" spans="2:6" x14ac:dyDescent="0.2">
      <c r="B34" s="699" t="s">
        <v>295</v>
      </c>
      <c r="C34" s="699"/>
      <c r="D34" s="705">
        <v>5</v>
      </c>
      <c r="E34" s="701" t="s">
        <v>763</v>
      </c>
      <c r="F34" s="699" t="s">
        <v>764</v>
      </c>
    </row>
    <row r="35" spans="2:6" x14ac:dyDescent="0.2">
      <c r="B35" s="699" t="s">
        <v>459</v>
      </c>
      <c r="C35" s="699"/>
      <c r="D35" s="699">
        <v>14</v>
      </c>
      <c r="E35" s="701" t="s">
        <v>763</v>
      </c>
      <c r="F35" s="699" t="s">
        <v>764</v>
      </c>
    </row>
    <row r="36" spans="2:6" x14ac:dyDescent="0.2">
      <c r="B36" s="699" t="s">
        <v>460</v>
      </c>
      <c r="C36" s="699"/>
      <c r="D36" s="706">
        <v>4</v>
      </c>
      <c r="E36" s="701" t="s">
        <v>763</v>
      </c>
      <c r="F36" s="699" t="s">
        <v>764</v>
      </c>
    </row>
    <row r="37" spans="2:6" x14ac:dyDescent="0.2">
      <c r="B37" s="699" t="s">
        <v>167</v>
      </c>
      <c r="C37" s="699"/>
      <c r="D37" s="699">
        <v>13</v>
      </c>
      <c r="E37" s="701" t="s">
        <v>763</v>
      </c>
      <c r="F37" s="699" t="s">
        <v>764</v>
      </c>
    </row>
    <row r="38" spans="2:6" x14ac:dyDescent="0.2">
      <c r="B38" s="699" t="s">
        <v>461</v>
      </c>
      <c r="C38" s="699"/>
      <c r="D38" s="699">
        <v>10</v>
      </c>
      <c r="E38" s="701" t="s">
        <v>763</v>
      </c>
      <c r="F38" s="699" t="s">
        <v>764</v>
      </c>
    </row>
    <row r="39" spans="2:6" x14ac:dyDescent="0.2">
      <c r="B39" s="699" t="s">
        <v>462</v>
      </c>
      <c r="C39" s="699"/>
      <c r="D39" s="699">
        <v>5</v>
      </c>
      <c r="E39" s="701" t="s">
        <v>763</v>
      </c>
      <c r="F39" s="699" t="s">
        <v>764</v>
      </c>
    </row>
    <row r="40" spans="2:6" x14ac:dyDescent="0.2">
      <c r="B40" s="696" t="s">
        <v>701</v>
      </c>
      <c r="C40" s="697"/>
      <c r="D40" s="696"/>
      <c r="E40" s="704"/>
      <c r="F40" s="698"/>
    </row>
    <row r="41" spans="2:6" x14ac:dyDescent="0.2">
      <c r="B41" s="699" t="s">
        <v>627</v>
      </c>
      <c r="C41" s="699"/>
      <c r="D41" s="699">
        <v>15</v>
      </c>
      <c r="E41" s="701" t="s">
        <v>763</v>
      </c>
      <c r="F41" s="699" t="s">
        <v>780</v>
      </c>
    </row>
    <row r="42" spans="2:6" x14ac:dyDescent="0.2">
      <c r="B42" s="699" t="s">
        <v>628</v>
      </c>
      <c r="C42" s="699"/>
      <c r="D42" s="699">
        <v>25</v>
      </c>
      <c r="E42" s="701" t="s">
        <v>763</v>
      </c>
      <c r="F42" s="699" t="s">
        <v>780</v>
      </c>
    </row>
    <row r="43" spans="2:6" x14ac:dyDescent="0.2">
      <c r="B43" s="699" t="s">
        <v>629</v>
      </c>
      <c r="C43" s="699"/>
      <c r="D43" s="699">
        <v>25</v>
      </c>
      <c r="E43" s="701" t="s">
        <v>763</v>
      </c>
      <c r="F43" s="699" t="s">
        <v>780</v>
      </c>
    </row>
    <row r="44" spans="2:6" x14ac:dyDescent="0.2">
      <c r="B44" s="699" t="s">
        <v>630</v>
      </c>
      <c r="C44" s="699"/>
      <c r="D44" s="699">
        <v>40</v>
      </c>
      <c r="E44" s="701" t="s">
        <v>763</v>
      </c>
      <c r="F44" s="699" t="s">
        <v>780</v>
      </c>
    </row>
    <row r="45" spans="2:6" x14ac:dyDescent="0.2">
      <c r="B45" s="699" t="s">
        <v>294</v>
      </c>
      <c r="C45" s="699"/>
      <c r="D45" s="699">
        <v>23</v>
      </c>
      <c r="E45" s="701" t="s">
        <v>763</v>
      </c>
      <c r="F45" s="699" t="s">
        <v>764</v>
      </c>
    </row>
    <row r="46" spans="2:6" x14ac:dyDescent="0.2">
      <c r="B46" s="699" t="s">
        <v>295</v>
      </c>
      <c r="C46" s="699"/>
      <c r="D46" s="699">
        <v>5</v>
      </c>
      <c r="E46" s="701" t="s">
        <v>763</v>
      </c>
      <c r="F46" s="699" t="s">
        <v>764</v>
      </c>
    </row>
    <row r="47" spans="2:6" x14ac:dyDescent="0.2">
      <c r="B47" s="699" t="s">
        <v>167</v>
      </c>
      <c r="C47" s="699"/>
      <c r="D47" s="699">
        <v>13</v>
      </c>
      <c r="E47" s="701" t="s">
        <v>763</v>
      </c>
      <c r="F47" s="699" t="s">
        <v>764</v>
      </c>
    </row>
    <row r="48" spans="2:6" x14ac:dyDescent="0.2">
      <c r="B48" s="699" t="s">
        <v>461</v>
      </c>
      <c r="C48" s="699"/>
      <c r="D48" s="699">
        <v>40</v>
      </c>
      <c r="E48" s="701" t="s">
        <v>763</v>
      </c>
      <c r="F48" s="699" t="s">
        <v>781</v>
      </c>
    </row>
    <row r="49" spans="2:6" x14ac:dyDescent="0.2">
      <c r="B49" s="699" t="s">
        <v>462</v>
      </c>
      <c r="C49" s="699"/>
      <c r="D49" s="699">
        <v>5</v>
      </c>
      <c r="E49" s="701" t="s">
        <v>763</v>
      </c>
      <c r="F49" s="699" t="s">
        <v>764</v>
      </c>
    </row>
    <row r="50" spans="2:6" x14ac:dyDescent="0.2">
      <c r="B50" s="696" t="s">
        <v>809</v>
      </c>
      <c r="C50" s="697"/>
      <c r="D50" s="696"/>
      <c r="E50" s="704"/>
      <c r="F50" s="698"/>
    </row>
    <row r="51" spans="2:6" x14ac:dyDescent="0.2">
      <c r="B51" s="733" t="s">
        <v>826</v>
      </c>
      <c r="C51" s="699"/>
      <c r="D51" s="699">
        <v>18.5</v>
      </c>
      <c r="E51" s="701" t="s">
        <v>763</v>
      </c>
      <c r="F51" s="733" t="s">
        <v>825</v>
      </c>
    </row>
    <row r="52" spans="2:6" x14ac:dyDescent="0.2">
      <c r="B52" s="699" t="s">
        <v>628</v>
      </c>
      <c r="C52" s="699"/>
      <c r="D52" s="699">
        <v>25</v>
      </c>
      <c r="E52" s="701" t="s">
        <v>763</v>
      </c>
      <c r="F52" s="699" t="s">
        <v>764</v>
      </c>
    </row>
    <row r="53" spans="2:6" x14ac:dyDescent="0.2">
      <c r="B53" s="699" t="s">
        <v>629</v>
      </c>
      <c r="C53" s="699"/>
      <c r="D53" s="699">
        <v>25</v>
      </c>
      <c r="E53" s="701" t="s">
        <v>763</v>
      </c>
      <c r="F53" s="699" t="s">
        <v>764</v>
      </c>
    </row>
    <row r="54" spans="2:6" x14ac:dyDescent="0.2">
      <c r="B54" s="699" t="s">
        <v>630</v>
      </c>
      <c r="C54" s="699"/>
      <c r="D54" s="699">
        <v>40</v>
      </c>
      <c r="E54" s="701" t="s">
        <v>763</v>
      </c>
      <c r="F54" s="699" t="s">
        <v>764</v>
      </c>
    </row>
    <row r="55" spans="2:6" x14ac:dyDescent="0.2">
      <c r="B55" s="699" t="s">
        <v>294</v>
      </c>
      <c r="C55" s="699"/>
      <c r="D55" s="699">
        <v>23</v>
      </c>
      <c r="E55" s="701" t="s">
        <v>763</v>
      </c>
      <c r="F55" s="699" t="s">
        <v>764</v>
      </c>
    </row>
    <row r="56" spans="2:6" x14ac:dyDescent="0.2">
      <c r="B56" s="699" t="s">
        <v>295</v>
      </c>
      <c r="C56" s="699"/>
      <c r="D56" s="699">
        <v>5</v>
      </c>
      <c r="E56" s="701" t="s">
        <v>763</v>
      </c>
      <c r="F56" s="699" t="s">
        <v>764</v>
      </c>
    </row>
    <row r="57" spans="2:6" x14ac:dyDescent="0.2">
      <c r="B57" s="699" t="s">
        <v>167</v>
      </c>
      <c r="C57" s="699"/>
      <c r="D57" s="699">
        <v>13</v>
      </c>
      <c r="E57" s="701" t="s">
        <v>763</v>
      </c>
      <c r="F57" s="699" t="s">
        <v>764</v>
      </c>
    </row>
    <row r="58" spans="2:6" x14ac:dyDescent="0.2">
      <c r="B58" s="699" t="s">
        <v>461</v>
      </c>
      <c r="C58" s="699"/>
      <c r="D58" s="699">
        <v>40</v>
      </c>
      <c r="E58" s="701" t="s">
        <v>763</v>
      </c>
      <c r="F58" s="699" t="s">
        <v>764</v>
      </c>
    </row>
    <row r="59" spans="2:6" x14ac:dyDescent="0.2">
      <c r="B59" s="699" t="s">
        <v>462</v>
      </c>
      <c r="C59" s="699"/>
      <c r="D59" s="699">
        <v>5</v>
      </c>
      <c r="E59" s="701" t="s">
        <v>763</v>
      </c>
      <c r="F59" s="699" t="s">
        <v>764</v>
      </c>
    </row>
    <row r="60" spans="2:6" x14ac:dyDescent="0.2">
      <c r="B60" s="696" t="s">
        <v>393</v>
      </c>
      <c r="C60" s="697"/>
      <c r="D60" s="696"/>
      <c r="E60" s="704"/>
      <c r="F60" s="698"/>
    </row>
    <row r="61" spans="2:6" x14ac:dyDescent="0.2">
      <c r="B61" s="699" t="s">
        <v>458</v>
      </c>
      <c r="C61" s="699"/>
      <c r="D61" s="699">
        <v>8</v>
      </c>
      <c r="E61" s="701" t="s">
        <v>763</v>
      </c>
      <c r="F61" s="699" t="s">
        <v>768</v>
      </c>
    </row>
    <row r="62" spans="2:6" x14ac:dyDescent="0.2">
      <c r="B62" s="699" t="s">
        <v>293</v>
      </c>
      <c r="C62" s="699"/>
      <c r="D62" s="699">
        <v>18</v>
      </c>
      <c r="E62" s="701" t="s">
        <v>763</v>
      </c>
      <c r="F62" s="699" t="s">
        <v>768</v>
      </c>
    </row>
    <row r="63" spans="2:6" x14ac:dyDescent="0.2">
      <c r="B63" s="699" t="s">
        <v>294</v>
      </c>
      <c r="C63" s="699"/>
      <c r="D63" s="699">
        <v>23</v>
      </c>
      <c r="E63" s="701" t="s">
        <v>763</v>
      </c>
      <c r="F63" s="699" t="s">
        <v>768</v>
      </c>
    </row>
    <row r="64" spans="2:6" x14ac:dyDescent="0.2">
      <c r="B64" s="699" t="s">
        <v>295</v>
      </c>
      <c r="C64" s="699"/>
      <c r="D64" s="699">
        <v>5</v>
      </c>
      <c r="E64" s="701" t="s">
        <v>763</v>
      </c>
      <c r="F64" s="699" t="s">
        <v>768</v>
      </c>
    </row>
    <row r="65" spans="2:8" x14ac:dyDescent="0.2">
      <c r="B65" s="699" t="s">
        <v>459</v>
      </c>
      <c r="C65" s="699"/>
      <c r="D65" s="699">
        <v>14</v>
      </c>
      <c r="E65" s="701" t="s">
        <v>763</v>
      </c>
      <c r="F65" s="699" t="s">
        <v>768</v>
      </c>
    </row>
    <row r="66" spans="2:8" x14ac:dyDescent="0.2">
      <c r="B66" s="699" t="s">
        <v>167</v>
      </c>
      <c r="C66" s="699"/>
      <c r="D66" s="699">
        <v>13</v>
      </c>
      <c r="E66" s="701" t="s">
        <v>763</v>
      </c>
      <c r="F66" s="699" t="s">
        <v>768</v>
      </c>
    </row>
    <row r="67" spans="2:8" x14ac:dyDescent="0.2">
      <c r="B67" s="699" t="s">
        <v>461</v>
      </c>
      <c r="C67" s="699"/>
      <c r="D67" s="699">
        <v>10</v>
      </c>
      <c r="E67" s="701" t="s">
        <v>763</v>
      </c>
      <c r="F67" s="699" t="s">
        <v>768</v>
      </c>
    </row>
    <row r="68" spans="2:8" x14ac:dyDescent="0.2">
      <c r="B68" s="699" t="s">
        <v>462</v>
      </c>
      <c r="C68" s="699"/>
      <c r="D68" s="699">
        <v>5</v>
      </c>
      <c r="E68" s="701" t="s">
        <v>763</v>
      </c>
      <c r="F68" s="699" t="s">
        <v>768</v>
      </c>
    </row>
    <row r="69" spans="2:8" x14ac:dyDescent="0.2">
      <c r="B69" s="696" t="s">
        <v>760</v>
      </c>
      <c r="C69" s="697"/>
      <c r="D69" s="696"/>
      <c r="E69" s="704"/>
      <c r="F69" s="698"/>
    </row>
    <row r="70" spans="2:8" x14ac:dyDescent="0.2">
      <c r="B70" s="699" t="s">
        <v>298</v>
      </c>
      <c r="C70" s="699"/>
      <c r="D70" s="707">
        <v>0.125</v>
      </c>
      <c r="E70" s="701" t="s">
        <v>28</v>
      </c>
      <c r="F70" s="699" t="s">
        <v>782</v>
      </c>
    </row>
    <row r="71" spans="2:8" x14ac:dyDescent="0.2">
      <c r="B71" s="699" t="s">
        <v>368</v>
      </c>
      <c r="C71" s="699"/>
      <c r="D71" s="708">
        <v>0.1</v>
      </c>
      <c r="E71" s="701" t="s">
        <v>28</v>
      </c>
      <c r="F71" s="699" t="s">
        <v>782</v>
      </c>
    </row>
    <row r="72" spans="2:8" x14ac:dyDescent="0.2">
      <c r="B72" s="699" t="s">
        <v>370</v>
      </c>
      <c r="C72" s="699"/>
      <c r="D72" s="699">
        <v>5</v>
      </c>
      <c r="E72" s="701" t="s">
        <v>763</v>
      </c>
      <c r="F72" s="702" t="s">
        <v>766</v>
      </c>
    </row>
    <row r="73" spans="2:8" x14ac:dyDescent="0.2">
      <c r="B73" s="699" t="s">
        <v>372</v>
      </c>
      <c r="C73" s="699"/>
      <c r="D73" s="699">
        <v>10</v>
      </c>
      <c r="E73" s="701" t="s">
        <v>763</v>
      </c>
      <c r="F73" s="702" t="s">
        <v>767</v>
      </c>
    </row>
    <row r="74" spans="2:8" ht="25.5" x14ac:dyDescent="0.2">
      <c r="B74" s="699" t="s">
        <v>299</v>
      </c>
      <c r="C74" s="699"/>
      <c r="D74" s="708">
        <v>0.1</v>
      </c>
      <c r="E74" s="701" t="s">
        <v>28</v>
      </c>
      <c r="F74" s="702" t="s">
        <v>783</v>
      </c>
    </row>
    <row r="75" spans="2:8" x14ac:dyDescent="0.2">
      <c r="B75" s="709"/>
      <c r="C75" s="709"/>
      <c r="D75" s="709"/>
      <c r="E75" s="710"/>
      <c r="F75" s="709"/>
    </row>
    <row r="76" spans="2:8" x14ac:dyDescent="0.2">
      <c r="B76" s="692" t="s">
        <v>747</v>
      </c>
      <c r="C76" s="692"/>
    </row>
    <row r="77" spans="2:8" ht="25.5" x14ac:dyDescent="0.2">
      <c r="B77" s="693" t="s">
        <v>716</v>
      </c>
      <c r="C77" s="694" t="s">
        <v>744</v>
      </c>
      <c r="D77" s="693" t="s">
        <v>737</v>
      </c>
      <c r="E77" s="693" t="s">
        <v>338</v>
      </c>
      <c r="F77" s="693" t="s">
        <v>738</v>
      </c>
      <c r="G77" s="695"/>
      <c r="H77" s="693" t="s">
        <v>76</v>
      </c>
    </row>
    <row r="78" spans="2:8" ht="25.5" x14ac:dyDescent="0.2">
      <c r="B78" s="711" t="s">
        <v>739</v>
      </c>
      <c r="C78" s="712" t="s">
        <v>741</v>
      </c>
      <c r="D78" s="713">
        <v>120</v>
      </c>
      <c r="E78" s="711" t="s">
        <v>482</v>
      </c>
      <c r="F78" s="702" t="s">
        <v>784</v>
      </c>
      <c r="H78" s="699"/>
    </row>
    <row r="79" spans="2:8" ht="25.5" x14ac:dyDescent="0.2">
      <c r="B79" s="711" t="s">
        <v>649</v>
      </c>
      <c r="C79" s="712" t="s">
        <v>740</v>
      </c>
      <c r="D79" s="713">
        <v>206</v>
      </c>
      <c r="E79" s="711" t="s">
        <v>482</v>
      </c>
      <c r="F79" s="714" t="s">
        <v>785</v>
      </c>
      <c r="H79" s="699"/>
    </row>
    <row r="80" spans="2:8" x14ac:dyDescent="0.2">
      <c r="B80" s="711" t="s">
        <v>375</v>
      </c>
      <c r="C80" s="715" t="s">
        <v>699</v>
      </c>
      <c r="D80" s="713">
        <v>180</v>
      </c>
      <c r="E80" s="711" t="s">
        <v>482</v>
      </c>
      <c r="F80" s="702" t="s">
        <v>786</v>
      </c>
      <c r="H80" s="699"/>
    </row>
    <row r="81" spans="2:8" x14ac:dyDescent="0.2">
      <c r="B81" s="711" t="s">
        <v>377</v>
      </c>
      <c r="C81" s="715" t="s">
        <v>699</v>
      </c>
      <c r="D81" s="713">
        <v>200</v>
      </c>
      <c r="E81" s="711" t="s">
        <v>482</v>
      </c>
      <c r="F81" s="702" t="s">
        <v>786</v>
      </c>
      <c r="H81" s="699"/>
    </row>
    <row r="82" spans="2:8" x14ac:dyDescent="0.2">
      <c r="B82" s="711" t="s">
        <v>549</v>
      </c>
      <c r="C82" s="715" t="s">
        <v>742</v>
      </c>
      <c r="D82" s="713">
        <v>180</v>
      </c>
      <c r="E82" s="711" t="s">
        <v>482</v>
      </c>
      <c r="F82" s="702" t="s">
        <v>786</v>
      </c>
      <c r="H82" s="699"/>
    </row>
    <row r="83" spans="2:8" ht="25.5" x14ac:dyDescent="0.2">
      <c r="B83" s="711" t="s">
        <v>558</v>
      </c>
      <c r="C83" s="715" t="s">
        <v>701</v>
      </c>
      <c r="D83" s="713">
        <v>51</v>
      </c>
      <c r="E83" s="711" t="s">
        <v>482</v>
      </c>
      <c r="F83" s="702" t="s">
        <v>743</v>
      </c>
      <c r="H83" s="699"/>
    </row>
    <row r="84" spans="2:8" x14ac:dyDescent="0.2">
      <c r="B84" s="763" t="s">
        <v>858</v>
      </c>
      <c r="C84" s="715" t="s">
        <v>745</v>
      </c>
      <c r="D84" s="713">
        <v>285</v>
      </c>
      <c r="E84" s="711" t="s">
        <v>482</v>
      </c>
      <c r="F84" s="762" t="s">
        <v>859</v>
      </c>
      <c r="H84" s="699"/>
    </row>
    <row r="85" spans="2:8" ht="25.5" x14ac:dyDescent="0.2">
      <c r="B85" s="711" t="s">
        <v>393</v>
      </c>
      <c r="C85" s="715" t="s">
        <v>393</v>
      </c>
      <c r="D85" s="713">
        <v>200</v>
      </c>
      <c r="E85" s="711" t="s">
        <v>482</v>
      </c>
      <c r="F85" s="702" t="s">
        <v>787</v>
      </c>
      <c r="H85" s="699"/>
    </row>
    <row r="86" spans="2:8" x14ac:dyDescent="0.2">
      <c r="B86" s="716"/>
      <c r="C86" s="717"/>
      <c r="D86" s="716"/>
      <c r="E86" s="716"/>
      <c r="F86" s="718"/>
      <c r="G86" s="709"/>
      <c r="H86" s="709"/>
    </row>
    <row r="87" spans="2:8" x14ac:dyDescent="0.2">
      <c r="B87" s="692" t="s">
        <v>748</v>
      </c>
      <c r="C87" s="692"/>
    </row>
    <row r="88" spans="2:8" ht="25.5" x14ac:dyDescent="0.2">
      <c r="B88" s="693" t="s">
        <v>716</v>
      </c>
      <c r="C88" s="694" t="s">
        <v>744</v>
      </c>
      <c r="D88" s="693" t="s">
        <v>737</v>
      </c>
      <c r="E88" s="693" t="s">
        <v>338</v>
      </c>
      <c r="F88" s="693" t="s">
        <v>738</v>
      </c>
      <c r="G88" s="695"/>
      <c r="H88" s="693" t="s">
        <v>76</v>
      </c>
    </row>
    <row r="89" spans="2:8" x14ac:dyDescent="0.2">
      <c r="B89" s="696" t="s">
        <v>87</v>
      </c>
      <c r="C89" s="697"/>
      <c r="D89" s="696"/>
      <c r="E89" s="696"/>
      <c r="F89" s="698"/>
      <c r="H89" s="698"/>
    </row>
    <row r="90" spans="2:8" x14ac:dyDescent="0.2">
      <c r="B90" s="711" t="s">
        <v>88</v>
      </c>
      <c r="C90" s="715"/>
      <c r="D90" s="711">
        <v>2</v>
      </c>
      <c r="E90" s="711" t="s">
        <v>788</v>
      </c>
      <c r="F90" s="702" t="s">
        <v>789</v>
      </c>
      <c r="H90" s="699"/>
    </row>
    <row r="91" spans="2:8" x14ac:dyDescent="0.2">
      <c r="B91" s="711" t="s">
        <v>90</v>
      </c>
      <c r="C91" s="715"/>
      <c r="D91" s="711">
        <v>0.45</v>
      </c>
      <c r="E91" s="711" t="s">
        <v>788</v>
      </c>
      <c r="F91" s="702" t="s">
        <v>789</v>
      </c>
      <c r="H91" s="699"/>
    </row>
    <row r="92" spans="2:8" x14ac:dyDescent="0.2">
      <c r="B92" s="711" t="s">
        <v>91</v>
      </c>
      <c r="C92" s="715"/>
      <c r="D92" s="711">
        <v>0.23499999999999999</v>
      </c>
      <c r="E92" s="711" t="s">
        <v>788</v>
      </c>
      <c r="F92" s="702" t="s">
        <v>789</v>
      </c>
      <c r="H92" s="699"/>
    </row>
    <row r="93" spans="2:8" x14ac:dyDescent="0.2">
      <c r="B93" s="711" t="s">
        <v>88</v>
      </c>
      <c r="C93" s="715"/>
      <c r="D93" s="711">
        <v>2</v>
      </c>
      <c r="E93" s="711" t="s">
        <v>788</v>
      </c>
      <c r="F93" s="702" t="s">
        <v>790</v>
      </c>
      <c r="H93" s="699" t="s">
        <v>92</v>
      </c>
    </row>
    <row r="94" spans="2:8" x14ac:dyDescent="0.2">
      <c r="B94" s="711" t="s">
        <v>93</v>
      </c>
      <c r="C94" s="715"/>
      <c r="D94" s="711">
        <v>1</v>
      </c>
      <c r="E94" s="711" t="s">
        <v>788</v>
      </c>
      <c r="F94" s="702" t="s">
        <v>790</v>
      </c>
      <c r="H94" s="699" t="s">
        <v>94</v>
      </c>
    </row>
    <row r="95" spans="2:8" x14ac:dyDescent="0.2">
      <c r="B95" s="711" t="s">
        <v>95</v>
      </c>
      <c r="C95" s="715"/>
      <c r="D95" s="711">
        <v>0.65</v>
      </c>
      <c r="E95" s="711" t="s">
        <v>788</v>
      </c>
      <c r="F95" s="702" t="s">
        <v>790</v>
      </c>
      <c r="H95" s="699" t="s">
        <v>97</v>
      </c>
    </row>
    <row r="96" spans="2:8" x14ac:dyDescent="0.2">
      <c r="B96" s="711" t="s">
        <v>98</v>
      </c>
      <c r="C96" s="711"/>
      <c r="D96" s="711">
        <v>0.65</v>
      </c>
      <c r="E96" s="711" t="s">
        <v>788</v>
      </c>
      <c r="F96" s="702" t="s">
        <v>790</v>
      </c>
      <c r="H96" s="699" t="s">
        <v>99</v>
      </c>
    </row>
    <row r="97" spans="2:8" x14ac:dyDescent="0.2">
      <c r="B97" s="711" t="s">
        <v>100</v>
      </c>
      <c r="C97" s="711"/>
      <c r="D97" s="711">
        <v>100</v>
      </c>
      <c r="E97" s="711" t="s">
        <v>791</v>
      </c>
      <c r="F97" s="702" t="s">
        <v>790</v>
      </c>
      <c r="H97" s="699"/>
    </row>
    <row r="98" spans="2:8" x14ac:dyDescent="0.2">
      <c r="B98" s="711" t="s">
        <v>104</v>
      </c>
      <c r="C98" s="711"/>
      <c r="D98" s="711">
        <v>1</v>
      </c>
      <c r="E98" s="711" t="s">
        <v>792</v>
      </c>
      <c r="F98" s="702" t="s">
        <v>793</v>
      </c>
      <c r="H98" s="699"/>
    </row>
    <row r="99" spans="2:8" x14ac:dyDescent="0.2">
      <c r="B99" s="696" t="s">
        <v>105</v>
      </c>
      <c r="C99" s="697"/>
      <c r="D99" s="696"/>
      <c r="E99" s="696"/>
      <c r="F99" s="698"/>
      <c r="H99" s="699"/>
    </row>
    <row r="100" spans="2:8" x14ac:dyDescent="0.2">
      <c r="B100" s="711" t="s">
        <v>107</v>
      </c>
      <c r="C100" s="711"/>
      <c r="D100" s="711">
        <v>1</v>
      </c>
      <c r="E100" s="711" t="s">
        <v>788</v>
      </c>
      <c r="F100" s="702" t="s">
        <v>790</v>
      </c>
      <c r="H100" s="699"/>
    </row>
    <row r="101" spans="2:8" x14ac:dyDescent="0.2">
      <c r="B101" s="711" t="s">
        <v>95</v>
      </c>
      <c r="C101" s="711"/>
      <c r="D101" s="711">
        <v>0.65</v>
      </c>
      <c r="E101" s="711" t="s">
        <v>788</v>
      </c>
      <c r="F101" s="702" t="s">
        <v>790</v>
      </c>
      <c r="H101" s="699"/>
    </row>
    <row r="102" spans="2:8" x14ac:dyDescent="0.2">
      <c r="B102" s="711" t="s">
        <v>108</v>
      </c>
      <c r="C102" s="711"/>
      <c r="D102" s="711">
        <v>0.45</v>
      </c>
      <c r="E102" s="711" t="s">
        <v>788</v>
      </c>
      <c r="F102" s="702" t="s">
        <v>790</v>
      </c>
      <c r="H102" s="699"/>
    </row>
    <row r="103" spans="2:8" x14ac:dyDescent="0.2">
      <c r="B103" s="711" t="s">
        <v>109</v>
      </c>
      <c r="C103" s="711"/>
      <c r="D103" s="711">
        <v>1</v>
      </c>
      <c r="E103" s="711" t="s">
        <v>788</v>
      </c>
      <c r="F103" s="702" t="s">
        <v>790</v>
      </c>
      <c r="H103" s="699"/>
    </row>
    <row r="104" spans="2:8" x14ac:dyDescent="0.2">
      <c r="B104" s="711" t="s">
        <v>111</v>
      </c>
      <c r="C104" s="711"/>
      <c r="D104" s="711">
        <v>2.5</v>
      </c>
      <c r="E104" s="711" t="s">
        <v>788</v>
      </c>
      <c r="F104" s="702" t="s">
        <v>790</v>
      </c>
      <c r="H104" s="699"/>
    </row>
    <row r="105" spans="2:8" x14ac:dyDescent="0.2">
      <c r="B105" s="711" t="s">
        <v>112</v>
      </c>
      <c r="C105" s="711"/>
      <c r="D105" s="711">
        <v>2</v>
      </c>
      <c r="E105" s="711" t="s">
        <v>788</v>
      </c>
      <c r="F105" s="702" t="s">
        <v>790</v>
      </c>
      <c r="H105" s="699"/>
    </row>
    <row r="106" spans="2:8" x14ac:dyDescent="0.2">
      <c r="B106" s="696" t="s">
        <v>114</v>
      </c>
      <c r="C106" s="697"/>
      <c r="D106" s="696"/>
      <c r="E106" s="696"/>
      <c r="F106" s="698"/>
      <c r="H106" s="699"/>
    </row>
    <row r="107" spans="2:8" x14ac:dyDescent="0.2">
      <c r="B107" s="711" t="s">
        <v>115</v>
      </c>
      <c r="C107" s="711"/>
      <c r="D107" s="711">
        <v>0.23499999999999999</v>
      </c>
      <c r="E107" s="711" t="s">
        <v>788</v>
      </c>
      <c r="F107" s="702" t="s">
        <v>764</v>
      </c>
      <c r="H107" s="699"/>
    </row>
    <row r="108" spans="2:8" x14ac:dyDescent="0.2">
      <c r="B108" s="699" t="s">
        <v>123</v>
      </c>
      <c r="C108" s="699"/>
      <c r="D108" s="699">
        <v>0.45</v>
      </c>
      <c r="E108" s="711" t="s">
        <v>788</v>
      </c>
      <c r="F108" s="702" t="s">
        <v>764</v>
      </c>
      <c r="H108" s="699"/>
    </row>
    <row r="109" spans="2:8" x14ac:dyDescent="0.2">
      <c r="B109" s="691" t="s">
        <v>117</v>
      </c>
      <c r="D109" s="691">
        <v>0.45</v>
      </c>
      <c r="E109" s="711" t="s">
        <v>788</v>
      </c>
      <c r="F109" s="702" t="s">
        <v>764</v>
      </c>
      <c r="H109" s="699"/>
    </row>
    <row r="110" spans="2:8" x14ac:dyDescent="0.2">
      <c r="B110" s="696" t="s">
        <v>411</v>
      </c>
      <c r="C110" s="697"/>
      <c r="D110" s="696"/>
      <c r="E110" s="696"/>
      <c r="F110" s="698"/>
      <c r="H110" s="699"/>
    </row>
    <row r="111" spans="2:8" x14ac:dyDescent="0.2">
      <c r="B111" s="711" t="s">
        <v>412</v>
      </c>
      <c r="C111" s="715" t="s">
        <v>699</v>
      </c>
      <c r="D111" s="715">
        <v>1000</v>
      </c>
      <c r="E111" s="711" t="s">
        <v>788</v>
      </c>
      <c r="F111" s="702" t="s">
        <v>790</v>
      </c>
      <c r="H111" s="699"/>
    </row>
    <row r="112" spans="2:8" x14ac:dyDescent="0.2">
      <c r="B112" s="711" t="s">
        <v>414</v>
      </c>
      <c r="C112" s="715" t="s">
        <v>699</v>
      </c>
      <c r="D112" s="715">
        <v>1000</v>
      </c>
      <c r="E112" s="711" t="s">
        <v>788</v>
      </c>
      <c r="F112" s="702" t="s">
        <v>790</v>
      </c>
      <c r="H112" s="699"/>
    </row>
    <row r="113" spans="2:8" x14ac:dyDescent="0.2">
      <c r="B113" s="696" t="s">
        <v>415</v>
      </c>
      <c r="C113" s="697"/>
      <c r="D113" s="696"/>
      <c r="E113" s="696"/>
      <c r="F113" s="698"/>
      <c r="H113" s="719"/>
    </row>
    <row r="114" spans="2:8" x14ac:dyDescent="0.2">
      <c r="B114" s="711" t="s">
        <v>416</v>
      </c>
      <c r="C114" s="715" t="s">
        <v>699</v>
      </c>
      <c r="D114" s="711">
        <v>10</v>
      </c>
      <c r="E114" s="711" t="s">
        <v>791</v>
      </c>
      <c r="F114" s="702" t="s">
        <v>790</v>
      </c>
      <c r="H114" s="699" t="s">
        <v>417</v>
      </c>
    </row>
    <row r="115" spans="2:8" x14ac:dyDescent="0.2">
      <c r="B115" s="711" t="s">
        <v>418</v>
      </c>
      <c r="C115" s="715" t="s">
        <v>699</v>
      </c>
      <c r="D115" s="711">
        <v>10</v>
      </c>
      <c r="E115" s="711" t="s">
        <v>791</v>
      </c>
      <c r="F115" s="702" t="s">
        <v>790</v>
      </c>
      <c r="H115" s="699" t="s">
        <v>419</v>
      </c>
    </row>
    <row r="116" spans="2:8" x14ac:dyDescent="0.2">
      <c r="B116" s="699" t="s">
        <v>609</v>
      </c>
      <c r="C116" s="720" t="s">
        <v>701</v>
      </c>
      <c r="D116" s="699">
        <v>0.2</v>
      </c>
      <c r="E116" s="711" t="s">
        <v>794</v>
      </c>
      <c r="F116" s="702" t="s">
        <v>790</v>
      </c>
      <c r="H116" s="699"/>
    </row>
    <row r="117" spans="2:8" x14ac:dyDescent="0.2">
      <c r="B117" s="699" t="s">
        <v>610</v>
      </c>
      <c r="C117" s="720" t="s">
        <v>701</v>
      </c>
      <c r="D117" s="699">
        <v>0.2</v>
      </c>
      <c r="E117" s="711" t="s">
        <v>794</v>
      </c>
      <c r="F117" s="702" t="s">
        <v>790</v>
      </c>
      <c r="H117" s="699"/>
    </row>
    <row r="118" spans="2:8" x14ac:dyDescent="0.2">
      <c r="B118" s="699" t="s">
        <v>611</v>
      </c>
      <c r="C118" s="720" t="s">
        <v>701</v>
      </c>
      <c r="D118" s="699">
        <v>0.2</v>
      </c>
      <c r="E118" s="711" t="s">
        <v>794</v>
      </c>
      <c r="F118" s="702" t="s">
        <v>790</v>
      </c>
      <c r="H118" s="699"/>
    </row>
    <row r="120" spans="2:8" x14ac:dyDescent="0.2">
      <c r="B120" s="692" t="s">
        <v>761</v>
      </c>
      <c r="C120" s="692"/>
    </row>
    <row r="121" spans="2:8" ht="25.5" x14ac:dyDescent="0.2">
      <c r="B121" s="693" t="s">
        <v>716</v>
      </c>
      <c r="C121" s="694" t="s">
        <v>744</v>
      </c>
      <c r="D121" s="693" t="s">
        <v>737</v>
      </c>
      <c r="E121" s="693" t="s">
        <v>338</v>
      </c>
      <c r="F121" s="693" t="s">
        <v>738</v>
      </c>
    </row>
    <row r="122" spans="2:8" x14ac:dyDescent="0.2">
      <c r="B122" s="696" t="s">
        <v>129</v>
      </c>
      <c r="C122" s="697"/>
      <c r="D122" s="696"/>
      <c r="E122" s="696"/>
      <c r="F122" s="698"/>
      <c r="H122" s="719"/>
    </row>
    <row r="123" spans="2:8" x14ac:dyDescent="0.2">
      <c r="B123" s="711" t="s">
        <v>131</v>
      </c>
      <c r="C123" s="711" t="s">
        <v>749</v>
      </c>
      <c r="D123" s="711">
        <v>5</v>
      </c>
      <c r="E123" s="711" t="s">
        <v>750</v>
      </c>
      <c r="F123" s="702" t="s">
        <v>751</v>
      </c>
    </row>
    <row r="124" spans="2:8" x14ac:dyDescent="0.2">
      <c r="B124" s="711" t="s">
        <v>752</v>
      </c>
      <c r="C124" s="711" t="s">
        <v>749</v>
      </c>
      <c r="D124" s="711">
        <v>3</v>
      </c>
      <c r="E124" s="711" t="s">
        <v>750</v>
      </c>
      <c r="F124" s="702" t="s">
        <v>753</v>
      </c>
    </row>
    <row r="125" spans="2:8" x14ac:dyDescent="0.2">
      <c r="B125" s="711" t="s">
        <v>146</v>
      </c>
      <c r="C125" s="711" t="s">
        <v>749</v>
      </c>
      <c r="D125" s="711">
        <v>1</v>
      </c>
      <c r="E125" s="711" t="s">
        <v>754</v>
      </c>
      <c r="F125" s="702" t="s">
        <v>755</v>
      </c>
    </row>
    <row r="126" spans="2:8" x14ac:dyDescent="0.2">
      <c r="B126" s="711" t="s">
        <v>594</v>
      </c>
      <c r="C126" s="711" t="s">
        <v>749</v>
      </c>
      <c r="D126" s="711">
        <v>0.04</v>
      </c>
      <c r="E126" s="711" t="s">
        <v>756</v>
      </c>
      <c r="F126" s="702" t="s">
        <v>795</v>
      </c>
    </row>
    <row r="127" spans="2:8" x14ac:dyDescent="0.2">
      <c r="B127" s="696" t="s">
        <v>190</v>
      </c>
      <c r="C127" s="697"/>
      <c r="D127" s="696"/>
      <c r="E127" s="696"/>
      <c r="F127" s="698"/>
      <c r="H127" s="719"/>
    </row>
    <row r="128" spans="2:8" x14ac:dyDescent="0.2">
      <c r="B128" s="711" t="s">
        <v>191</v>
      </c>
      <c r="C128" s="711"/>
      <c r="D128" s="721">
        <v>185000</v>
      </c>
      <c r="E128" s="711" t="s">
        <v>192</v>
      </c>
      <c r="F128" s="702" t="s">
        <v>758</v>
      </c>
    </row>
    <row r="129" spans="2:12" x14ac:dyDescent="0.2">
      <c r="B129" s="711" t="s">
        <v>193</v>
      </c>
      <c r="C129" s="711"/>
      <c r="D129" s="721">
        <v>145000</v>
      </c>
      <c r="E129" s="711" t="s">
        <v>192</v>
      </c>
      <c r="F129" s="702" t="s">
        <v>758</v>
      </c>
    </row>
    <row r="130" spans="2:12" x14ac:dyDescent="0.2">
      <c r="B130" s="711" t="s">
        <v>194</v>
      </c>
      <c r="C130" s="711"/>
      <c r="D130" s="721">
        <v>155000</v>
      </c>
      <c r="E130" s="711" t="s">
        <v>192</v>
      </c>
      <c r="F130" s="702" t="s">
        <v>758</v>
      </c>
    </row>
    <row r="131" spans="2:12" x14ac:dyDescent="0.2">
      <c r="B131" s="711" t="s">
        <v>195</v>
      </c>
      <c r="C131" s="711"/>
      <c r="D131" s="721">
        <v>75000</v>
      </c>
      <c r="E131" s="711" t="s">
        <v>192</v>
      </c>
      <c r="F131" s="702" t="s">
        <v>758</v>
      </c>
      <c r="L131" s="1533"/>
    </row>
    <row r="132" spans="2:12" x14ac:dyDescent="0.2">
      <c r="B132" s="711" t="s">
        <v>197</v>
      </c>
      <c r="C132" s="711"/>
      <c r="D132" s="721">
        <v>145000</v>
      </c>
      <c r="E132" s="711" t="s">
        <v>192</v>
      </c>
      <c r="F132" s="702" t="s">
        <v>758</v>
      </c>
    </row>
    <row r="133" spans="2:12" x14ac:dyDescent="0.2">
      <c r="B133" s="711" t="s">
        <v>198</v>
      </c>
      <c r="C133" s="711"/>
      <c r="D133" s="721">
        <v>145000</v>
      </c>
      <c r="E133" s="711" t="s">
        <v>192</v>
      </c>
      <c r="F133" s="702" t="s">
        <v>758</v>
      </c>
    </row>
    <row r="134" spans="2:12" x14ac:dyDescent="0.2">
      <c r="B134" s="711" t="s">
        <v>199</v>
      </c>
      <c r="C134" s="711"/>
      <c r="D134" s="721">
        <v>75000</v>
      </c>
      <c r="E134" s="711" t="s">
        <v>192</v>
      </c>
      <c r="F134" s="702" t="s">
        <v>758</v>
      </c>
    </row>
    <row r="135" spans="2:12" x14ac:dyDescent="0.2">
      <c r="B135" s="711" t="s">
        <v>200</v>
      </c>
      <c r="C135" s="711"/>
      <c r="D135" s="721">
        <v>55000</v>
      </c>
      <c r="E135" s="711" t="s">
        <v>192</v>
      </c>
      <c r="F135" s="702" t="s">
        <v>758</v>
      </c>
    </row>
    <row r="136" spans="2:12" x14ac:dyDescent="0.2">
      <c r="B136" s="711" t="s">
        <v>201</v>
      </c>
      <c r="C136" s="711"/>
      <c r="D136" s="721">
        <v>65000</v>
      </c>
      <c r="E136" s="711" t="s">
        <v>192</v>
      </c>
      <c r="F136" s="702" t="s">
        <v>758</v>
      </c>
    </row>
    <row r="137" spans="2:12" x14ac:dyDescent="0.2">
      <c r="B137" s="711" t="s">
        <v>202</v>
      </c>
      <c r="C137" s="711"/>
      <c r="D137" s="721">
        <v>50000</v>
      </c>
      <c r="E137" s="711" t="s">
        <v>192</v>
      </c>
      <c r="F137" s="702" t="s">
        <v>758</v>
      </c>
    </row>
    <row r="138" spans="2:12" x14ac:dyDescent="0.2">
      <c r="B138" s="711" t="s">
        <v>204</v>
      </c>
      <c r="C138" s="711"/>
      <c r="D138" s="721">
        <v>65000</v>
      </c>
      <c r="E138" s="711" t="s">
        <v>205</v>
      </c>
      <c r="F138" s="702" t="s">
        <v>758</v>
      </c>
    </row>
    <row r="139" spans="2:12" x14ac:dyDescent="0.2">
      <c r="B139" s="696" t="s">
        <v>717</v>
      </c>
      <c r="C139" s="697"/>
      <c r="D139" s="696"/>
      <c r="E139" s="696"/>
      <c r="F139" s="698"/>
    </row>
    <row r="140" spans="2:12" x14ac:dyDescent="0.2">
      <c r="B140" s="711" t="s">
        <v>224</v>
      </c>
      <c r="C140" s="711"/>
      <c r="D140" s="721">
        <v>2000</v>
      </c>
      <c r="E140" s="711" t="s">
        <v>225</v>
      </c>
      <c r="F140" s="702" t="s">
        <v>758</v>
      </c>
    </row>
    <row r="141" spans="2:12" x14ac:dyDescent="0.2">
      <c r="B141" s="711" t="s">
        <v>229</v>
      </c>
      <c r="C141" s="711"/>
      <c r="D141" s="721">
        <v>150000</v>
      </c>
      <c r="E141" s="711" t="s">
        <v>227</v>
      </c>
      <c r="F141" s="702" t="s">
        <v>758</v>
      </c>
    </row>
    <row r="142" spans="2:12" x14ac:dyDescent="0.2">
      <c r="B142" s="711" t="s">
        <v>230</v>
      </c>
      <c r="C142" s="711"/>
      <c r="D142" s="721">
        <v>1000000</v>
      </c>
      <c r="E142" s="711" t="s">
        <v>227</v>
      </c>
      <c r="F142" s="702" t="s">
        <v>758</v>
      </c>
    </row>
    <row r="143" spans="2:12" x14ac:dyDescent="0.2">
      <c r="B143" s="711" t="s">
        <v>231</v>
      </c>
      <c r="C143" s="711"/>
      <c r="D143" s="721">
        <v>30</v>
      </c>
      <c r="E143" s="711" t="s">
        <v>220</v>
      </c>
      <c r="F143" s="702" t="s">
        <v>758</v>
      </c>
    </row>
    <row r="144" spans="2:12" x14ac:dyDescent="0.2">
      <c r="B144" s="711" t="s">
        <v>232</v>
      </c>
      <c r="C144" s="711"/>
      <c r="D144" s="721">
        <v>1000</v>
      </c>
      <c r="E144" s="711" t="s">
        <v>233</v>
      </c>
      <c r="F144" s="702" t="s">
        <v>757</v>
      </c>
    </row>
    <row r="145" spans="2:6" x14ac:dyDescent="0.2">
      <c r="B145" s="711" t="s">
        <v>234</v>
      </c>
      <c r="C145" s="711"/>
      <c r="D145" s="721">
        <v>200</v>
      </c>
      <c r="E145" s="711" t="s">
        <v>235</v>
      </c>
      <c r="F145" s="702" t="s">
        <v>758</v>
      </c>
    </row>
    <row r="146" spans="2:6" s="164" customFormat="1" x14ac:dyDescent="0.2">
      <c r="B146" s="696" t="s">
        <v>184</v>
      </c>
      <c r="C146" s="697"/>
      <c r="D146" s="696"/>
      <c r="E146" s="696"/>
      <c r="F146" s="698"/>
    </row>
    <row r="147" spans="2:6" x14ac:dyDescent="0.2">
      <c r="B147" s="711" t="s">
        <v>214</v>
      </c>
      <c r="C147" s="711"/>
      <c r="D147" s="722">
        <v>6.8750000000000006E-2</v>
      </c>
      <c r="E147" s="711" t="s">
        <v>215</v>
      </c>
      <c r="F147" s="702" t="s">
        <v>796</v>
      </c>
    </row>
    <row r="148" spans="2:6" x14ac:dyDescent="0.2">
      <c r="B148" s="696" t="s">
        <v>218</v>
      </c>
      <c r="C148" s="697"/>
      <c r="D148" s="696"/>
      <c r="E148" s="696"/>
      <c r="F148" s="698"/>
    </row>
    <row r="149" spans="2:6" x14ac:dyDescent="0.2">
      <c r="B149" s="723" t="s">
        <v>218</v>
      </c>
      <c r="C149" s="699"/>
      <c r="D149" s="708">
        <v>0.03</v>
      </c>
      <c r="E149" s="699" t="s">
        <v>28</v>
      </c>
      <c r="F149" s="702" t="s">
        <v>758</v>
      </c>
    </row>
    <row r="150" spans="2:6" x14ac:dyDescent="0.2">
      <c r="B150" s="699" t="s">
        <v>275</v>
      </c>
      <c r="C150" s="699"/>
      <c r="D150" s="708">
        <v>0.01</v>
      </c>
      <c r="E150" s="699" t="s">
        <v>28</v>
      </c>
      <c r="F150" s="702" t="s">
        <v>758</v>
      </c>
    </row>
  </sheetData>
  <sheetProtection password="C82C" sheet="1" objects="1" scenarios="1" selectLockedCells="1" selectUnlockedCell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showGridLines="0" workbookViewId="0">
      <selection activeCell="I28" sqref="I28"/>
    </sheetView>
  </sheetViews>
  <sheetFormatPr defaultRowHeight="12.75" x14ac:dyDescent="0.2"/>
  <cols>
    <col min="1" max="1" width="4.42578125" style="774" customWidth="1"/>
    <col min="2" max="2" width="49.42578125" style="774" customWidth="1"/>
    <col min="3" max="3" width="13.5703125" style="774" customWidth="1"/>
    <col min="4" max="11" width="9" style="774" customWidth="1"/>
    <col min="12" max="12" width="10.5703125" style="774" customWidth="1"/>
    <col min="13" max="13" width="40.7109375" style="774" customWidth="1"/>
    <col min="14" max="255" width="9.140625" style="774"/>
    <col min="256" max="256" width="36.7109375" style="774" customWidth="1"/>
    <col min="257" max="257" width="15.42578125" style="774" bestFit="1" customWidth="1"/>
    <col min="258" max="258" width="11" style="774" customWidth="1"/>
    <col min="259" max="259" width="9.140625" style="774"/>
    <col min="260" max="260" width="10.7109375" style="774" customWidth="1"/>
    <col min="261" max="267" width="9.140625" style="774"/>
    <col min="268" max="268" width="8.42578125" style="774" customWidth="1"/>
    <col min="269" max="269" width="11.5703125" style="774" customWidth="1"/>
    <col min="270" max="511" width="9.140625" style="774"/>
    <col min="512" max="512" width="36.7109375" style="774" customWidth="1"/>
    <col min="513" max="513" width="15.42578125" style="774" bestFit="1" customWidth="1"/>
    <col min="514" max="514" width="11" style="774" customWidth="1"/>
    <col min="515" max="515" width="9.140625" style="774"/>
    <col min="516" max="516" width="10.7109375" style="774" customWidth="1"/>
    <col min="517" max="523" width="9.140625" style="774"/>
    <col min="524" max="524" width="8.42578125" style="774" customWidth="1"/>
    <col min="525" max="525" width="11.5703125" style="774" customWidth="1"/>
    <col min="526" max="767" width="9.140625" style="774"/>
    <col min="768" max="768" width="36.7109375" style="774" customWidth="1"/>
    <col min="769" max="769" width="15.42578125" style="774" bestFit="1" customWidth="1"/>
    <col min="770" max="770" width="11" style="774" customWidth="1"/>
    <col min="771" max="771" width="9.140625" style="774"/>
    <col min="772" max="772" width="10.7109375" style="774" customWidth="1"/>
    <col min="773" max="779" width="9.140625" style="774"/>
    <col min="780" max="780" width="8.42578125" style="774" customWidth="1"/>
    <col min="781" max="781" width="11.5703125" style="774" customWidth="1"/>
    <col min="782" max="1023" width="9.140625" style="774"/>
    <col min="1024" max="1024" width="36.7109375" style="774" customWidth="1"/>
    <col min="1025" max="1025" width="15.42578125" style="774" bestFit="1" customWidth="1"/>
    <col min="1026" max="1026" width="11" style="774" customWidth="1"/>
    <col min="1027" max="1027" width="9.140625" style="774"/>
    <col min="1028" max="1028" width="10.7109375" style="774" customWidth="1"/>
    <col min="1029" max="1035" width="9.140625" style="774"/>
    <col min="1036" max="1036" width="8.42578125" style="774" customWidth="1"/>
    <col min="1037" max="1037" width="11.5703125" style="774" customWidth="1"/>
    <col min="1038" max="1279" width="9.140625" style="774"/>
    <col min="1280" max="1280" width="36.7109375" style="774" customWidth="1"/>
    <col min="1281" max="1281" width="15.42578125" style="774" bestFit="1" customWidth="1"/>
    <col min="1282" max="1282" width="11" style="774" customWidth="1"/>
    <col min="1283" max="1283" width="9.140625" style="774"/>
    <col min="1284" max="1284" width="10.7109375" style="774" customWidth="1"/>
    <col min="1285" max="1291" width="9.140625" style="774"/>
    <col min="1292" max="1292" width="8.42578125" style="774" customWidth="1"/>
    <col min="1293" max="1293" width="11.5703125" style="774" customWidth="1"/>
    <col min="1294" max="1535" width="9.140625" style="774"/>
    <col min="1536" max="1536" width="36.7109375" style="774" customWidth="1"/>
    <col min="1537" max="1537" width="15.42578125" style="774" bestFit="1" customWidth="1"/>
    <col min="1538" max="1538" width="11" style="774" customWidth="1"/>
    <col min="1539" max="1539" width="9.140625" style="774"/>
    <col min="1540" max="1540" width="10.7109375" style="774" customWidth="1"/>
    <col min="1541" max="1547" width="9.140625" style="774"/>
    <col min="1548" max="1548" width="8.42578125" style="774" customWidth="1"/>
    <col min="1549" max="1549" width="11.5703125" style="774" customWidth="1"/>
    <col min="1550" max="1791" width="9.140625" style="774"/>
    <col min="1792" max="1792" width="36.7109375" style="774" customWidth="1"/>
    <col min="1793" max="1793" width="15.42578125" style="774" bestFit="1" customWidth="1"/>
    <col min="1794" max="1794" width="11" style="774" customWidth="1"/>
    <col min="1795" max="1795" width="9.140625" style="774"/>
    <col min="1796" max="1796" width="10.7109375" style="774" customWidth="1"/>
    <col min="1797" max="1803" width="9.140625" style="774"/>
    <col min="1804" max="1804" width="8.42578125" style="774" customWidth="1"/>
    <col min="1805" max="1805" width="11.5703125" style="774" customWidth="1"/>
    <col min="1806" max="2047" width="9.140625" style="774"/>
    <col min="2048" max="2048" width="36.7109375" style="774" customWidth="1"/>
    <col min="2049" max="2049" width="15.42578125" style="774" bestFit="1" customWidth="1"/>
    <col min="2050" max="2050" width="11" style="774" customWidth="1"/>
    <col min="2051" max="2051" width="9.140625" style="774"/>
    <col min="2052" max="2052" width="10.7109375" style="774" customWidth="1"/>
    <col min="2053" max="2059" width="9.140625" style="774"/>
    <col min="2060" max="2060" width="8.42578125" style="774" customWidth="1"/>
    <col min="2061" max="2061" width="11.5703125" style="774" customWidth="1"/>
    <col min="2062" max="2303" width="9.140625" style="774"/>
    <col min="2304" max="2304" width="36.7109375" style="774" customWidth="1"/>
    <col min="2305" max="2305" width="15.42578125" style="774" bestFit="1" customWidth="1"/>
    <col min="2306" max="2306" width="11" style="774" customWidth="1"/>
    <col min="2307" max="2307" width="9.140625" style="774"/>
    <col min="2308" max="2308" width="10.7109375" style="774" customWidth="1"/>
    <col min="2309" max="2315" width="9.140625" style="774"/>
    <col min="2316" max="2316" width="8.42578125" style="774" customWidth="1"/>
    <col min="2317" max="2317" width="11.5703125" style="774" customWidth="1"/>
    <col min="2318" max="2559" width="9.140625" style="774"/>
    <col min="2560" max="2560" width="36.7109375" style="774" customWidth="1"/>
    <col min="2561" max="2561" width="15.42578125" style="774" bestFit="1" customWidth="1"/>
    <col min="2562" max="2562" width="11" style="774" customWidth="1"/>
    <col min="2563" max="2563" width="9.140625" style="774"/>
    <col min="2564" max="2564" width="10.7109375" style="774" customWidth="1"/>
    <col min="2565" max="2571" width="9.140625" style="774"/>
    <col min="2572" max="2572" width="8.42578125" style="774" customWidth="1"/>
    <col min="2573" max="2573" width="11.5703125" style="774" customWidth="1"/>
    <col min="2574" max="2815" width="9.140625" style="774"/>
    <col min="2816" max="2816" width="36.7109375" style="774" customWidth="1"/>
    <col min="2817" max="2817" width="15.42578125" style="774" bestFit="1" customWidth="1"/>
    <col min="2818" max="2818" width="11" style="774" customWidth="1"/>
    <col min="2819" max="2819" width="9.140625" style="774"/>
    <col min="2820" max="2820" width="10.7109375" style="774" customWidth="1"/>
    <col min="2821" max="2827" width="9.140625" style="774"/>
    <col min="2828" max="2828" width="8.42578125" style="774" customWidth="1"/>
    <col min="2829" max="2829" width="11.5703125" style="774" customWidth="1"/>
    <col min="2830" max="3071" width="9.140625" style="774"/>
    <col min="3072" max="3072" width="36.7109375" style="774" customWidth="1"/>
    <col min="3073" max="3073" width="15.42578125" style="774" bestFit="1" customWidth="1"/>
    <col min="3074" max="3074" width="11" style="774" customWidth="1"/>
    <col min="3075" max="3075" width="9.140625" style="774"/>
    <col min="3076" max="3076" width="10.7109375" style="774" customWidth="1"/>
    <col min="3077" max="3083" width="9.140625" style="774"/>
    <col min="3084" max="3084" width="8.42578125" style="774" customWidth="1"/>
    <col min="3085" max="3085" width="11.5703125" style="774" customWidth="1"/>
    <col min="3086" max="3327" width="9.140625" style="774"/>
    <col min="3328" max="3328" width="36.7109375" style="774" customWidth="1"/>
    <col min="3329" max="3329" width="15.42578125" style="774" bestFit="1" customWidth="1"/>
    <col min="3330" max="3330" width="11" style="774" customWidth="1"/>
    <col min="3331" max="3331" width="9.140625" style="774"/>
    <col min="3332" max="3332" width="10.7109375" style="774" customWidth="1"/>
    <col min="3333" max="3339" width="9.140625" style="774"/>
    <col min="3340" max="3340" width="8.42578125" style="774" customWidth="1"/>
    <col min="3341" max="3341" width="11.5703125" style="774" customWidth="1"/>
    <col min="3342" max="3583" width="9.140625" style="774"/>
    <col min="3584" max="3584" width="36.7109375" style="774" customWidth="1"/>
    <col min="3585" max="3585" width="15.42578125" style="774" bestFit="1" customWidth="1"/>
    <col min="3586" max="3586" width="11" style="774" customWidth="1"/>
    <col min="3587" max="3587" width="9.140625" style="774"/>
    <col min="3588" max="3588" width="10.7109375" style="774" customWidth="1"/>
    <col min="3589" max="3595" width="9.140625" style="774"/>
    <col min="3596" max="3596" width="8.42578125" style="774" customWidth="1"/>
    <col min="3597" max="3597" width="11.5703125" style="774" customWidth="1"/>
    <col min="3598" max="3839" width="9.140625" style="774"/>
    <col min="3840" max="3840" width="36.7109375" style="774" customWidth="1"/>
    <col min="3841" max="3841" width="15.42578125" style="774" bestFit="1" customWidth="1"/>
    <col min="3842" max="3842" width="11" style="774" customWidth="1"/>
    <col min="3843" max="3843" width="9.140625" style="774"/>
    <col min="3844" max="3844" width="10.7109375" style="774" customWidth="1"/>
    <col min="3845" max="3851" width="9.140625" style="774"/>
    <col min="3852" max="3852" width="8.42578125" style="774" customWidth="1"/>
    <col min="3853" max="3853" width="11.5703125" style="774" customWidth="1"/>
    <col min="3854" max="4095" width="9.140625" style="774"/>
    <col min="4096" max="4096" width="36.7109375" style="774" customWidth="1"/>
    <col min="4097" max="4097" width="15.42578125" style="774" bestFit="1" customWidth="1"/>
    <col min="4098" max="4098" width="11" style="774" customWidth="1"/>
    <col min="4099" max="4099" width="9.140625" style="774"/>
    <col min="4100" max="4100" width="10.7109375" style="774" customWidth="1"/>
    <col min="4101" max="4107" width="9.140625" style="774"/>
    <col min="4108" max="4108" width="8.42578125" style="774" customWidth="1"/>
    <col min="4109" max="4109" width="11.5703125" style="774" customWidth="1"/>
    <col min="4110" max="4351" width="9.140625" style="774"/>
    <col min="4352" max="4352" width="36.7109375" style="774" customWidth="1"/>
    <col min="4353" max="4353" width="15.42578125" style="774" bestFit="1" customWidth="1"/>
    <col min="4354" max="4354" width="11" style="774" customWidth="1"/>
    <col min="4355" max="4355" width="9.140625" style="774"/>
    <col min="4356" max="4356" width="10.7109375" style="774" customWidth="1"/>
    <col min="4357" max="4363" width="9.140625" style="774"/>
    <col min="4364" max="4364" width="8.42578125" style="774" customWidth="1"/>
    <col min="4365" max="4365" width="11.5703125" style="774" customWidth="1"/>
    <col min="4366" max="4607" width="9.140625" style="774"/>
    <col min="4608" max="4608" width="36.7109375" style="774" customWidth="1"/>
    <col min="4609" max="4609" width="15.42578125" style="774" bestFit="1" customWidth="1"/>
    <col min="4610" max="4610" width="11" style="774" customWidth="1"/>
    <col min="4611" max="4611" width="9.140625" style="774"/>
    <col min="4612" max="4612" width="10.7109375" style="774" customWidth="1"/>
    <col min="4613" max="4619" width="9.140625" style="774"/>
    <col min="4620" max="4620" width="8.42578125" style="774" customWidth="1"/>
    <col min="4621" max="4621" width="11.5703125" style="774" customWidth="1"/>
    <col min="4622" max="4863" width="9.140625" style="774"/>
    <col min="4864" max="4864" width="36.7109375" style="774" customWidth="1"/>
    <col min="4865" max="4865" width="15.42578125" style="774" bestFit="1" customWidth="1"/>
    <col min="4866" max="4866" width="11" style="774" customWidth="1"/>
    <col min="4867" max="4867" width="9.140625" style="774"/>
    <col min="4868" max="4868" width="10.7109375" style="774" customWidth="1"/>
    <col min="4869" max="4875" width="9.140625" style="774"/>
    <col min="4876" max="4876" width="8.42578125" style="774" customWidth="1"/>
    <col min="4877" max="4877" width="11.5703125" style="774" customWidth="1"/>
    <col min="4878" max="5119" width="9.140625" style="774"/>
    <col min="5120" max="5120" width="36.7109375" style="774" customWidth="1"/>
    <col min="5121" max="5121" width="15.42578125" style="774" bestFit="1" customWidth="1"/>
    <col min="5122" max="5122" width="11" style="774" customWidth="1"/>
    <col min="5123" max="5123" width="9.140625" style="774"/>
    <col min="5124" max="5124" width="10.7109375" style="774" customWidth="1"/>
    <col min="5125" max="5131" width="9.140625" style="774"/>
    <col min="5132" max="5132" width="8.42578125" style="774" customWidth="1"/>
    <col min="5133" max="5133" width="11.5703125" style="774" customWidth="1"/>
    <col min="5134" max="5375" width="9.140625" style="774"/>
    <col min="5376" max="5376" width="36.7109375" style="774" customWidth="1"/>
    <col min="5377" max="5377" width="15.42578125" style="774" bestFit="1" customWidth="1"/>
    <col min="5378" max="5378" width="11" style="774" customWidth="1"/>
    <col min="5379" max="5379" width="9.140625" style="774"/>
    <col min="5380" max="5380" width="10.7109375" style="774" customWidth="1"/>
    <col min="5381" max="5387" width="9.140625" style="774"/>
    <col min="5388" max="5388" width="8.42578125" style="774" customWidth="1"/>
    <col min="5389" max="5389" width="11.5703125" style="774" customWidth="1"/>
    <col min="5390" max="5631" width="9.140625" style="774"/>
    <col min="5632" max="5632" width="36.7109375" style="774" customWidth="1"/>
    <col min="5633" max="5633" width="15.42578125" style="774" bestFit="1" customWidth="1"/>
    <col min="5634" max="5634" width="11" style="774" customWidth="1"/>
    <col min="5635" max="5635" width="9.140625" style="774"/>
    <col min="5636" max="5636" width="10.7109375" style="774" customWidth="1"/>
    <col min="5637" max="5643" width="9.140625" style="774"/>
    <col min="5644" max="5644" width="8.42578125" style="774" customWidth="1"/>
    <col min="5645" max="5645" width="11.5703125" style="774" customWidth="1"/>
    <col min="5646" max="5887" width="9.140625" style="774"/>
    <col min="5888" max="5888" width="36.7109375" style="774" customWidth="1"/>
    <col min="5889" max="5889" width="15.42578125" style="774" bestFit="1" customWidth="1"/>
    <col min="5890" max="5890" width="11" style="774" customWidth="1"/>
    <col min="5891" max="5891" width="9.140625" style="774"/>
    <col min="5892" max="5892" width="10.7109375" style="774" customWidth="1"/>
    <col min="5893" max="5899" width="9.140625" style="774"/>
    <col min="5900" max="5900" width="8.42578125" style="774" customWidth="1"/>
    <col min="5901" max="5901" width="11.5703125" style="774" customWidth="1"/>
    <col min="5902" max="6143" width="9.140625" style="774"/>
    <col min="6144" max="6144" width="36.7109375" style="774" customWidth="1"/>
    <col min="6145" max="6145" width="15.42578125" style="774" bestFit="1" customWidth="1"/>
    <col min="6146" max="6146" width="11" style="774" customWidth="1"/>
    <col min="6147" max="6147" width="9.140625" style="774"/>
    <col min="6148" max="6148" width="10.7109375" style="774" customWidth="1"/>
    <col min="6149" max="6155" width="9.140625" style="774"/>
    <col min="6156" max="6156" width="8.42578125" style="774" customWidth="1"/>
    <col min="6157" max="6157" width="11.5703125" style="774" customWidth="1"/>
    <col min="6158" max="6399" width="9.140625" style="774"/>
    <col min="6400" max="6400" width="36.7109375" style="774" customWidth="1"/>
    <col min="6401" max="6401" width="15.42578125" style="774" bestFit="1" customWidth="1"/>
    <col min="6402" max="6402" width="11" style="774" customWidth="1"/>
    <col min="6403" max="6403" width="9.140625" style="774"/>
    <col min="6404" max="6404" width="10.7109375" style="774" customWidth="1"/>
    <col min="6405" max="6411" width="9.140625" style="774"/>
    <col min="6412" max="6412" width="8.42578125" style="774" customWidth="1"/>
    <col min="6413" max="6413" width="11.5703125" style="774" customWidth="1"/>
    <col min="6414" max="6655" width="9.140625" style="774"/>
    <col min="6656" max="6656" width="36.7109375" style="774" customWidth="1"/>
    <col min="6657" max="6657" width="15.42578125" style="774" bestFit="1" customWidth="1"/>
    <col min="6658" max="6658" width="11" style="774" customWidth="1"/>
    <col min="6659" max="6659" width="9.140625" style="774"/>
    <col min="6660" max="6660" width="10.7109375" style="774" customWidth="1"/>
    <col min="6661" max="6667" width="9.140625" style="774"/>
    <col min="6668" max="6668" width="8.42578125" style="774" customWidth="1"/>
    <col min="6669" max="6669" width="11.5703125" style="774" customWidth="1"/>
    <col min="6670" max="6911" width="9.140625" style="774"/>
    <col min="6912" max="6912" width="36.7109375" style="774" customWidth="1"/>
    <col min="6913" max="6913" width="15.42578125" style="774" bestFit="1" customWidth="1"/>
    <col min="6914" max="6914" width="11" style="774" customWidth="1"/>
    <col min="6915" max="6915" width="9.140625" style="774"/>
    <col min="6916" max="6916" width="10.7109375" style="774" customWidth="1"/>
    <col min="6917" max="6923" width="9.140625" style="774"/>
    <col min="6924" max="6924" width="8.42578125" style="774" customWidth="1"/>
    <col min="6925" max="6925" width="11.5703125" style="774" customWidth="1"/>
    <col min="6926" max="7167" width="9.140625" style="774"/>
    <col min="7168" max="7168" width="36.7109375" style="774" customWidth="1"/>
    <col min="7169" max="7169" width="15.42578125" style="774" bestFit="1" customWidth="1"/>
    <col min="7170" max="7170" width="11" style="774" customWidth="1"/>
    <col min="7171" max="7171" width="9.140625" style="774"/>
    <col min="7172" max="7172" width="10.7109375" style="774" customWidth="1"/>
    <col min="7173" max="7179" width="9.140625" style="774"/>
    <col min="7180" max="7180" width="8.42578125" style="774" customWidth="1"/>
    <col min="7181" max="7181" width="11.5703125" style="774" customWidth="1"/>
    <col min="7182" max="7423" width="9.140625" style="774"/>
    <col min="7424" max="7424" width="36.7109375" style="774" customWidth="1"/>
    <col min="7425" max="7425" width="15.42578125" style="774" bestFit="1" customWidth="1"/>
    <col min="7426" max="7426" width="11" style="774" customWidth="1"/>
    <col min="7427" max="7427" width="9.140625" style="774"/>
    <col min="7428" max="7428" width="10.7109375" style="774" customWidth="1"/>
    <col min="7429" max="7435" width="9.140625" style="774"/>
    <col min="7436" max="7436" width="8.42578125" style="774" customWidth="1"/>
    <col min="7437" max="7437" width="11.5703125" style="774" customWidth="1"/>
    <col min="7438" max="7679" width="9.140625" style="774"/>
    <col min="7680" max="7680" width="36.7109375" style="774" customWidth="1"/>
    <col min="7681" max="7681" width="15.42578125" style="774" bestFit="1" customWidth="1"/>
    <col min="7682" max="7682" width="11" style="774" customWidth="1"/>
    <col min="7683" max="7683" width="9.140625" style="774"/>
    <col min="7684" max="7684" width="10.7109375" style="774" customWidth="1"/>
    <col min="7685" max="7691" width="9.140625" style="774"/>
    <col min="7692" max="7692" width="8.42578125" style="774" customWidth="1"/>
    <col min="7693" max="7693" width="11.5703125" style="774" customWidth="1"/>
    <col min="7694" max="7935" width="9.140625" style="774"/>
    <col min="7936" max="7936" width="36.7109375" style="774" customWidth="1"/>
    <col min="7937" max="7937" width="15.42578125" style="774" bestFit="1" customWidth="1"/>
    <col min="7938" max="7938" width="11" style="774" customWidth="1"/>
    <col min="7939" max="7939" width="9.140625" style="774"/>
    <col min="7940" max="7940" width="10.7109375" style="774" customWidth="1"/>
    <col min="7941" max="7947" width="9.140625" style="774"/>
    <col min="7948" max="7948" width="8.42578125" style="774" customWidth="1"/>
    <col min="7949" max="7949" width="11.5703125" style="774" customWidth="1"/>
    <col min="7950" max="8191" width="9.140625" style="774"/>
    <col min="8192" max="8192" width="36.7109375" style="774" customWidth="1"/>
    <col min="8193" max="8193" width="15.42578125" style="774" bestFit="1" customWidth="1"/>
    <col min="8194" max="8194" width="11" style="774" customWidth="1"/>
    <col min="8195" max="8195" width="9.140625" style="774"/>
    <col min="8196" max="8196" width="10.7109375" style="774" customWidth="1"/>
    <col min="8197" max="8203" width="9.140625" style="774"/>
    <col min="8204" max="8204" width="8.42578125" style="774" customWidth="1"/>
    <col min="8205" max="8205" width="11.5703125" style="774" customWidth="1"/>
    <col min="8206" max="8447" width="9.140625" style="774"/>
    <col min="8448" max="8448" width="36.7109375" style="774" customWidth="1"/>
    <col min="8449" max="8449" width="15.42578125" style="774" bestFit="1" customWidth="1"/>
    <col min="8450" max="8450" width="11" style="774" customWidth="1"/>
    <col min="8451" max="8451" width="9.140625" style="774"/>
    <col min="8452" max="8452" width="10.7109375" style="774" customWidth="1"/>
    <col min="8453" max="8459" width="9.140625" style="774"/>
    <col min="8460" max="8460" width="8.42578125" style="774" customWidth="1"/>
    <col min="8461" max="8461" width="11.5703125" style="774" customWidth="1"/>
    <col min="8462" max="8703" width="9.140625" style="774"/>
    <col min="8704" max="8704" width="36.7109375" style="774" customWidth="1"/>
    <col min="8705" max="8705" width="15.42578125" style="774" bestFit="1" customWidth="1"/>
    <col min="8706" max="8706" width="11" style="774" customWidth="1"/>
    <col min="8707" max="8707" width="9.140625" style="774"/>
    <col min="8708" max="8708" width="10.7109375" style="774" customWidth="1"/>
    <col min="8709" max="8715" width="9.140625" style="774"/>
    <col min="8716" max="8716" width="8.42578125" style="774" customWidth="1"/>
    <col min="8717" max="8717" width="11.5703125" style="774" customWidth="1"/>
    <col min="8718" max="8959" width="9.140625" style="774"/>
    <col min="8960" max="8960" width="36.7109375" style="774" customWidth="1"/>
    <col min="8961" max="8961" width="15.42578125" style="774" bestFit="1" customWidth="1"/>
    <col min="8962" max="8962" width="11" style="774" customWidth="1"/>
    <col min="8963" max="8963" width="9.140625" style="774"/>
    <col min="8964" max="8964" width="10.7109375" style="774" customWidth="1"/>
    <col min="8965" max="8971" width="9.140625" style="774"/>
    <col min="8972" max="8972" width="8.42578125" style="774" customWidth="1"/>
    <col min="8973" max="8973" width="11.5703125" style="774" customWidth="1"/>
    <col min="8974" max="9215" width="9.140625" style="774"/>
    <col min="9216" max="9216" width="36.7109375" style="774" customWidth="1"/>
    <col min="9217" max="9217" width="15.42578125" style="774" bestFit="1" customWidth="1"/>
    <col min="9218" max="9218" width="11" style="774" customWidth="1"/>
    <col min="9219" max="9219" width="9.140625" style="774"/>
    <col min="9220" max="9220" width="10.7109375" style="774" customWidth="1"/>
    <col min="9221" max="9227" width="9.140625" style="774"/>
    <col min="9228" max="9228" width="8.42578125" style="774" customWidth="1"/>
    <col min="9229" max="9229" width="11.5703125" style="774" customWidth="1"/>
    <col min="9230" max="9471" width="9.140625" style="774"/>
    <col min="9472" max="9472" width="36.7109375" style="774" customWidth="1"/>
    <col min="9473" max="9473" width="15.42578125" style="774" bestFit="1" customWidth="1"/>
    <col min="9474" max="9474" width="11" style="774" customWidth="1"/>
    <col min="9475" max="9475" width="9.140625" style="774"/>
    <col min="9476" max="9476" width="10.7109375" style="774" customWidth="1"/>
    <col min="9477" max="9483" width="9.140625" style="774"/>
    <col min="9484" max="9484" width="8.42578125" style="774" customWidth="1"/>
    <col min="9485" max="9485" width="11.5703125" style="774" customWidth="1"/>
    <col min="9486" max="9727" width="9.140625" style="774"/>
    <col min="9728" max="9728" width="36.7109375" style="774" customWidth="1"/>
    <col min="9729" max="9729" width="15.42578125" style="774" bestFit="1" customWidth="1"/>
    <col min="9730" max="9730" width="11" style="774" customWidth="1"/>
    <col min="9731" max="9731" width="9.140625" style="774"/>
    <col min="9732" max="9732" width="10.7109375" style="774" customWidth="1"/>
    <col min="9733" max="9739" width="9.140625" style="774"/>
    <col min="9740" max="9740" width="8.42578125" style="774" customWidth="1"/>
    <col min="9741" max="9741" width="11.5703125" style="774" customWidth="1"/>
    <col min="9742" max="9983" width="9.140625" style="774"/>
    <col min="9984" max="9984" width="36.7109375" style="774" customWidth="1"/>
    <col min="9985" max="9985" width="15.42578125" style="774" bestFit="1" customWidth="1"/>
    <col min="9986" max="9986" width="11" style="774" customWidth="1"/>
    <col min="9987" max="9987" width="9.140625" style="774"/>
    <col min="9988" max="9988" width="10.7109375" style="774" customWidth="1"/>
    <col min="9989" max="9995" width="9.140625" style="774"/>
    <col min="9996" max="9996" width="8.42578125" style="774" customWidth="1"/>
    <col min="9997" max="9997" width="11.5703125" style="774" customWidth="1"/>
    <col min="9998" max="10239" width="9.140625" style="774"/>
    <col min="10240" max="10240" width="36.7109375" style="774" customWidth="1"/>
    <col min="10241" max="10241" width="15.42578125" style="774" bestFit="1" customWidth="1"/>
    <col min="10242" max="10242" width="11" style="774" customWidth="1"/>
    <col min="10243" max="10243" width="9.140625" style="774"/>
    <col min="10244" max="10244" width="10.7109375" style="774" customWidth="1"/>
    <col min="10245" max="10251" width="9.140625" style="774"/>
    <col min="10252" max="10252" width="8.42578125" style="774" customWidth="1"/>
    <col min="10253" max="10253" width="11.5703125" style="774" customWidth="1"/>
    <col min="10254" max="10495" width="9.140625" style="774"/>
    <col min="10496" max="10496" width="36.7109375" style="774" customWidth="1"/>
    <col min="10497" max="10497" width="15.42578125" style="774" bestFit="1" customWidth="1"/>
    <col min="10498" max="10498" width="11" style="774" customWidth="1"/>
    <col min="10499" max="10499" width="9.140625" style="774"/>
    <col min="10500" max="10500" width="10.7109375" style="774" customWidth="1"/>
    <col min="10501" max="10507" width="9.140625" style="774"/>
    <col min="10508" max="10508" width="8.42578125" style="774" customWidth="1"/>
    <col min="10509" max="10509" width="11.5703125" style="774" customWidth="1"/>
    <col min="10510" max="10751" width="9.140625" style="774"/>
    <col min="10752" max="10752" width="36.7109375" style="774" customWidth="1"/>
    <col min="10753" max="10753" width="15.42578125" style="774" bestFit="1" customWidth="1"/>
    <col min="10754" max="10754" width="11" style="774" customWidth="1"/>
    <col min="10755" max="10755" width="9.140625" style="774"/>
    <col min="10756" max="10756" width="10.7109375" style="774" customWidth="1"/>
    <col min="10757" max="10763" width="9.140625" style="774"/>
    <col min="10764" max="10764" width="8.42578125" style="774" customWidth="1"/>
    <col min="10765" max="10765" width="11.5703125" style="774" customWidth="1"/>
    <col min="10766" max="11007" width="9.140625" style="774"/>
    <col min="11008" max="11008" width="36.7109375" style="774" customWidth="1"/>
    <col min="11009" max="11009" width="15.42578125" style="774" bestFit="1" customWidth="1"/>
    <col min="11010" max="11010" width="11" style="774" customWidth="1"/>
    <col min="11011" max="11011" width="9.140625" style="774"/>
    <col min="11012" max="11012" width="10.7109375" style="774" customWidth="1"/>
    <col min="11013" max="11019" width="9.140625" style="774"/>
    <col min="11020" max="11020" width="8.42578125" style="774" customWidth="1"/>
    <col min="11021" max="11021" width="11.5703125" style="774" customWidth="1"/>
    <col min="11022" max="11263" width="9.140625" style="774"/>
    <col min="11264" max="11264" width="36.7109375" style="774" customWidth="1"/>
    <col min="11265" max="11265" width="15.42578125" style="774" bestFit="1" customWidth="1"/>
    <col min="11266" max="11266" width="11" style="774" customWidth="1"/>
    <col min="11267" max="11267" width="9.140625" style="774"/>
    <col min="11268" max="11268" width="10.7109375" style="774" customWidth="1"/>
    <col min="11269" max="11275" width="9.140625" style="774"/>
    <col min="11276" max="11276" width="8.42578125" style="774" customWidth="1"/>
    <col min="11277" max="11277" width="11.5703125" style="774" customWidth="1"/>
    <col min="11278" max="11519" width="9.140625" style="774"/>
    <col min="11520" max="11520" width="36.7109375" style="774" customWidth="1"/>
    <col min="11521" max="11521" width="15.42578125" style="774" bestFit="1" customWidth="1"/>
    <col min="11522" max="11522" width="11" style="774" customWidth="1"/>
    <col min="11523" max="11523" width="9.140625" style="774"/>
    <col min="11524" max="11524" width="10.7109375" style="774" customWidth="1"/>
    <col min="11525" max="11531" width="9.140625" style="774"/>
    <col min="11532" max="11532" width="8.42578125" style="774" customWidth="1"/>
    <col min="11533" max="11533" width="11.5703125" style="774" customWidth="1"/>
    <col min="11534" max="11775" width="9.140625" style="774"/>
    <col min="11776" max="11776" width="36.7109375" style="774" customWidth="1"/>
    <col min="11777" max="11777" width="15.42578125" style="774" bestFit="1" customWidth="1"/>
    <col min="11778" max="11778" width="11" style="774" customWidth="1"/>
    <col min="11779" max="11779" width="9.140625" style="774"/>
    <col min="11780" max="11780" width="10.7109375" style="774" customWidth="1"/>
    <col min="11781" max="11787" width="9.140625" style="774"/>
    <col min="11788" max="11788" width="8.42578125" style="774" customWidth="1"/>
    <col min="11789" max="11789" width="11.5703125" style="774" customWidth="1"/>
    <col min="11790" max="12031" width="9.140625" style="774"/>
    <col min="12032" max="12032" width="36.7109375" style="774" customWidth="1"/>
    <col min="12033" max="12033" width="15.42578125" style="774" bestFit="1" customWidth="1"/>
    <col min="12034" max="12034" width="11" style="774" customWidth="1"/>
    <col min="12035" max="12035" width="9.140625" style="774"/>
    <col min="12036" max="12036" width="10.7109375" style="774" customWidth="1"/>
    <col min="12037" max="12043" width="9.140625" style="774"/>
    <col min="12044" max="12044" width="8.42578125" style="774" customWidth="1"/>
    <col min="12045" max="12045" width="11.5703125" style="774" customWidth="1"/>
    <col min="12046" max="12287" width="9.140625" style="774"/>
    <col min="12288" max="12288" width="36.7109375" style="774" customWidth="1"/>
    <col min="12289" max="12289" width="15.42578125" style="774" bestFit="1" customWidth="1"/>
    <col min="12290" max="12290" width="11" style="774" customWidth="1"/>
    <col min="12291" max="12291" width="9.140625" style="774"/>
    <col min="12292" max="12292" width="10.7109375" style="774" customWidth="1"/>
    <col min="12293" max="12299" width="9.140625" style="774"/>
    <col min="12300" max="12300" width="8.42578125" style="774" customWidth="1"/>
    <col min="12301" max="12301" width="11.5703125" style="774" customWidth="1"/>
    <col min="12302" max="12543" width="9.140625" style="774"/>
    <col min="12544" max="12544" width="36.7109375" style="774" customWidth="1"/>
    <col min="12545" max="12545" width="15.42578125" style="774" bestFit="1" customWidth="1"/>
    <col min="12546" max="12546" width="11" style="774" customWidth="1"/>
    <col min="12547" max="12547" width="9.140625" style="774"/>
    <col min="12548" max="12548" width="10.7109375" style="774" customWidth="1"/>
    <col min="12549" max="12555" width="9.140625" style="774"/>
    <col min="12556" max="12556" width="8.42578125" style="774" customWidth="1"/>
    <col min="12557" max="12557" width="11.5703125" style="774" customWidth="1"/>
    <col min="12558" max="12799" width="9.140625" style="774"/>
    <col min="12800" max="12800" width="36.7109375" style="774" customWidth="1"/>
    <col min="12801" max="12801" width="15.42578125" style="774" bestFit="1" customWidth="1"/>
    <col min="12802" max="12802" width="11" style="774" customWidth="1"/>
    <col min="12803" max="12803" width="9.140625" style="774"/>
    <col min="12804" max="12804" width="10.7109375" style="774" customWidth="1"/>
    <col min="12805" max="12811" width="9.140625" style="774"/>
    <col min="12812" max="12812" width="8.42578125" style="774" customWidth="1"/>
    <col min="12813" max="12813" width="11.5703125" style="774" customWidth="1"/>
    <col min="12814" max="13055" width="9.140625" style="774"/>
    <col min="13056" max="13056" width="36.7109375" style="774" customWidth="1"/>
    <col min="13057" max="13057" width="15.42578125" style="774" bestFit="1" customWidth="1"/>
    <col min="13058" max="13058" width="11" style="774" customWidth="1"/>
    <col min="13059" max="13059" width="9.140625" style="774"/>
    <col min="13060" max="13060" width="10.7109375" style="774" customWidth="1"/>
    <col min="13061" max="13067" width="9.140625" style="774"/>
    <col min="13068" max="13068" width="8.42578125" style="774" customWidth="1"/>
    <col min="13069" max="13069" width="11.5703125" style="774" customWidth="1"/>
    <col min="13070" max="13311" width="9.140625" style="774"/>
    <col min="13312" max="13312" width="36.7109375" style="774" customWidth="1"/>
    <col min="13313" max="13313" width="15.42578125" style="774" bestFit="1" customWidth="1"/>
    <col min="13314" max="13314" width="11" style="774" customWidth="1"/>
    <col min="13315" max="13315" width="9.140625" style="774"/>
    <col min="13316" max="13316" width="10.7109375" style="774" customWidth="1"/>
    <col min="13317" max="13323" width="9.140625" style="774"/>
    <col min="13324" max="13324" width="8.42578125" style="774" customWidth="1"/>
    <col min="13325" max="13325" width="11.5703125" style="774" customWidth="1"/>
    <col min="13326" max="13567" width="9.140625" style="774"/>
    <col min="13568" max="13568" width="36.7109375" style="774" customWidth="1"/>
    <col min="13569" max="13569" width="15.42578125" style="774" bestFit="1" customWidth="1"/>
    <col min="13570" max="13570" width="11" style="774" customWidth="1"/>
    <col min="13571" max="13571" width="9.140625" style="774"/>
    <col min="13572" max="13572" width="10.7109375" style="774" customWidth="1"/>
    <col min="13573" max="13579" width="9.140625" style="774"/>
    <col min="13580" max="13580" width="8.42578125" style="774" customWidth="1"/>
    <col min="13581" max="13581" width="11.5703125" style="774" customWidth="1"/>
    <col min="13582" max="13823" width="9.140625" style="774"/>
    <col min="13824" max="13824" width="36.7109375" style="774" customWidth="1"/>
    <col min="13825" max="13825" width="15.42578125" style="774" bestFit="1" customWidth="1"/>
    <col min="13826" max="13826" width="11" style="774" customWidth="1"/>
    <col min="13827" max="13827" width="9.140625" style="774"/>
    <col min="13828" max="13828" width="10.7109375" style="774" customWidth="1"/>
    <col min="13829" max="13835" width="9.140625" style="774"/>
    <col min="13836" max="13836" width="8.42578125" style="774" customWidth="1"/>
    <col min="13837" max="13837" width="11.5703125" style="774" customWidth="1"/>
    <col min="13838" max="14079" width="9.140625" style="774"/>
    <col min="14080" max="14080" width="36.7109375" style="774" customWidth="1"/>
    <col min="14081" max="14081" width="15.42578125" style="774" bestFit="1" customWidth="1"/>
    <col min="14082" max="14082" width="11" style="774" customWidth="1"/>
    <col min="14083" max="14083" width="9.140625" style="774"/>
    <col min="14084" max="14084" width="10.7109375" style="774" customWidth="1"/>
    <col min="14085" max="14091" width="9.140625" style="774"/>
    <col min="14092" max="14092" width="8.42578125" style="774" customWidth="1"/>
    <col min="14093" max="14093" width="11.5703125" style="774" customWidth="1"/>
    <col min="14094" max="14335" width="9.140625" style="774"/>
    <col min="14336" max="14336" width="36.7109375" style="774" customWidth="1"/>
    <col min="14337" max="14337" width="15.42578125" style="774" bestFit="1" customWidth="1"/>
    <col min="14338" max="14338" width="11" style="774" customWidth="1"/>
    <col min="14339" max="14339" width="9.140625" style="774"/>
    <col min="14340" max="14340" width="10.7109375" style="774" customWidth="1"/>
    <col min="14341" max="14347" width="9.140625" style="774"/>
    <col min="14348" max="14348" width="8.42578125" style="774" customWidth="1"/>
    <col min="14349" max="14349" width="11.5703125" style="774" customWidth="1"/>
    <col min="14350" max="14591" width="9.140625" style="774"/>
    <col min="14592" max="14592" width="36.7109375" style="774" customWidth="1"/>
    <col min="14593" max="14593" width="15.42578125" style="774" bestFit="1" customWidth="1"/>
    <col min="14594" max="14594" width="11" style="774" customWidth="1"/>
    <col min="14595" max="14595" width="9.140625" style="774"/>
    <col min="14596" max="14596" width="10.7109375" style="774" customWidth="1"/>
    <col min="14597" max="14603" width="9.140625" style="774"/>
    <col min="14604" max="14604" width="8.42578125" style="774" customWidth="1"/>
    <col min="14605" max="14605" width="11.5703125" style="774" customWidth="1"/>
    <col min="14606" max="14847" width="9.140625" style="774"/>
    <col min="14848" max="14848" width="36.7109375" style="774" customWidth="1"/>
    <col min="14849" max="14849" width="15.42578125" style="774" bestFit="1" customWidth="1"/>
    <col min="14850" max="14850" width="11" style="774" customWidth="1"/>
    <col min="14851" max="14851" width="9.140625" style="774"/>
    <col min="14852" max="14852" width="10.7109375" style="774" customWidth="1"/>
    <col min="14853" max="14859" width="9.140625" style="774"/>
    <col min="14860" max="14860" width="8.42578125" style="774" customWidth="1"/>
    <col min="14861" max="14861" width="11.5703125" style="774" customWidth="1"/>
    <col min="14862" max="15103" width="9.140625" style="774"/>
    <col min="15104" max="15104" width="36.7109375" style="774" customWidth="1"/>
    <col min="15105" max="15105" width="15.42578125" style="774" bestFit="1" customWidth="1"/>
    <col min="15106" max="15106" width="11" style="774" customWidth="1"/>
    <col min="15107" max="15107" width="9.140625" style="774"/>
    <col min="15108" max="15108" width="10.7109375" style="774" customWidth="1"/>
    <col min="15109" max="15115" width="9.140625" style="774"/>
    <col min="15116" max="15116" width="8.42578125" style="774" customWidth="1"/>
    <col min="15117" max="15117" width="11.5703125" style="774" customWidth="1"/>
    <col min="15118" max="15359" width="9.140625" style="774"/>
    <col min="15360" max="15360" width="36.7109375" style="774" customWidth="1"/>
    <col min="15361" max="15361" width="15.42578125" style="774" bestFit="1" customWidth="1"/>
    <col min="15362" max="15362" width="11" style="774" customWidth="1"/>
    <col min="15363" max="15363" width="9.140625" style="774"/>
    <col min="15364" max="15364" width="10.7109375" style="774" customWidth="1"/>
    <col min="15365" max="15371" width="9.140625" style="774"/>
    <col min="15372" max="15372" width="8.42578125" style="774" customWidth="1"/>
    <col min="15373" max="15373" width="11.5703125" style="774" customWidth="1"/>
    <col min="15374" max="15615" width="9.140625" style="774"/>
    <col min="15616" max="15616" width="36.7109375" style="774" customWidth="1"/>
    <col min="15617" max="15617" width="15.42578125" style="774" bestFit="1" customWidth="1"/>
    <col min="15618" max="15618" width="11" style="774" customWidth="1"/>
    <col min="15619" max="15619" width="9.140625" style="774"/>
    <col min="15620" max="15620" width="10.7109375" style="774" customWidth="1"/>
    <col min="15621" max="15627" width="9.140625" style="774"/>
    <col min="15628" max="15628" width="8.42578125" style="774" customWidth="1"/>
    <col min="15629" max="15629" width="11.5703125" style="774" customWidth="1"/>
    <col min="15630" max="15871" width="9.140625" style="774"/>
    <col min="15872" max="15872" width="36.7109375" style="774" customWidth="1"/>
    <col min="15873" max="15873" width="15.42578125" style="774" bestFit="1" customWidth="1"/>
    <col min="15874" max="15874" width="11" style="774" customWidth="1"/>
    <col min="15875" max="15875" width="9.140625" style="774"/>
    <col min="15876" max="15876" width="10.7109375" style="774" customWidth="1"/>
    <col min="15877" max="15883" width="9.140625" style="774"/>
    <col min="15884" max="15884" width="8.42578125" style="774" customWidth="1"/>
    <col min="15885" max="15885" width="11.5703125" style="774" customWidth="1"/>
    <col min="15886" max="16127" width="9.140625" style="774"/>
    <col min="16128" max="16128" width="36.7109375" style="774" customWidth="1"/>
    <col min="16129" max="16129" width="15.42578125" style="774" bestFit="1" customWidth="1"/>
    <col min="16130" max="16130" width="11" style="774" customWidth="1"/>
    <col min="16131" max="16131" width="9.140625" style="774"/>
    <col min="16132" max="16132" width="10.7109375" style="774" customWidth="1"/>
    <col min="16133" max="16139" width="9.140625" style="774"/>
    <col min="16140" max="16140" width="8.42578125" style="774" customWidth="1"/>
    <col min="16141" max="16141" width="11.5703125" style="774" customWidth="1"/>
    <col min="16142" max="16384" width="9.140625" style="774"/>
  </cols>
  <sheetData>
    <row r="1" spans="1:13" x14ac:dyDescent="0.2">
      <c r="A1" s="771"/>
      <c r="B1" s="771"/>
      <c r="C1" s="771"/>
      <c r="D1" s="771"/>
      <c r="E1" s="771"/>
      <c r="F1" s="771"/>
      <c r="G1" s="771"/>
    </row>
    <row r="2" spans="1:13" x14ac:dyDescent="0.2">
      <c r="B2" s="775" t="s">
        <v>899</v>
      </c>
    </row>
    <row r="3" spans="1:13" x14ac:dyDescent="0.2">
      <c r="B3" s="776"/>
      <c r="C3" s="1622" t="s">
        <v>900</v>
      </c>
      <c r="D3" s="1622"/>
      <c r="E3" s="1623"/>
      <c r="F3" s="1624" t="s">
        <v>901</v>
      </c>
      <c r="G3" s="1622"/>
      <c r="H3" s="1623"/>
      <c r="I3" s="1624" t="s">
        <v>902</v>
      </c>
      <c r="J3" s="1622"/>
      <c r="K3" s="1623"/>
      <c r="M3" s="777" t="s">
        <v>487</v>
      </c>
    </row>
    <row r="4" spans="1:13" x14ac:dyDescent="0.2">
      <c r="B4" s="778"/>
      <c r="C4" s="779" t="s">
        <v>903</v>
      </c>
      <c r="D4" s="779" t="s">
        <v>904</v>
      </c>
      <c r="E4" s="780" t="s">
        <v>905</v>
      </c>
      <c r="F4" s="779" t="s">
        <v>903</v>
      </c>
      <c r="G4" s="779" t="s">
        <v>904</v>
      </c>
      <c r="H4" s="780" t="s">
        <v>905</v>
      </c>
      <c r="I4" s="779" t="s">
        <v>903</v>
      </c>
      <c r="J4" s="779" t="s">
        <v>904</v>
      </c>
      <c r="K4" s="780" t="s">
        <v>905</v>
      </c>
      <c r="M4" s="777"/>
    </row>
    <row r="5" spans="1:13" x14ac:dyDescent="0.2">
      <c r="B5" s="781" t="s">
        <v>896</v>
      </c>
      <c r="C5" s="782">
        <v>1.9E-2</v>
      </c>
      <c r="D5" s="783">
        <f>C5</f>
        <v>1.9E-2</v>
      </c>
      <c r="E5" s="783">
        <f>C5</f>
        <v>1.9E-2</v>
      </c>
      <c r="F5" s="784">
        <v>4.3999999999999997E-2</v>
      </c>
      <c r="G5" s="783">
        <f>F5</f>
        <v>4.3999999999999997E-2</v>
      </c>
      <c r="H5" s="783">
        <f>F5</f>
        <v>4.3999999999999997E-2</v>
      </c>
      <c r="I5" s="785"/>
      <c r="J5" s="786"/>
      <c r="K5" s="787"/>
      <c r="L5" s="788"/>
      <c r="M5" s="773" t="s">
        <v>906</v>
      </c>
    </row>
    <row r="6" spans="1:13" x14ac:dyDescent="0.2">
      <c r="B6" s="789" t="s">
        <v>827</v>
      </c>
      <c r="C6" s="790">
        <v>2.4E-2</v>
      </c>
      <c r="D6" s="791">
        <f>C6</f>
        <v>2.4E-2</v>
      </c>
      <c r="E6" s="791">
        <f>C6</f>
        <v>2.4E-2</v>
      </c>
      <c r="F6" s="792">
        <f>C6</f>
        <v>2.4E-2</v>
      </c>
      <c r="G6" s="791">
        <f>F6</f>
        <v>2.4E-2</v>
      </c>
      <c r="H6" s="791">
        <f>F6</f>
        <v>2.4E-2</v>
      </c>
      <c r="I6" s="793"/>
      <c r="J6" s="794"/>
      <c r="K6" s="795"/>
      <c r="L6" s="774" t="s">
        <v>17</v>
      </c>
      <c r="M6" s="777"/>
    </row>
    <row r="7" spans="1:13" x14ac:dyDescent="0.2">
      <c r="B7" s="789" t="s">
        <v>907</v>
      </c>
      <c r="C7" s="790">
        <v>2.5999999999999999E-2</v>
      </c>
      <c r="D7" s="791">
        <f>C7</f>
        <v>2.5999999999999999E-2</v>
      </c>
      <c r="E7" s="791">
        <f>C7</f>
        <v>2.5999999999999999E-2</v>
      </c>
      <c r="F7" s="792">
        <v>3.2000000000000001E-2</v>
      </c>
      <c r="G7" s="791">
        <f>F7</f>
        <v>3.2000000000000001E-2</v>
      </c>
      <c r="H7" s="791">
        <f>F7</f>
        <v>3.2000000000000001E-2</v>
      </c>
      <c r="I7" s="793"/>
      <c r="J7" s="794"/>
      <c r="K7" s="795"/>
      <c r="L7" s="796"/>
      <c r="M7" s="777"/>
    </row>
    <row r="8" spans="1:13" x14ac:dyDescent="0.2">
      <c r="B8" s="797"/>
      <c r="C8" s="798"/>
      <c r="D8" s="798"/>
      <c r="E8" s="799"/>
      <c r="F8" s="800"/>
      <c r="G8" s="800"/>
      <c r="H8" s="800"/>
      <c r="I8" s="793"/>
      <c r="J8" s="800"/>
      <c r="K8" s="801"/>
      <c r="M8" s="777"/>
    </row>
    <row r="9" spans="1:13" x14ac:dyDescent="0.2">
      <c r="B9" s="789" t="s">
        <v>897</v>
      </c>
      <c r="C9" s="790">
        <v>7.2999999999999995E-2</v>
      </c>
      <c r="D9" s="790">
        <v>0.09</v>
      </c>
      <c r="E9" s="802">
        <v>0.107</v>
      </c>
      <c r="F9" s="790">
        <v>5.5E-2</v>
      </c>
      <c r="G9" s="790">
        <v>0.06</v>
      </c>
      <c r="H9" s="790">
        <v>6.5000000000000002E-2</v>
      </c>
      <c r="I9" s="793"/>
      <c r="J9" s="794"/>
      <c r="K9" s="795"/>
      <c r="M9" s="777"/>
    </row>
    <row r="10" spans="1:13" x14ac:dyDescent="0.2">
      <c r="B10" s="789" t="s">
        <v>908</v>
      </c>
      <c r="C10" s="790">
        <v>0.3</v>
      </c>
      <c r="D10" s="790">
        <f>AVERAGE(C10,E10)</f>
        <v>0.25</v>
      </c>
      <c r="E10" s="802">
        <v>0.2</v>
      </c>
      <c r="F10" s="803">
        <f>C10</f>
        <v>0.3</v>
      </c>
      <c r="G10" s="803">
        <f>D10</f>
        <v>0.25</v>
      </c>
      <c r="H10" s="803">
        <f>E10</f>
        <v>0.2</v>
      </c>
      <c r="I10" s="804"/>
      <c r="J10" s="805"/>
      <c r="K10" s="806"/>
      <c r="M10" s="777"/>
    </row>
    <row r="11" spans="1:13" x14ac:dyDescent="0.2">
      <c r="B11" s="789" t="s">
        <v>909</v>
      </c>
      <c r="C11" s="807">
        <f t="shared" ref="C11:H11" si="0">1-C10</f>
        <v>0.7</v>
      </c>
      <c r="D11" s="807">
        <f t="shared" si="0"/>
        <v>0.75</v>
      </c>
      <c r="E11" s="808">
        <f t="shared" si="0"/>
        <v>0.8</v>
      </c>
      <c r="F11" s="807">
        <f t="shared" si="0"/>
        <v>0.7</v>
      </c>
      <c r="G11" s="807">
        <f t="shared" si="0"/>
        <v>0.75</v>
      </c>
      <c r="H11" s="807">
        <f t="shared" si="0"/>
        <v>0.8</v>
      </c>
      <c r="I11" s="804"/>
      <c r="J11" s="805"/>
      <c r="K11" s="806"/>
      <c r="M11" s="777"/>
    </row>
    <row r="12" spans="1:13" x14ac:dyDescent="0.2">
      <c r="B12" s="789" t="s">
        <v>910</v>
      </c>
      <c r="C12" s="807">
        <f t="shared" ref="C12:H12" si="1">C10+C11</f>
        <v>1</v>
      </c>
      <c r="D12" s="807">
        <f t="shared" si="1"/>
        <v>1</v>
      </c>
      <c r="E12" s="808">
        <f t="shared" si="1"/>
        <v>1</v>
      </c>
      <c r="F12" s="807">
        <f t="shared" si="1"/>
        <v>1</v>
      </c>
      <c r="G12" s="807">
        <f t="shared" si="1"/>
        <v>1</v>
      </c>
      <c r="H12" s="807">
        <f t="shared" si="1"/>
        <v>1</v>
      </c>
      <c r="I12" s="804"/>
      <c r="J12" s="805"/>
      <c r="K12" s="806"/>
      <c r="M12" s="777"/>
    </row>
    <row r="13" spans="1:13" x14ac:dyDescent="0.2">
      <c r="B13" s="789" t="s">
        <v>911</v>
      </c>
      <c r="C13" s="809">
        <v>0.25</v>
      </c>
      <c r="D13" s="809">
        <v>0.25</v>
      </c>
      <c r="E13" s="810">
        <v>0.25</v>
      </c>
      <c r="F13" s="811">
        <f t="shared" ref="F13:H17" si="2">C13</f>
        <v>0.25</v>
      </c>
      <c r="G13" s="811">
        <f t="shared" si="2"/>
        <v>0.25</v>
      </c>
      <c r="H13" s="811">
        <f t="shared" si="2"/>
        <v>0.25</v>
      </c>
      <c r="I13" s="812"/>
      <c r="J13" s="813"/>
      <c r="K13" s="806"/>
      <c r="L13" s="774" t="s">
        <v>17</v>
      </c>
      <c r="M13" s="777"/>
    </row>
    <row r="14" spans="1:13" x14ac:dyDescent="0.2">
      <c r="B14" s="789" t="s">
        <v>912</v>
      </c>
      <c r="C14" s="790">
        <v>0.3</v>
      </c>
      <c r="D14" s="790">
        <v>0.3</v>
      </c>
      <c r="E14" s="802">
        <v>0.3</v>
      </c>
      <c r="F14" s="803">
        <f t="shared" si="2"/>
        <v>0.3</v>
      </c>
      <c r="G14" s="803">
        <f t="shared" si="2"/>
        <v>0.3</v>
      </c>
      <c r="H14" s="803">
        <f t="shared" si="2"/>
        <v>0.3</v>
      </c>
      <c r="I14" s="804"/>
      <c r="J14" s="805"/>
      <c r="K14" s="806"/>
      <c r="M14" s="777"/>
    </row>
    <row r="15" spans="1:13" x14ac:dyDescent="0.2">
      <c r="B15" s="789" t="s">
        <v>913</v>
      </c>
      <c r="C15" s="790">
        <v>0.3</v>
      </c>
      <c r="D15" s="790">
        <v>0.3</v>
      </c>
      <c r="E15" s="802">
        <v>0.3</v>
      </c>
      <c r="F15" s="803">
        <f t="shared" si="2"/>
        <v>0.3</v>
      </c>
      <c r="G15" s="803">
        <f t="shared" si="2"/>
        <v>0.3</v>
      </c>
      <c r="H15" s="803">
        <f t="shared" si="2"/>
        <v>0.3</v>
      </c>
      <c r="I15" s="804"/>
      <c r="J15" s="805"/>
      <c r="K15" s="806"/>
      <c r="M15" s="777"/>
    </row>
    <row r="16" spans="1:13" x14ac:dyDescent="0.2">
      <c r="B16" s="789" t="s">
        <v>914</v>
      </c>
      <c r="C16" s="790">
        <v>0.3</v>
      </c>
      <c r="D16" s="790">
        <v>0.3</v>
      </c>
      <c r="E16" s="802">
        <v>0.3</v>
      </c>
      <c r="F16" s="803">
        <f t="shared" si="2"/>
        <v>0.3</v>
      </c>
      <c r="G16" s="803">
        <f t="shared" si="2"/>
        <v>0.3</v>
      </c>
      <c r="H16" s="803">
        <f t="shared" si="2"/>
        <v>0.3</v>
      </c>
      <c r="I16" s="804"/>
      <c r="J16" s="805"/>
      <c r="K16" s="806"/>
      <c r="M16" s="777"/>
    </row>
    <row r="17" spans="2:13" x14ac:dyDescent="0.2">
      <c r="B17" s="814" t="s">
        <v>915</v>
      </c>
      <c r="C17" s="815">
        <v>0.9</v>
      </c>
      <c r="D17" s="815">
        <f>AVERAGE(C17,E17)</f>
        <v>1</v>
      </c>
      <c r="E17" s="816">
        <v>1.1000000000000001</v>
      </c>
      <c r="F17" s="817">
        <f t="shared" si="2"/>
        <v>0.9</v>
      </c>
      <c r="G17" s="817">
        <f t="shared" si="2"/>
        <v>1</v>
      </c>
      <c r="H17" s="817">
        <f t="shared" si="2"/>
        <v>1.1000000000000001</v>
      </c>
      <c r="I17" s="818"/>
      <c r="J17" s="819"/>
      <c r="K17" s="820"/>
      <c r="M17" s="777"/>
    </row>
    <row r="18" spans="2:13" x14ac:dyDescent="0.2">
      <c r="B18" s="789" t="s">
        <v>17</v>
      </c>
      <c r="C18" s="821"/>
      <c r="D18" s="821"/>
      <c r="E18" s="822"/>
      <c r="F18" s="821"/>
      <c r="G18" s="821"/>
      <c r="H18" s="821"/>
      <c r="I18" s="823"/>
      <c r="J18" s="821"/>
      <c r="K18" s="822"/>
      <c r="L18" s="774" t="s">
        <v>17</v>
      </c>
      <c r="M18" s="777"/>
    </row>
    <row r="19" spans="2:13" x14ac:dyDescent="0.2">
      <c r="B19" s="781" t="s">
        <v>916</v>
      </c>
      <c r="C19" s="824">
        <f t="shared" ref="C19:H19" si="3">C5+C17*C9</f>
        <v>8.4699999999999998E-2</v>
      </c>
      <c r="D19" s="824">
        <f t="shared" si="3"/>
        <v>0.109</v>
      </c>
      <c r="E19" s="825">
        <f t="shared" si="3"/>
        <v>0.13670000000000002</v>
      </c>
      <c r="F19" s="824">
        <f t="shared" si="3"/>
        <v>9.35E-2</v>
      </c>
      <c r="G19" s="824">
        <f t="shared" si="3"/>
        <v>0.104</v>
      </c>
      <c r="H19" s="824">
        <f t="shared" si="3"/>
        <v>0.11550000000000001</v>
      </c>
      <c r="I19" s="785"/>
      <c r="J19" s="824"/>
      <c r="K19" s="826"/>
      <c r="M19" s="777"/>
    </row>
    <row r="20" spans="2:13" x14ac:dyDescent="0.2">
      <c r="B20" s="789" t="s">
        <v>917</v>
      </c>
      <c r="C20" s="312">
        <f t="shared" ref="C20:H20" si="4">(1+C19)/(1+C6)-1</f>
        <v>5.9277343750000044E-2</v>
      </c>
      <c r="D20" s="312">
        <f t="shared" si="4"/>
        <v>8.30078125E-2</v>
      </c>
      <c r="E20" s="827">
        <f t="shared" si="4"/>
        <v>0.11005859375000004</v>
      </c>
      <c r="F20" s="312">
        <f>(1+F19)/(1+F6)-1</f>
        <v>6.787109375E-2</v>
      </c>
      <c r="G20" s="312">
        <f t="shared" si="4"/>
        <v>7.8125E-2</v>
      </c>
      <c r="H20" s="312">
        <f t="shared" si="4"/>
        <v>8.935546875E-2</v>
      </c>
      <c r="I20" s="793"/>
      <c r="J20" s="312"/>
      <c r="K20" s="806"/>
      <c r="M20" s="777"/>
    </row>
    <row r="21" spans="2:13" x14ac:dyDescent="0.2">
      <c r="B21" s="789"/>
      <c r="C21" s="312"/>
      <c r="D21" s="312"/>
      <c r="E21" s="827"/>
      <c r="F21" s="312"/>
      <c r="G21" s="312"/>
      <c r="H21" s="312"/>
      <c r="I21" s="793"/>
      <c r="J21" s="312"/>
      <c r="K21" s="806"/>
      <c r="M21" s="777"/>
    </row>
    <row r="22" spans="2:13" x14ac:dyDescent="0.2">
      <c r="B22" s="789" t="s">
        <v>918</v>
      </c>
      <c r="C22" s="312">
        <f t="shared" ref="C22:H22" si="5">C5+C7</f>
        <v>4.4999999999999998E-2</v>
      </c>
      <c r="D22" s="312">
        <f t="shared" si="5"/>
        <v>4.4999999999999998E-2</v>
      </c>
      <c r="E22" s="827">
        <f t="shared" si="5"/>
        <v>4.4999999999999998E-2</v>
      </c>
      <c r="F22" s="312">
        <f t="shared" si="5"/>
        <v>7.5999999999999998E-2</v>
      </c>
      <c r="G22" s="312">
        <f t="shared" si="5"/>
        <v>7.5999999999999998E-2</v>
      </c>
      <c r="H22" s="312">
        <f t="shared" si="5"/>
        <v>7.5999999999999998E-2</v>
      </c>
      <c r="I22" s="793"/>
      <c r="J22" s="312"/>
      <c r="K22" s="806"/>
      <c r="M22" s="777"/>
    </row>
    <row r="23" spans="2:13" x14ac:dyDescent="0.2">
      <c r="B23" s="789" t="s">
        <v>919</v>
      </c>
      <c r="C23" s="312">
        <f t="shared" ref="C23:H23" si="6">(1+C22)/(1+C6)-1</f>
        <v>2.05078125E-2</v>
      </c>
      <c r="D23" s="312">
        <f t="shared" si="6"/>
        <v>2.05078125E-2</v>
      </c>
      <c r="E23" s="827">
        <f t="shared" si="6"/>
        <v>2.05078125E-2</v>
      </c>
      <c r="F23" s="312">
        <f>(1+F22)/(1+F6)-1</f>
        <v>5.078125E-2</v>
      </c>
      <c r="G23" s="312">
        <f t="shared" si="6"/>
        <v>5.078125E-2</v>
      </c>
      <c r="H23" s="312">
        <f t="shared" si="6"/>
        <v>5.078125E-2</v>
      </c>
      <c r="I23" s="793"/>
      <c r="J23" s="312"/>
      <c r="K23" s="806"/>
      <c r="M23" s="777"/>
    </row>
    <row r="24" spans="2:13" x14ac:dyDescent="0.2">
      <c r="B24" s="789" t="s">
        <v>920</v>
      </c>
      <c r="C24" s="312">
        <f t="shared" ref="C24:H24" si="7">C22*(1-C16)</f>
        <v>3.15E-2</v>
      </c>
      <c r="D24" s="312">
        <f t="shared" si="7"/>
        <v>3.15E-2</v>
      </c>
      <c r="E24" s="827">
        <f t="shared" si="7"/>
        <v>3.15E-2</v>
      </c>
      <c r="F24" s="312">
        <f t="shared" si="7"/>
        <v>5.3199999999999997E-2</v>
      </c>
      <c r="G24" s="312">
        <f t="shared" si="7"/>
        <v>5.3199999999999997E-2</v>
      </c>
      <c r="H24" s="312">
        <f t="shared" si="7"/>
        <v>5.3199999999999997E-2</v>
      </c>
      <c r="I24" s="793"/>
      <c r="J24" s="312"/>
      <c r="K24" s="806"/>
      <c r="M24" s="777"/>
    </row>
    <row r="25" spans="2:13" x14ac:dyDescent="0.2">
      <c r="B25" s="814" t="s">
        <v>921</v>
      </c>
      <c r="C25" s="828">
        <f t="shared" ref="C25:H25" si="8">(1+C24)/(1+C6)-1</f>
        <v>7.32421875E-3</v>
      </c>
      <c r="D25" s="828">
        <f t="shared" si="8"/>
        <v>7.32421875E-3</v>
      </c>
      <c r="E25" s="829">
        <f t="shared" si="8"/>
        <v>7.32421875E-3</v>
      </c>
      <c r="F25" s="828">
        <f>(1+F24)/(1+F6)-1</f>
        <v>2.8515624999999822E-2</v>
      </c>
      <c r="G25" s="828">
        <f t="shared" si="8"/>
        <v>2.8515624999999822E-2</v>
      </c>
      <c r="H25" s="828">
        <f t="shared" si="8"/>
        <v>2.8515624999999822E-2</v>
      </c>
      <c r="I25" s="830"/>
      <c r="J25" s="828"/>
      <c r="K25" s="831"/>
      <c r="M25" s="777"/>
    </row>
    <row r="26" spans="2:13" x14ac:dyDescent="0.2">
      <c r="B26" s="789"/>
      <c r="C26" s="312"/>
      <c r="D26" s="312"/>
      <c r="E26" s="827"/>
      <c r="F26" s="312"/>
      <c r="G26" s="312"/>
      <c r="H26" s="312"/>
      <c r="I26" s="793"/>
      <c r="J26" s="312"/>
      <c r="K26" s="827"/>
      <c r="M26" s="777"/>
    </row>
    <row r="27" spans="2:13" x14ac:dyDescent="0.2">
      <c r="B27" s="781" t="s">
        <v>922</v>
      </c>
      <c r="C27" s="824">
        <f t="shared" ref="C27:H27" si="9">C19*C11+C22*C10</f>
        <v>7.2789999999999994E-2</v>
      </c>
      <c r="D27" s="824">
        <f t="shared" si="9"/>
        <v>9.2999999999999999E-2</v>
      </c>
      <c r="E27" s="825">
        <f t="shared" si="9"/>
        <v>0.11836000000000001</v>
      </c>
      <c r="F27" s="824">
        <f t="shared" si="9"/>
        <v>8.8249999999999995E-2</v>
      </c>
      <c r="G27" s="824">
        <f t="shared" si="9"/>
        <v>9.7000000000000003E-2</v>
      </c>
      <c r="H27" s="824">
        <f t="shared" si="9"/>
        <v>0.10760000000000002</v>
      </c>
      <c r="I27" s="785">
        <f>MIN(D27,G27)</f>
        <v>9.2999999999999999E-2</v>
      </c>
      <c r="J27" s="786">
        <f>AVERAGE(I27,K27)</f>
        <v>9.5000000000000001E-2</v>
      </c>
      <c r="K27" s="825">
        <f>MAX(D27,G27)</f>
        <v>9.7000000000000003E-2</v>
      </c>
      <c r="M27" s="777"/>
    </row>
    <row r="28" spans="2:13" x14ac:dyDescent="0.2">
      <c r="B28" s="832" t="s">
        <v>923</v>
      </c>
      <c r="C28" s="833">
        <f t="shared" ref="C28:H28" si="10">C20*C11+C23*C10</f>
        <v>4.7646484375000027E-2</v>
      </c>
      <c r="D28" s="312">
        <f t="shared" si="10"/>
        <v>6.73828125E-2</v>
      </c>
      <c r="E28" s="827">
        <f t="shared" si="10"/>
        <v>9.2148437500000041E-2</v>
      </c>
      <c r="F28" s="312">
        <f t="shared" si="10"/>
        <v>6.2744140625E-2</v>
      </c>
      <c r="G28" s="312">
        <f t="shared" si="10"/>
        <v>7.12890625E-2</v>
      </c>
      <c r="H28" s="312">
        <f t="shared" si="10"/>
        <v>8.1640625000000008E-2</v>
      </c>
      <c r="I28" s="834">
        <f>MIN(D28,G28)</f>
        <v>6.73828125E-2</v>
      </c>
      <c r="J28" s="834">
        <f>AVERAGE(I28,K28)</f>
        <v>6.93359375E-2</v>
      </c>
      <c r="K28" s="834">
        <f>MAX(D28,G28)</f>
        <v>7.12890625E-2</v>
      </c>
      <c r="M28" s="777"/>
    </row>
    <row r="29" spans="2:13" x14ac:dyDescent="0.2">
      <c r="B29" s="789" t="s">
        <v>924</v>
      </c>
      <c r="C29" s="312">
        <f t="shared" ref="C29:H29" si="11">C19*C11/(1-C15*(1-C13))+C10*C22</f>
        <v>9.0003225806451606E-2</v>
      </c>
      <c r="D29" s="312">
        <f t="shared" si="11"/>
        <v>0.11673387096774193</v>
      </c>
      <c r="E29" s="827">
        <f t="shared" si="11"/>
        <v>0.15010967741935485</v>
      </c>
      <c r="F29" s="312">
        <f t="shared" si="11"/>
        <v>0.1072516129032258</v>
      </c>
      <c r="G29" s="312">
        <f t="shared" si="11"/>
        <v>0.11964516129032259</v>
      </c>
      <c r="H29" s="312">
        <f t="shared" si="11"/>
        <v>0.13442580645161292</v>
      </c>
      <c r="I29" s="793">
        <f>MIN(D29,G29)</f>
        <v>0.11673387096774193</v>
      </c>
      <c r="J29" s="794">
        <f>AVERAGE(D29,G29)</f>
        <v>0.11818951612903225</v>
      </c>
      <c r="K29" s="827">
        <f>MAX(D29,G29)</f>
        <v>0.11964516129032259</v>
      </c>
      <c r="M29" s="777"/>
    </row>
    <row r="30" spans="2:13" x14ac:dyDescent="0.2">
      <c r="B30" s="835" t="s">
        <v>849</v>
      </c>
      <c r="C30" s="828">
        <f t="shared" ref="C30:H30" si="12">(1+C29)/(1+C6)-1</f>
        <v>6.44562752016129E-2</v>
      </c>
      <c r="D30" s="828">
        <f t="shared" si="12"/>
        <v>9.0560420866935498E-2</v>
      </c>
      <c r="E30" s="829">
        <f t="shared" si="12"/>
        <v>0.12315398185483883</v>
      </c>
      <c r="F30" s="828">
        <f t="shared" si="12"/>
        <v>8.1300403225806228E-2</v>
      </c>
      <c r="G30" s="828">
        <f t="shared" si="12"/>
        <v>9.3403477822580738E-2</v>
      </c>
      <c r="H30" s="828">
        <f t="shared" si="12"/>
        <v>0.10783770161290307</v>
      </c>
      <c r="I30" s="830">
        <f>MIN(D30,G30)</f>
        <v>9.0560420866935498E-2</v>
      </c>
      <c r="J30" s="836">
        <f>AVERAGE(D30,G30)</f>
        <v>9.1981949344758118E-2</v>
      </c>
      <c r="K30" s="829">
        <f>MAX(D30,G30)</f>
        <v>9.3403477822580738E-2</v>
      </c>
      <c r="M30" s="777"/>
    </row>
    <row r="31" spans="2:13" x14ac:dyDescent="0.2">
      <c r="B31" s="837"/>
      <c r="C31" s="838"/>
      <c r="D31" s="838"/>
      <c r="E31" s="838"/>
      <c r="F31" s="838"/>
      <c r="G31" s="838"/>
      <c r="H31" s="838"/>
      <c r="I31" s="312"/>
      <c r="J31" s="839"/>
      <c r="K31" s="312"/>
    </row>
    <row r="32" spans="2:13" x14ac:dyDescent="0.2">
      <c r="B32" s="774" t="s">
        <v>925</v>
      </c>
    </row>
    <row r="33" spans="2:8" x14ac:dyDescent="0.2">
      <c r="B33" s="774" t="s">
        <v>926</v>
      </c>
    </row>
    <row r="34" spans="2:8" x14ac:dyDescent="0.2">
      <c r="B34" s="771" t="s">
        <v>927</v>
      </c>
    </row>
    <row r="37" spans="2:8" x14ac:dyDescent="0.2">
      <c r="B37" s="775" t="s">
        <v>928</v>
      </c>
    </row>
    <row r="38" spans="2:8" x14ac:dyDescent="0.2">
      <c r="B38" s="764" t="s">
        <v>929</v>
      </c>
    </row>
    <row r="39" spans="2:8" ht="15" x14ac:dyDescent="0.25">
      <c r="B39" s="840"/>
      <c r="C39" s="841"/>
      <c r="D39" s="841"/>
      <c r="E39" s="841"/>
      <c r="F39" s="841"/>
      <c r="G39" s="841"/>
      <c r="H39" s="842"/>
    </row>
    <row r="40" spans="2:8" x14ac:dyDescent="0.2">
      <c r="B40" s="843" t="s">
        <v>930</v>
      </c>
      <c r="C40" s="844"/>
      <c r="D40" s="771"/>
      <c r="E40" s="771"/>
      <c r="F40" s="771"/>
      <c r="G40" s="771"/>
      <c r="H40" s="563"/>
    </row>
    <row r="41" spans="2:8" x14ac:dyDescent="0.2">
      <c r="B41" s="797" t="s">
        <v>931</v>
      </c>
      <c r="C41" s="845">
        <v>0.5</v>
      </c>
      <c r="E41" s="515" t="s">
        <v>932</v>
      </c>
      <c r="F41" s="771"/>
      <c r="G41" s="771"/>
      <c r="H41" s="563"/>
    </row>
    <row r="42" spans="2:8" x14ac:dyDescent="0.2">
      <c r="B42" s="797" t="s">
        <v>933</v>
      </c>
      <c r="C42" s="846">
        <f>C43-C41</f>
        <v>0.5</v>
      </c>
      <c r="D42" s="771"/>
      <c r="E42" s="771"/>
      <c r="F42" s="771"/>
      <c r="G42" s="771"/>
      <c r="H42" s="563"/>
    </row>
    <row r="43" spans="2:8" x14ac:dyDescent="0.2">
      <c r="B43" s="797" t="s">
        <v>934</v>
      </c>
      <c r="C43" s="846">
        <v>1</v>
      </c>
      <c r="D43" s="771"/>
      <c r="E43" s="771"/>
      <c r="F43" s="771"/>
      <c r="G43" s="771"/>
      <c r="H43" s="563"/>
    </row>
    <row r="44" spans="2:8" x14ac:dyDescent="0.2">
      <c r="B44" s="797"/>
      <c r="C44" s="771"/>
      <c r="D44" s="771"/>
      <c r="E44" s="771"/>
      <c r="F44" s="771"/>
      <c r="G44" s="771"/>
      <c r="H44" s="563"/>
    </row>
    <row r="45" spans="2:8" x14ac:dyDescent="0.2">
      <c r="B45" s="847" t="s">
        <v>935</v>
      </c>
      <c r="C45" s="848" t="s">
        <v>936</v>
      </c>
      <c r="D45" s="841"/>
      <c r="E45" s="841"/>
      <c r="F45" s="841"/>
      <c r="G45" s="841"/>
      <c r="H45" s="842"/>
    </row>
    <row r="46" spans="2:8" x14ac:dyDescent="0.2">
      <c r="B46" s="789" t="s">
        <v>896</v>
      </c>
      <c r="C46" s="849">
        <f>D5*$C$41+G5*$C$42</f>
        <v>3.15E-2</v>
      </c>
      <c r="D46" s="771"/>
      <c r="E46" s="771"/>
      <c r="F46" s="771"/>
      <c r="G46" s="771"/>
      <c r="H46" s="563"/>
    </row>
    <row r="47" spans="2:8" x14ac:dyDescent="0.2">
      <c r="B47" s="789" t="s">
        <v>827</v>
      </c>
      <c r="C47" s="849">
        <v>2.4E-2</v>
      </c>
      <c r="D47" s="771"/>
      <c r="E47" s="771"/>
      <c r="F47" s="771"/>
      <c r="G47" s="771"/>
      <c r="H47" s="563"/>
    </row>
    <row r="48" spans="2:8" x14ac:dyDescent="0.2">
      <c r="B48" s="789" t="s">
        <v>907</v>
      </c>
      <c r="C48" s="849">
        <f>D7*$C$41+G7*$C$42</f>
        <v>2.8999999999999998E-2</v>
      </c>
      <c r="D48" s="771"/>
      <c r="E48" s="771"/>
      <c r="F48" s="771"/>
      <c r="G48" s="771"/>
      <c r="H48" s="563"/>
    </row>
    <row r="49" spans="2:8" x14ac:dyDescent="0.2">
      <c r="B49" s="797"/>
      <c r="C49" s="798"/>
      <c r="D49" s="771"/>
      <c r="E49" s="771"/>
      <c r="F49" s="771"/>
      <c r="G49" s="771"/>
      <c r="H49" s="563"/>
    </row>
    <row r="50" spans="2:8" x14ac:dyDescent="0.2">
      <c r="B50" s="789" t="s">
        <v>897</v>
      </c>
      <c r="C50" s="849">
        <f>D9*$C$41+G9*$C$42</f>
        <v>7.4999999999999997E-2</v>
      </c>
      <c r="D50" s="771"/>
      <c r="E50" s="771"/>
      <c r="F50" s="771"/>
      <c r="G50" s="771"/>
      <c r="H50" s="563"/>
    </row>
    <row r="51" spans="2:8" x14ac:dyDescent="0.2">
      <c r="B51" s="789" t="s">
        <v>908</v>
      </c>
      <c r="C51" s="850">
        <f>D10*$C$41+G10*$C$42</f>
        <v>0.25</v>
      </c>
      <c r="D51" s="771"/>
      <c r="E51" s="771"/>
      <c r="F51" s="771"/>
      <c r="G51" s="771"/>
      <c r="H51" s="563"/>
    </row>
    <row r="52" spans="2:8" x14ac:dyDescent="0.2">
      <c r="B52" s="789" t="s">
        <v>909</v>
      </c>
      <c r="C52" s="850">
        <f>1-C51</f>
        <v>0.75</v>
      </c>
      <c r="D52" s="771"/>
      <c r="E52" s="771"/>
      <c r="F52" s="771"/>
      <c r="G52" s="771"/>
      <c r="H52" s="563"/>
    </row>
    <row r="53" spans="2:8" x14ac:dyDescent="0.2">
      <c r="B53" s="789" t="s">
        <v>910</v>
      </c>
      <c r="C53" s="850">
        <f>SUM(C51:C52)</f>
        <v>1</v>
      </c>
      <c r="D53" s="771"/>
      <c r="E53" s="771"/>
      <c r="F53" s="771"/>
      <c r="G53" s="771"/>
      <c r="H53" s="563"/>
    </row>
    <row r="54" spans="2:8" x14ac:dyDescent="0.2">
      <c r="B54" s="789" t="s">
        <v>911</v>
      </c>
      <c r="C54" s="851">
        <f>D13*$C$41+G13*$C$42</f>
        <v>0.25</v>
      </c>
      <c r="D54" s="771"/>
      <c r="E54" s="771"/>
      <c r="F54" s="771"/>
      <c r="G54" s="771"/>
      <c r="H54" s="563"/>
    </row>
    <row r="55" spans="2:8" x14ac:dyDescent="0.2">
      <c r="B55" s="789" t="s">
        <v>912</v>
      </c>
      <c r="C55" s="850">
        <f>D14*$C$41+G14*$C$42</f>
        <v>0.3</v>
      </c>
      <c r="D55" s="771"/>
      <c r="E55" s="771"/>
      <c r="F55" s="771"/>
      <c r="G55" s="771"/>
      <c r="H55" s="563"/>
    </row>
    <row r="56" spans="2:8" x14ac:dyDescent="0.2">
      <c r="B56" s="789" t="s">
        <v>913</v>
      </c>
      <c r="C56" s="850">
        <f>D15*$C$41+G15*$C$42</f>
        <v>0.3</v>
      </c>
      <c r="D56" s="771"/>
      <c r="E56" s="771"/>
      <c r="F56" s="771"/>
      <c r="G56" s="771"/>
      <c r="H56" s="563"/>
    </row>
    <row r="57" spans="2:8" x14ac:dyDescent="0.2">
      <c r="B57" s="789" t="s">
        <v>914</v>
      </c>
      <c r="C57" s="850">
        <f>D16*$C$41+G16*$C$42</f>
        <v>0.3</v>
      </c>
      <c r="D57" s="771"/>
      <c r="E57" s="771"/>
      <c r="F57" s="771"/>
      <c r="G57" s="771"/>
      <c r="H57" s="563"/>
    </row>
    <row r="58" spans="2:8" x14ac:dyDescent="0.2">
      <c r="B58" s="814" t="s">
        <v>915</v>
      </c>
      <c r="C58" s="852">
        <f>D17*$C$41+G17*$C$42</f>
        <v>1</v>
      </c>
      <c r="D58" s="853"/>
      <c r="E58" s="853"/>
      <c r="F58" s="853"/>
      <c r="G58" s="853"/>
      <c r="H58" s="854"/>
    </row>
    <row r="59" spans="2:8" x14ac:dyDescent="0.2">
      <c r="B59" s="789" t="s">
        <v>17</v>
      </c>
      <c r="C59" s="821"/>
      <c r="D59" s="771"/>
      <c r="E59" s="771"/>
      <c r="F59" s="771"/>
      <c r="G59" s="771"/>
      <c r="H59" s="563"/>
    </row>
    <row r="60" spans="2:8" x14ac:dyDescent="0.2">
      <c r="B60" s="781" t="s">
        <v>916</v>
      </c>
      <c r="C60" s="855">
        <f>C46+C58*C50</f>
        <v>0.1065</v>
      </c>
      <c r="D60" s="841"/>
      <c r="E60" s="841"/>
      <c r="F60" s="841"/>
      <c r="G60" s="841"/>
      <c r="H60" s="842"/>
    </row>
    <row r="61" spans="2:8" x14ac:dyDescent="0.2">
      <c r="B61" s="789" t="s">
        <v>917</v>
      </c>
      <c r="C61" s="833">
        <f>(1+C60)/(1+C47)-1</f>
        <v>8.056640625E-2</v>
      </c>
      <c r="D61" s="771"/>
      <c r="E61" s="771"/>
      <c r="F61" s="771"/>
      <c r="G61" s="771"/>
      <c r="H61" s="563"/>
    </row>
    <row r="62" spans="2:8" x14ac:dyDescent="0.2">
      <c r="B62" s="789"/>
      <c r="C62" s="833"/>
      <c r="D62" s="771"/>
      <c r="E62" s="771"/>
      <c r="F62" s="771"/>
      <c r="G62" s="771"/>
      <c r="H62" s="563"/>
    </row>
    <row r="63" spans="2:8" x14ac:dyDescent="0.2">
      <c r="B63" s="789" t="s">
        <v>918</v>
      </c>
      <c r="C63" s="833">
        <f>C46+C48</f>
        <v>6.0499999999999998E-2</v>
      </c>
      <c r="D63" s="771"/>
      <c r="E63" s="771"/>
      <c r="F63" s="771"/>
      <c r="G63" s="771"/>
      <c r="H63" s="563"/>
    </row>
    <row r="64" spans="2:8" x14ac:dyDescent="0.2">
      <c r="B64" s="789" t="s">
        <v>919</v>
      </c>
      <c r="C64" s="833">
        <f>(1+C63)/(1+C47)-1</f>
        <v>3.564453125E-2</v>
      </c>
      <c r="D64" s="771"/>
      <c r="E64" s="771"/>
      <c r="F64" s="771"/>
      <c r="G64" s="771"/>
      <c r="H64" s="563"/>
    </row>
    <row r="65" spans="2:8" x14ac:dyDescent="0.2">
      <c r="B65" s="789" t="s">
        <v>920</v>
      </c>
      <c r="C65" s="833">
        <f>C63*(1-C57)</f>
        <v>4.2349999999999999E-2</v>
      </c>
      <c r="D65" s="771"/>
      <c r="E65" s="771"/>
      <c r="F65" s="771"/>
      <c r="G65" s="771"/>
      <c r="H65" s="563"/>
    </row>
    <row r="66" spans="2:8" x14ac:dyDescent="0.2">
      <c r="B66" s="814" t="s">
        <v>921</v>
      </c>
      <c r="C66" s="856">
        <f>(1+C65)/(1+C47)-1</f>
        <v>1.7919921874999911E-2</v>
      </c>
      <c r="D66" s="853"/>
      <c r="E66" s="853"/>
      <c r="F66" s="853"/>
      <c r="G66" s="853"/>
      <c r="H66" s="854"/>
    </row>
    <row r="67" spans="2:8" x14ac:dyDescent="0.2">
      <c r="B67" s="789"/>
      <c r="C67" s="312"/>
      <c r="D67" s="771"/>
      <c r="E67" s="771"/>
      <c r="F67" s="771"/>
      <c r="G67" s="771"/>
      <c r="H67" s="563"/>
    </row>
    <row r="68" spans="2:8" x14ac:dyDescent="0.2">
      <c r="B68" s="781" t="s">
        <v>937</v>
      </c>
      <c r="C68" s="824">
        <f>C60*C52+C63*C51</f>
        <v>9.5000000000000001E-2</v>
      </c>
      <c r="D68" s="841"/>
      <c r="E68" s="841"/>
      <c r="F68" s="841"/>
      <c r="G68" s="841"/>
      <c r="H68" s="842"/>
    </row>
    <row r="69" spans="2:8" x14ac:dyDescent="0.2">
      <c r="B69" s="857" t="s">
        <v>938</v>
      </c>
      <c r="C69" s="858">
        <f>C61*C52+C64*C51</f>
        <v>6.93359375E-2</v>
      </c>
      <c r="D69" s="771"/>
      <c r="E69" s="771"/>
      <c r="F69" s="771"/>
      <c r="G69" s="771"/>
      <c r="H69" s="563"/>
    </row>
    <row r="70" spans="2:8" x14ac:dyDescent="0.2">
      <c r="B70" s="789" t="s">
        <v>939</v>
      </c>
      <c r="C70" s="312">
        <f>C60*C52/(1-C56*(1-C54))+C51*C63</f>
        <v>0.11818951612903225</v>
      </c>
      <c r="D70" s="771"/>
      <c r="E70" s="771"/>
      <c r="F70" s="771"/>
      <c r="G70" s="771"/>
      <c r="H70" s="563"/>
    </row>
    <row r="71" spans="2:8" x14ac:dyDescent="0.2">
      <c r="B71" s="835" t="s">
        <v>849</v>
      </c>
      <c r="C71" s="828">
        <f>(1+C70)/(1+C47)-1</f>
        <v>9.1981949344758007E-2</v>
      </c>
      <c r="D71" s="853"/>
      <c r="E71" s="853"/>
      <c r="F71" s="853"/>
      <c r="G71" s="853"/>
      <c r="H71" s="854"/>
    </row>
  </sheetData>
  <sheetProtection password="C82C" sheet="1" objects="1" scenarios="1" selectLockedCells="1" selectUnlockedCells="1"/>
  <mergeCells count="3">
    <mergeCell ref="C3:E3"/>
    <mergeCell ref="F3:H3"/>
    <mergeCell ref="I3:K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1"/>
  <sheetViews>
    <sheetView showGridLines="0" topLeftCell="A16" workbookViewId="0">
      <selection activeCell="G1" sqref="G1"/>
    </sheetView>
  </sheetViews>
  <sheetFormatPr defaultRowHeight="12.75" x14ac:dyDescent="0.2"/>
  <cols>
    <col min="1" max="1" width="2" style="926" customWidth="1"/>
    <col min="2" max="2" width="40" style="926" hidden="1" customWidth="1"/>
    <col min="3" max="3" width="24.7109375" style="926" hidden="1" customWidth="1"/>
    <col min="4" max="4" width="1.5703125" style="926" customWidth="1"/>
    <col min="5" max="5" width="25" style="926" bestFit="1" customWidth="1"/>
    <col min="6" max="6" width="18.7109375" style="926" customWidth="1"/>
    <col min="7" max="7" width="37" style="1493" customWidth="1"/>
    <col min="8" max="8" width="7" style="926" customWidth="1"/>
    <col min="9" max="16" width="25" style="926" bestFit="1" customWidth="1"/>
    <col min="17" max="16384" width="9.140625" style="926"/>
  </cols>
  <sheetData>
    <row r="1" spans="2:12" ht="15.75" x14ac:dyDescent="0.25">
      <c r="C1" s="926" t="str">
        <f>Interactive!$C$5</f>
        <v>Wheat Integrated (Starch)</v>
      </c>
      <c r="E1" s="1130" t="s">
        <v>662</v>
      </c>
    </row>
    <row r="2" spans="2:12" hidden="1" x14ac:dyDescent="0.2">
      <c r="E2" s="927" t="str">
        <f ca="1">OFFSET(E5,E3,0)</f>
        <v>Riverina</v>
      </c>
      <c r="F2" s="927">
        <f ca="1">OFFSET(E6,(E3+C3-1),0)</f>
        <v>0</v>
      </c>
    </row>
    <row r="3" spans="2:12" hidden="1" x14ac:dyDescent="0.2">
      <c r="C3" s="926">
        <f>COUNTIF($C$6:$C$51,C1)-1</f>
        <v>6</v>
      </c>
      <c r="E3" s="927">
        <f>MATCH($C$1,$D$6:$D$51,0)+1</f>
        <v>12</v>
      </c>
      <c r="F3" s="927"/>
    </row>
    <row r="4" spans="2:12" x14ac:dyDescent="0.2">
      <c r="E4" s="927"/>
      <c r="F4" s="927" t="s">
        <v>327</v>
      </c>
    </row>
    <row r="5" spans="2:12" ht="25.5" x14ac:dyDescent="0.2">
      <c r="C5" s="987" t="s">
        <v>285</v>
      </c>
      <c r="D5" s="987"/>
      <c r="E5" s="1134" t="s">
        <v>329</v>
      </c>
      <c r="F5" s="1494" t="s">
        <v>678</v>
      </c>
      <c r="G5" s="1495" t="s">
        <v>680</v>
      </c>
      <c r="I5" s="1134" t="s">
        <v>285</v>
      </c>
      <c r="J5" s="1134" t="s">
        <v>862</v>
      </c>
    </row>
    <row r="6" spans="2:12" x14ac:dyDescent="0.2">
      <c r="B6" s="1496">
        <f>IF(F6=0,0,C6&amp;"."&amp;E6)</f>
        <v>0</v>
      </c>
      <c r="C6" s="1496" t="str">
        <f t="shared" ref="C6" si="0">IF(ISBLANK(D6),IF(ISBLANK(E6),0,C5),D6)</f>
        <v>C-Syrup (Sucrosic)</v>
      </c>
      <c r="D6" s="1297" t="str">
        <f>Assumptions!B19</f>
        <v>C-Syrup (Sucrosic)</v>
      </c>
      <c r="E6" s="1107"/>
      <c r="F6" s="1118"/>
      <c r="G6" s="1497"/>
      <c r="I6" s="1498" t="str">
        <f>D6</f>
        <v>C-Syrup (Sucrosic)</v>
      </c>
      <c r="J6" s="1498" t="str">
        <f>E8</f>
        <v>Burdekin</v>
      </c>
    </row>
    <row r="7" spans="2:12" x14ac:dyDescent="0.2">
      <c r="B7" s="1496" t="str">
        <f>IF(F7=0,0,C7&amp;"."&amp;E7)</f>
        <v>C-Syrup (Sucrosic).Northern Region</v>
      </c>
      <c r="C7" s="1496" t="str">
        <f>IF(ISBLANK(D7),IF(ISBLANK(E7),0,C6),D7)</f>
        <v>C-Syrup (Sucrosic)</v>
      </c>
      <c r="D7" s="1499"/>
      <c r="E7" s="1498" t="s">
        <v>663</v>
      </c>
      <c r="F7" s="1498">
        <v>2413</v>
      </c>
      <c r="G7" s="1500" t="s">
        <v>667</v>
      </c>
      <c r="I7" s="1498" t="str">
        <f>D11</f>
        <v>B-Syrup (Sucrosic)</v>
      </c>
      <c r="J7" s="1498" t="str">
        <f>E13</f>
        <v>Burdekin</v>
      </c>
    </row>
    <row r="8" spans="2:12" x14ac:dyDescent="0.2">
      <c r="B8" s="1496" t="str">
        <f t="shared" ref="B8:B18" si="1">IF(F8=0,0,C8&amp;"."&amp;E8)</f>
        <v>C-Syrup (Sucrosic).Burdekin</v>
      </c>
      <c r="C8" s="1496" t="str">
        <f t="shared" ref="C8:C51" si="2">IF(ISBLANK(D8),IF(ISBLANK(E8),0,C7),D8)</f>
        <v>C-Syrup (Sucrosic)</v>
      </c>
      <c r="D8" s="1499"/>
      <c r="E8" s="1498" t="s">
        <v>664</v>
      </c>
      <c r="F8" s="1498">
        <v>2056</v>
      </c>
      <c r="G8" s="1500" t="s">
        <v>668</v>
      </c>
      <c r="I8" s="1498" t="str">
        <f>D16</f>
        <v>Wheat Integrated (Starch)</v>
      </c>
      <c r="J8" s="1498" t="str">
        <f>E17</f>
        <v>Riverina</v>
      </c>
    </row>
    <row r="9" spans="2:12" x14ac:dyDescent="0.2">
      <c r="B9" s="1496" t="str">
        <f t="shared" si="1"/>
        <v>C-Syrup (Sucrosic).Central Region</v>
      </c>
      <c r="C9" s="1496" t="str">
        <f t="shared" si="2"/>
        <v>C-Syrup (Sucrosic)</v>
      </c>
      <c r="D9" s="1499"/>
      <c r="E9" s="1498" t="s">
        <v>665</v>
      </c>
      <c r="F9" s="1498">
        <v>1741</v>
      </c>
      <c r="G9" s="1500" t="s">
        <v>669</v>
      </c>
      <c r="I9" s="1498" t="str">
        <f>D23</f>
        <v>Sorghum (Starch)</v>
      </c>
      <c r="J9" s="1498" t="str">
        <f>E24</f>
        <v>Darling Downs</v>
      </c>
    </row>
    <row r="10" spans="2:12" x14ac:dyDescent="0.2">
      <c r="B10" s="1496" t="str">
        <f t="shared" si="1"/>
        <v>C-Syrup (Sucrosic).Southern Region</v>
      </c>
      <c r="C10" s="1496" t="str">
        <f t="shared" si="2"/>
        <v>C-Syrup (Sucrosic)</v>
      </c>
      <c r="D10" s="1499"/>
      <c r="E10" s="1498" t="s">
        <v>666</v>
      </c>
      <c r="F10" s="1498">
        <v>1283</v>
      </c>
      <c r="G10" s="1500" t="s">
        <v>670</v>
      </c>
      <c r="I10" s="1498" t="str">
        <f>D25</f>
        <v>Forest Residues (Cellulosic)</v>
      </c>
      <c r="J10" s="1498" t="str">
        <f>E27</f>
        <v>Tumut</v>
      </c>
    </row>
    <row r="11" spans="2:12" x14ac:dyDescent="0.2">
      <c r="B11" s="1496">
        <f t="shared" si="1"/>
        <v>0</v>
      </c>
      <c r="C11" s="1496" t="str">
        <f t="shared" si="2"/>
        <v>B-Syrup (Sucrosic)</v>
      </c>
      <c r="D11" s="1297" t="str">
        <f>Assumptions!$B$21</f>
        <v>B-Syrup (Sucrosic)</v>
      </c>
      <c r="E11" s="1107"/>
      <c r="F11" s="1118"/>
      <c r="G11" s="1497"/>
      <c r="I11" s="1498" t="str">
        <f>D34</f>
        <v>Imported Starch</v>
      </c>
      <c r="J11" s="1498" t="str">
        <f>E35</f>
        <v>Newcastle</v>
      </c>
    </row>
    <row r="12" spans="2:12" x14ac:dyDescent="0.2">
      <c r="B12" s="1496" t="str">
        <f t="shared" si="1"/>
        <v>B-Syrup (Sucrosic).Northern Region</v>
      </c>
      <c r="C12" s="1496" t="str">
        <f t="shared" si="2"/>
        <v>B-Syrup (Sucrosic)</v>
      </c>
      <c r="D12" s="1498"/>
      <c r="E12" s="1498" t="s">
        <v>663</v>
      </c>
      <c r="F12" s="1498">
        <v>2413</v>
      </c>
      <c r="G12" s="1500" t="s">
        <v>667</v>
      </c>
      <c r="I12" s="1498" t="str">
        <f>D36</f>
        <v>Wheat Standalone (Starch)</v>
      </c>
      <c r="J12" s="1498" t="str">
        <f>E37</f>
        <v>Riverina</v>
      </c>
    </row>
    <row r="13" spans="2:12" x14ac:dyDescent="0.2">
      <c r="B13" s="1496" t="str">
        <f t="shared" si="1"/>
        <v>B-Syrup (Sucrosic).Burdekin</v>
      </c>
      <c r="C13" s="1496" t="str">
        <f t="shared" si="2"/>
        <v>B-Syrup (Sucrosic)</v>
      </c>
      <c r="D13" s="1498"/>
      <c r="E13" s="1498" t="s">
        <v>664</v>
      </c>
      <c r="F13" s="1498">
        <v>2056</v>
      </c>
      <c r="G13" s="1500" t="s">
        <v>668</v>
      </c>
      <c r="I13" s="1498" t="str">
        <f>D43</f>
        <v>Cane trash (Cellulosic)</v>
      </c>
      <c r="J13" s="1498" t="str">
        <f>E45</f>
        <v>Burdekin</v>
      </c>
    </row>
    <row r="14" spans="2:12" x14ac:dyDescent="0.2">
      <c r="B14" s="1496" t="str">
        <f t="shared" si="1"/>
        <v>B-Syrup (Sucrosic).Central Region</v>
      </c>
      <c r="C14" s="1496" t="str">
        <f t="shared" si="2"/>
        <v>B-Syrup (Sucrosic)</v>
      </c>
      <c r="D14" s="1498"/>
      <c r="E14" s="1498" t="s">
        <v>665</v>
      </c>
      <c r="F14" s="1498">
        <v>1741</v>
      </c>
      <c r="G14" s="1500" t="s">
        <v>669</v>
      </c>
    </row>
    <row r="15" spans="2:12" x14ac:dyDescent="0.2">
      <c r="B15" s="1496" t="str">
        <f t="shared" si="1"/>
        <v>B-Syrup (Sucrosic).Southern Region</v>
      </c>
      <c r="C15" s="1496" t="str">
        <f t="shared" si="2"/>
        <v>B-Syrup (Sucrosic)</v>
      </c>
      <c r="D15" s="1498"/>
      <c r="E15" s="1498" t="s">
        <v>666</v>
      </c>
      <c r="F15" s="1498">
        <v>1283</v>
      </c>
      <c r="G15" s="1500" t="s">
        <v>670</v>
      </c>
    </row>
    <row r="16" spans="2:12" x14ac:dyDescent="0.2">
      <c r="B16" s="1496">
        <f t="shared" si="1"/>
        <v>0</v>
      </c>
      <c r="C16" s="1496" t="str">
        <f t="shared" si="2"/>
        <v>Wheat Integrated (Starch)</v>
      </c>
      <c r="D16" s="1297" t="str">
        <f>Assumptions!$B$13</f>
        <v>Wheat Integrated (Starch)</v>
      </c>
      <c r="E16" s="1107"/>
      <c r="F16" s="1118"/>
      <c r="G16" s="1497"/>
      <c r="I16" s="1134" t="s">
        <v>285</v>
      </c>
      <c r="J16" s="1134" t="s">
        <v>1013</v>
      </c>
      <c r="K16" s="1134" t="s">
        <v>1015</v>
      </c>
      <c r="L16" s="1134" t="s">
        <v>1014</v>
      </c>
    </row>
    <row r="17" spans="2:12" x14ac:dyDescent="0.2">
      <c r="B17" s="1496" t="str">
        <f t="shared" si="1"/>
        <v>Wheat Integrated (Starch).Riverina</v>
      </c>
      <c r="C17" s="1496" t="str">
        <f t="shared" si="2"/>
        <v>Wheat Integrated (Starch)</v>
      </c>
      <c r="D17" s="1498"/>
      <c r="E17" s="1498" t="s">
        <v>1035</v>
      </c>
      <c r="F17" s="1498">
        <v>700</v>
      </c>
      <c r="G17" s="1500"/>
      <c r="I17" s="1498" t="s">
        <v>698</v>
      </c>
      <c r="J17" s="1498" t="s">
        <v>666</v>
      </c>
      <c r="K17" s="1498" t="s">
        <v>664</v>
      </c>
      <c r="L17" s="1498" t="str">
        <f>E7</f>
        <v>Northern Region</v>
      </c>
    </row>
    <row r="18" spans="2:12" x14ac:dyDescent="0.2">
      <c r="B18" s="1496" t="str">
        <f t="shared" si="1"/>
        <v>Wheat Integrated (Starch).Southern NSW</v>
      </c>
      <c r="C18" s="1496" t="str">
        <f t="shared" si="2"/>
        <v>Wheat Integrated (Starch)</v>
      </c>
      <c r="D18" s="1498"/>
      <c r="E18" s="1498" t="s">
        <v>1036</v>
      </c>
      <c r="F18" s="1498">
        <v>200</v>
      </c>
      <c r="G18" s="1500"/>
      <c r="I18" s="1498" t="s">
        <v>799</v>
      </c>
      <c r="J18" s="1498" t="s">
        <v>666</v>
      </c>
      <c r="K18" s="1498" t="s">
        <v>664</v>
      </c>
      <c r="L18" s="1498" t="s">
        <v>663</v>
      </c>
    </row>
    <row r="19" spans="2:12" x14ac:dyDescent="0.2">
      <c r="B19" s="1496" t="str">
        <f t="shared" ref="B19:B38" si="3">IF(F19=0,0,C19&amp;"."&amp;E19)</f>
        <v>Wheat Integrated (Starch).Moree</v>
      </c>
      <c r="C19" s="1496" t="str">
        <f t="shared" si="2"/>
        <v>Wheat Integrated (Starch)</v>
      </c>
      <c r="D19" s="1498"/>
      <c r="E19" s="1498" t="s">
        <v>696</v>
      </c>
      <c r="F19" s="1501">
        <v>629</v>
      </c>
      <c r="G19" s="1500"/>
      <c r="I19" s="1498" t="s">
        <v>699</v>
      </c>
      <c r="J19" s="1498" t="str">
        <f>E18</f>
        <v>Southern NSW</v>
      </c>
      <c r="K19" s="1498" t="s">
        <v>1035</v>
      </c>
      <c r="L19" s="1498" t="str">
        <f>E17</f>
        <v>Riverina</v>
      </c>
    </row>
    <row r="20" spans="2:12" x14ac:dyDescent="0.2">
      <c r="B20" s="1496" t="str">
        <f t="shared" si="3"/>
        <v>Wheat Integrated (Starch).Walgett</v>
      </c>
      <c r="C20" s="1496" t="str">
        <f t="shared" si="2"/>
        <v>Wheat Integrated (Starch)</v>
      </c>
      <c r="D20" s="1498"/>
      <c r="E20" s="1498" t="s">
        <v>695</v>
      </c>
      <c r="F20" s="1501">
        <v>649</v>
      </c>
      <c r="G20" s="1500"/>
      <c r="I20" s="1498" t="s">
        <v>700</v>
      </c>
      <c r="J20" s="1498" t="str">
        <f>E24</f>
        <v>Darling Downs</v>
      </c>
      <c r="K20" s="1498" t="str">
        <f>E24</f>
        <v>Darling Downs</v>
      </c>
      <c r="L20" s="1498" t="str">
        <f>E24</f>
        <v>Darling Downs</v>
      </c>
    </row>
    <row r="21" spans="2:12" x14ac:dyDescent="0.2">
      <c r="B21" s="1496" t="str">
        <f t="shared" si="3"/>
        <v>Wheat Integrated (Starch).Nyngan</v>
      </c>
      <c r="C21" s="1496" t="str">
        <f t="shared" si="2"/>
        <v>Wheat Integrated (Starch)</v>
      </c>
      <c r="D21" s="1498"/>
      <c r="E21" s="1498" t="s">
        <v>674</v>
      </c>
      <c r="F21" s="1501">
        <v>555</v>
      </c>
      <c r="G21" s="1500"/>
      <c r="I21" s="1498" t="s">
        <v>701</v>
      </c>
      <c r="J21" s="1498" t="s">
        <v>672</v>
      </c>
      <c r="K21" s="1498" t="s">
        <v>672</v>
      </c>
      <c r="L21" s="1498" t="s">
        <v>677</v>
      </c>
    </row>
    <row r="22" spans="2:12" x14ac:dyDescent="0.2">
      <c r="B22" s="1496" t="str">
        <f t="shared" si="3"/>
        <v>Wheat Integrated (Starch).Wyadra</v>
      </c>
      <c r="C22" s="1496" t="str">
        <f t="shared" si="2"/>
        <v>Wheat Integrated (Starch)</v>
      </c>
      <c r="D22" s="1498"/>
      <c r="E22" s="1498" t="s">
        <v>697</v>
      </c>
      <c r="F22" s="1501">
        <v>205</v>
      </c>
      <c r="G22" s="1500"/>
      <c r="I22" s="1498" t="s">
        <v>854</v>
      </c>
      <c r="J22" s="1498" t="s">
        <v>481</v>
      </c>
      <c r="K22" s="1498" t="s">
        <v>481</v>
      </c>
      <c r="L22" s="1498" t="s">
        <v>481</v>
      </c>
    </row>
    <row r="23" spans="2:12" x14ac:dyDescent="0.2">
      <c r="B23" s="1496">
        <f t="shared" si="3"/>
        <v>0</v>
      </c>
      <c r="C23" s="1496" t="str">
        <f t="shared" si="2"/>
        <v>Sorghum (Starch)</v>
      </c>
      <c r="D23" s="1297" t="str">
        <f>Assumptions!$B$17</f>
        <v>Sorghum (Starch)</v>
      </c>
      <c r="E23" s="1107"/>
      <c r="F23" s="1118"/>
      <c r="G23" s="1497"/>
      <c r="I23" s="1498" t="s">
        <v>867</v>
      </c>
      <c r="J23" s="1498" t="s">
        <v>1036</v>
      </c>
      <c r="K23" s="1498" t="s">
        <v>1035</v>
      </c>
      <c r="L23" s="1498" t="s">
        <v>1035</v>
      </c>
    </row>
    <row r="24" spans="2:12" x14ac:dyDescent="0.2">
      <c r="B24" s="1496" t="str">
        <f t="shared" si="3"/>
        <v>Sorghum (Starch).Darling Downs</v>
      </c>
      <c r="C24" s="1496" t="str">
        <f t="shared" si="2"/>
        <v>Sorghum (Starch)</v>
      </c>
      <c r="D24" s="1498"/>
      <c r="E24" s="1498" t="s">
        <v>1037</v>
      </c>
      <c r="F24" s="1498">
        <v>983</v>
      </c>
      <c r="G24" s="1500" t="s">
        <v>1038</v>
      </c>
      <c r="I24" s="1498" t="s">
        <v>821</v>
      </c>
      <c r="J24" s="1498" t="s">
        <v>666</v>
      </c>
      <c r="K24" s="1498" t="s">
        <v>664</v>
      </c>
      <c r="L24" s="1498" t="s">
        <v>663</v>
      </c>
    </row>
    <row r="25" spans="2:12" x14ac:dyDescent="0.2">
      <c r="B25" s="1496">
        <f t="shared" si="3"/>
        <v>0</v>
      </c>
      <c r="C25" s="1496" t="str">
        <f t="shared" si="2"/>
        <v>Forest Residues (Cellulosic)</v>
      </c>
      <c r="D25" s="1297" t="str">
        <f>Assumptions!$B$25</f>
        <v>Forest Residues (Cellulosic)</v>
      </c>
      <c r="E25" s="1107"/>
      <c r="F25" s="1118"/>
      <c r="G25" s="1497"/>
    </row>
    <row r="26" spans="2:12" x14ac:dyDescent="0.2">
      <c r="B26" s="1496" t="str">
        <f t="shared" si="3"/>
        <v>Forest Residues (Cellulosic).Eden</v>
      </c>
      <c r="C26" s="1496" t="str">
        <f t="shared" si="2"/>
        <v>Forest Residues (Cellulosic)</v>
      </c>
      <c r="D26" s="1498"/>
      <c r="E26" s="1498" t="s">
        <v>671</v>
      </c>
      <c r="F26" s="1498">
        <v>546</v>
      </c>
      <c r="G26" s="1500"/>
    </row>
    <row r="27" spans="2:12" x14ac:dyDescent="0.2">
      <c r="B27" s="1496" t="str">
        <f t="shared" si="3"/>
        <v>Forest Residues (Cellulosic).Tumut</v>
      </c>
      <c r="C27" s="1496" t="str">
        <f t="shared" si="2"/>
        <v>Forest Residues (Cellulosic)</v>
      </c>
      <c r="D27" s="1498"/>
      <c r="E27" s="1498" t="s">
        <v>672</v>
      </c>
      <c r="F27" s="1498">
        <v>412</v>
      </c>
      <c r="G27" s="1500"/>
    </row>
    <row r="28" spans="2:12" x14ac:dyDescent="0.2">
      <c r="B28" s="1496" t="str">
        <f t="shared" si="3"/>
        <v>Forest Residues (Cellulosic).Griffith</v>
      </c>
      <c r="C28" s="1496" t="str">
        <f t="shared" si="2"/>
        <v>Forest Residues (Cellulosic)</v>
      </c>
      <c r="D28" s="1498"/>
      <c r="E28" s="1498" t="s">
        <v>673</v>
      </c>
      <c r="F28" s="1498">
        <v>574</v>
      </c>
      <c r="G28" s="1500"/>
    </row>
    <row r="29" spans="2:12" x14ac:dyDescent="0.2">
      <c r="B29" s="1496" t="str">
        <f t="shared" si="3"/>
        <v>Forest Residues (Cellulosic).Nyngan</v>
      </c>
      <c r="C29" s="1496" t="str">
        <f t="shared" si="2"/>
        <v>Forest Residues (Cellulosic)</v>
      </c>
      <c r="D29" s="1498"/>
      <c r="E29" s="1498" t="s">
        <v>674</v>
      </c>
      <c r="F29" s="1498">
        <v>559</v>
      </c>
      <c r="G29" s="1500"/>
    </row>
    <row r="30" spans="2:12" x14ac:dyDescent="0.2">
      <c r="B30" s="1496" t="str">
        <f t="shared" si="3"/>
        <v>Forest Residues (Cellulosic).Pillaga</v>
      </c>
      <c r="C30" s="1496" t="str">
        <f t="shared" si="2"/>
        <v>Forest Residues (Cellulosic)</v>
      </c>
      <c r="D30" s="1498"/>
      <c r="E30" s="1498" t="s">
        <v>675</v>
      </c>
      <c r="F30" s="1498">
        <v>535</v>
      </c>
      <c r="G30" s="1500"/>
    </row>
    <row r="31" spans="2:12" x14ac:dyDescent="0.2">
      <c r="B31" s="1496" t="str">
        <f t="shared" si="3"/>
        <v>Forest Residues (Cellulosic).Grafton</v>
      </c>
      <c r="C31" s="1496" t="str">
        <f t="shared" si="2"/>
        <v>Forest Residues (Cellulosic)</v>
      </c>
      <c r="D31" s="1498"/>
      <c r="E31" s="1498" t="s">
        <v>676</v>
      </c>
      <c r="F31" s="1498">
        <v>617</v>
      </c>
      <c r="G31" s="1500"/>
    </row>
    <row r="32" spans="2:12" x14ac:dyDescent="0.2">
      <c r="B32" s="1496" t="str">
        <f t="shared" si="3"/>
        <v>Forest Residues (Cellulosic).Richmond Range</v>
      </c>
      <c r="C32" s="1496" t="str">
        <f t="shared" si="2"/>
        <v>Forest Residues (Cellulosic)</v>
      </c>
      <c r="D32" s="1498"/>
      <c r="E32" s="1498" t="s">
        <v>679</v>
      </c>
      <c r="F32" s="1498">
        <v>761</v>
      </c>
      <c r="G32" s="1500"/>
    </row>
    <row r="33" spans="2:7" x14ac:dyDescent="0.2">
      <c r="B33" s="1496" t="str">
        <f t="shared" si="3"/>
        <v>Forest Residues (Cellulosic).Inglewood</v>
      </c>
      <c r="C33" s="1496" t="str">
        <f t="shared" si="2"/>
        <v>Forest Residues (Cellulosic)</v>
      </c>
      <c r="D33" s="1498"/>
      <c r="E33" s="1498" t="s">
        <v>677</v>
      </c>
      <c r="F33" s="1498">
        <v>778</v>
      </c>
      <c r="G33" s="1500"/>
    </row>
    <row r="34" spans="2:7" x14ac:dyDescent="0.2">
      <c r="B34" s="1496">
        <f t="shared" si="3"/>
        <v>0</v>
      </c>
      <c r="C34" s="1496" t="str">
        <f t="shared" si="2"/>
        <v>Imported Starch</v>
      </c>
      <c r="D34" s="1297" t="str">
        <f>Assumptions!$B$15</f>
        <v>Imported Starch</v>
      </c>
      <c r="E34" s="1107"/>
      <c r="F34" s="1118"/>
      <c r="G34" s="1497"/>
    </row>
    <row r="35" spans="2:7" x14ac:dyDescent="0.2">
      <c r="B35" s="1496" t="str">
        <f t="shared" si="3"/>
        <v>Imported Starch.Newcastle</v>
      </c>
      <c r="C35" s="1496" t="str">
        <f t="shared" si="2"/>
        <v>Imported Starch</v>
      </c>
      <c r="D35" s="1498"/>
      <c r="E35" s="1498" t="s">
        <v>481</v>
      </c>
      <c r="F35" s="1498">
        <v>161</v>
      </c>
      <c r="G35" s="1500"/>
    </row>
    <row r="36" spans="2:7" x14ac:dyDescent="0.2">
      <c r="B36" s="1496">
        <f t="shared" si="3"/>
        <v>0</v>
      </c>
      <c r="C36" s="1496" t="str">
        <f t="shared" si="2"/>
        <v>Wheat Standalone (Starch)</v>
      </c>
      <c r="D36" s="1297" t="str">
        <f>Assumptions!B11</f>
        <v>Wheat Standalone (Starch)</v>
      </c>
      <c r="E36" s="1107"/>
      <c r="F36" s="1118"/>
      <c r="G36" s="1497"/>
    </row>
    <row r="37" spans="2:7" x14ac:dyDescent="0.2">
      <c r="B37" s="1496" t="str">
        <f t="shared" si="3"/>
        <v>Wheat Standalone (Starch).Riverina</v>
      </c>
      <c r="C37" s="1496" t="str">
        <f t="shared" si="2"/>
        <v>Wheat Standalone (Starch)</v>
      </c>
      <c r="D37" s="1498"/>
      <c r="E37" s="1498" t="str">
        <f>E17</f>
        <v>Riverina</v>
      </c>
      <c r="F37" s="1498">
        <f>F17</f>
        <v>700</v>
      </c>
      <c r="G37" s="1500"/>
    </row>
    <row r="38" spans="2:7" x14ac:dyDescent="0.2">
      <c r="B38" s="1496" t="str">
        <f t="shared" si="3"/>
        <v>Wheat Standalone (Starch).Southern NSW</v>
      </c>
      <c r="C38" s="1496" t="str">
        <f t="shared" si="2"/>
        <v>Wheat Standalone (Starch)</v>
      </c>
      <c r="D38" s="1498"/>
      <c r="E38" s="1498" t="str">
        <f t="shared" ref="E38:F42" si="4">E18</f>
        <v>Southern NSW</v>
      </c>
      <c r="F38" s="1498">
        <f t="shared" si="4"/>
        <v>200</v>
      </c>
      <c r="G38" s="1500"/>
    </row>
    <row r="39" spans="2:7" x14ac:dyDescent="0.2">
      <c r="B39" s="1496" t="str">
        <f t="shared" ref="B39:B42" si="5">IF(F39=0,0,C39&amp;"."&amp;E39)</f>
        <v>Wheat Standalone (Starch).Moree</v>
      </c>
      <c r="C39" s="1496" t="str">
        <f t="shared" ref="C39:C42" si="6">IF(ISBLANK(D39),IF(ISBLANK(E39),0,C38),D39)</f>
        <v>Wheat Standalone (Starch)</v>
      </c>
      <c r="D39" s="1010"/>
      <c r="E39" s="1498" t="str">
        <f t="shared" si="4"/>
        <v>Moree</v>
      </c>
      <c r="F39" s="1498">
        <f t="shared" si="4"/>
        <v>629</v>
      </c>
      <c r="G39" s="1585"/>
    </row>
    <row r="40" spans="2:7" x14ac:dyDescent="0.2">
      <c r="B40" s="1496" t="str">
        <f t="shared" si="5"/>
        <v>Wheat Standalone (Starch).Walgett</v>
      </c>
      <c r="C40" s="1496" t="str">
        <f t="shared" si="6"/>
        <v>Wheat Standalone (Starch)</v>
      </c>
      <c r="D40" s="1010"/>
      <c r="E40" s="1498" t="str">
        <f t="shared" si="4"/>
        <v>Walgett</v>
      </c>
      <c r="F40" s="1498">
        <f t="shared" si="4"/>
        <v>649</v>
      </c>
      <c r="G40" s="1585"/>
    </row>
    <row r="41" spans="2:7" x14ac:dyDescent="0.2">
      <c r="B41" s="1496" t="str">
        <f t="shared" si="5"/>
        <v>Wheat Standalone (Starch).Nyngan</v>
      </c>
      <c r="C41" s="1496" t="str">
        <f t="shared" si="6"/>
        <v>Wheat Standalone (Starch)</v>
      </c>
      <c r="D41" s="1010"/>
      <c r="E41" s="1498" t="str">
        <f t="shared" si="4"/>
        <v>Nyngan</v>
      </c>
      <c r="F41" s="1498">
        <f t="shared" si="4"/>
        <v>555</v>
      </c>
      <c r="G41" s="1585"/>
    </row>
    <row r="42" spans="2:7" x14ac:dyDescent="0.2">
      <c r="B42" s="1496" t="str">
        <f t="shared" si="5"/>
        <v>Wheat Standalone (Starch).Wyadra</v>
      </c>
      <c r="C42" s="1496" t="str">
        <f t="shared" si="6"/>
        <v>Wheat Standalone (Starch)</v>
      </c>
      <c r="D42" s="1010"/>
      <c r="E42" s="1498" t="str">
        <f t="shared" si="4"/>
        <v>Wyadra</v>
      </c>
      <c r="F42" s="1498">
        <f t="shared" si="4"/>
        <v>205</v>
      </c>
      <c r="G42" s="1585"/>
    </row>
    <row r="43" spans="2:7" x14ac:dyDescent="0.2">
      <c r="B43" s="1496">
        <f t="shared" ref="B43:B51" si="7">IF(F43=0,0,C43&amp;"."&amp;E43)</f>
        <v>0</v>
      </c>
      <c r="C43" s="1496" t="str">
        <f>IF(ISBLANK(D43),IF(ISBLANK(E43),0,C38),D43)</f>
        <v>Cane trash (Cellulosic)</v>
      </c>
      <c r="D43" s="1297" t="str">
        <f>Assumptions!B23</f>
        <v>Cane trash (Cellulosic)</v>
      </c>
      <c r="E43" s="1107"/>
      <c r="F43" s="1118"/>
      <c r="G43" s="1497"/>
    </row>
    <row r="44" spans="2:7" x14ac:dyDescent="0.2">
      <c r="B44" s="1496" t="str">
        <f t="shared" si="7"/>
        <v>Cane trash (Cellulosic).Northern Region</v>
      </c>
      <c r="C44" s="1496" t="str">
        <f t="shared" si="2"/>
        <v>Cane trash (Cellulosic)</v>
      </c>
      <c r="D44" s="1498"/>
      <c r="E44" s="1498" t="s">
        <v>663</v>
      </c>
      <c r="F44" s="1498">
        <v>2413</v>
      </c>
      <c r="G44" s="1500" t="s">
        <v>667</v>
      </c>
    </row>
    <row r="45" spans="2:7" x14ac:dyDescent="0.2">
      <c r="B45" s="1496" t="str">
        <f t="shared" si="7"/>
        <v>Cane trash (Cellulosic).Burdekin</v>
      </c>
      <c r="C45" s="1496" t="str">
        <f t="shared" si="2"/>
        <v>Cane trash (Cellulosic)</v>
      </c>
      <c r="D45" s="1498"/>
      <c r="E45" s="1498" t="s">
        <v>664</v>
      </c>
      <c r="F45" s="1498">
        <v>2056</v>
      </c>
      <c r="G45" s="1500" t="s">
        <v>668</v>
      </c>
    </row>
    <row r="46" spans="2:7" x14ac:dyDescent="0.2">
      <c r="B46" s="1496" t="str">
        <f t="shared" si="7"/>
        <v>Cane trash (Cellulosic).Central Region</v>
      </c>
      <c r="C46" s="1496" t="str">
        <f t="shared" si="2"/>
        <v>Cane trash (Cellulosic)</v>
      </c>
      <c r="D46" s="1498"/>
      <c r="E46" s="1498" t="s">
        <v>665</v>
      </c>
      <c r="F46" s="1498">
        <v>1741</v>
      </c>
      <c r="G46" s="1500" t="s">
        <v>669</v>
      </c>
    </row>
    <row r="47" spans="2:7" x14ac:dyDescent="0.2">
      <c r="B47" s="1496" t="str">
        <f t="shared" si="7"/>
        <v>Cane trash (Cellulosic).Southern Region</v>
      </c>
      <c r="C47" s="1496" t="str">
        <f t="shared" si="2"/>
        <v>Cane trash (Cellulosic)</v>
      </c>
      <c r="D47" s="1498"/>
      <c r="E47" s="1498" t="s">
        <v>666</v>
      </c>
      <c r="F47" s="1498">
        <v>1283</v>
      </c>
      <c r="G47" s="1500" t="s">
        <v>670</v>
      </c>
    </row>
    <row r="48" spans="2:7" x14ac:dyDescent="0.2">
      <c r="B48" s="1496">
        <f t="shared" si="7"/>
        <v>0</v>
      </c>
      <c r="C48" s="1496">
        <f t="shared" si="2"/>
        <v>0</v>
      </c>
      <c r="D48" s="1498"/>
      <c r="E48" s="1498"/>
      <c r="F48" s="1498"/>
      <c r="G48" s="1500"/>
    </row>
    <row r="49" spans="2:8" x14ac:dyDescent="0.2">
      <c r="B49" s="1496">
        <f t="shared" si="7"/>
        <v>0</v>
      </c>
      <c r="C49" s="1496">
        <f t="shared" si="2"/>
        <v>0</v>
      </c>
      <c r="D49" s="1498"/>
      <c r="E49" s="1498"/>
      <c r="F49" s="1498"/>
      <c r="G49" s="1500"/>
    </row>
    <row r="50" spans="2:8" x14ac:dyDescent="0.2">
      <c r="B50" s="1496">
        <f t="shared" si="7"/>
        <v>0</v>
      </c>
      <c r="C50" s="1496">
        <f t="shared" si="2"/>
        <v>0</v>
      </c>
      <c r="D50" s="1498"/>
      <c r="E50" s="1498"/>
      <c r="F50" s="1498"/>
      <c r="G50" s="1500"/>
    </row>
    <row r="51" spans="2:8" x14ac:dyDescent="0.2">
      <c r="B51" s="1496">
        <f t="shared" si="7"/>
        <v>0</v>
      </c>
      <c r="C51" s="1496">
        <f t="shared" si="2"/>
        <v>0</v>
      </c>
      <c r="D51" s="1498"/>
      <c r="E51" s="1498"/>
      <c r="F51" s="1498"/>
      <c r="G51" s="1500"/>
    </row>
    <row r="60" spans="2:8" x14ac:dyDescent="0.2">
      <c r="H60" s="1502"/>
    </row>
    <row r="61" spans="2:8" x14ac:dyDescent="0.2">
      <c r="G61" s="1503"/>
    </row>
  </sheetData>
  <sheetProtection password="C82C" sheet="1" objects="1" scenarios="1" selectLockedCells="1" selectUn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F402"/>
  <sheetViews>
    <sheetView showGridLines="0" showZeros="0" zoomScaleNormal="100" zoomScaleSheetLayoutView="100" zoomScalePageLayoutView="115" workbookViewId="0">
      <selection activeCell="C12" sqref="C12"/>
    </sheetView>
  </sheetViews>
  <sheetFormatPr defaultRowHeight="12.75" x14ac:dyDescent="0.2"/>
  <cols>
    <col min="1" max="1" width="2.42578125" style="926" customWidth="1"/>
    <col min="2" max="2" width="28.5703125" style="926" customWidth="1"/>
    <col min="3" max="3" width="15.85546875" style="926" customWidth="1"/>
    <col min="4" max="4" width="11.140625" style="926" customWidth="1"/>
    <col min="5" max="5" width="14" style="926" customWidth="1"/>
    <col min="6" max="6" width="7.5703125" style="926" customWidth="1"/>
    <col min="7" max="7" width="2" style="926" customWidth="1"/>
    <col min="8" max="8" width="3.5703125" style="926" customWidth="1"/>
    <col min="9" max="16" width="9.140625" style="926"/>
    <col min="17" max="17" width="32.7109375" style="926" customWidth="1"/>
    <col min="18" max="18" width="4.85546875" style="952" customWidth="1"/>
    <col min="19" max="19" width="19" style="952" customWidth="1"/>
    <col min="20" max="31" width="9.140625" style="952"/>
    <col min="32" max="32" width="25.85546875" style="922" customWidth="1"/>
    <col min="33" max="40" width="9.140625" style="922"/>
    <col min="41" max="136" width="9.140625" style="952"/>
    <col min="137" max="16384" width="9.140625" style="926"/>
  </cols>
  <sheetData>
    <row r="1" spans="1:40" ht="15.75" x14ac:dyDescent="0.25">
      <c r="B1" s="951" t="s">
        <v>892</v>
      </c>
      <c r="R1" s="922"/>
      <c r="AF1" s="952"/>
      <c r="AG1" s="952"/>
      <c r="AH1" s="952"/>
      <c r="AI1" s="952"/>
      <c r="AJ1" s="952"/>
      <c r="AK1" s="952"/>
      <c r="AL1" s="952"/>
      <c r="AM1" s="952"/>
      <c r="AN1" s="952"/>
    </row>
    <row r="2" spans="1:40" x14ac:dyDescent="0.2">
      <c r="B2" s="953"/>
      <c r="C2" s="953"/>
      <c r="D2" s="953"/>
      <c r="E2" s="953"/>
      <c r="F2" s="942"/>
      <c r="G2" s="942"/>
      <c r="H2" s="942"/>
      <c r="R2" s="922"/>
      <c r="AF2" s="952"/>
      <c r="AG2" s="952"/>
      <c r="AH2" s="952"/>
      <c r="AI2" s="952"/>
      <c r="AJ2" s="952"/>
      <c r="AK2" s="952"/>
      <c r="AL2" s="952"/>
      <c r="AM2" s="952"/>
      <c r="AN2" s="952"/>
    </row>
    <row r="3" spans="1:40" ht="15.75" x14ac:dyDescent="0.2">
      <c r="B3" s="954" t="s">
        <v>285</v>
      </c>
      <c r="C3" s="955"/>
      <c r="D3" s="955"/>
      <c r="E3" s="955"/>
      <c r="F3" s="955"/>
      <c r="G3" s="955"/>
      <c r="H3" s="922"/>
      <c r="I3" s="922"/>
      <c r="J3" s="922"/>
      <c r="K3" s="922"/>
      <c r="L3" s="922"/>
      <c r="M3" s="922"/>
      <c r="N3" s="922"/>
      <c r="O3" s="922"/>
      <c r="P3" s="922"/>
      <c r="Q3" s="922"/>
      <c r="R3" s="922"/>
      <c r="AF3" s="952"/>
      <c r="AG3" s="952"/>
      <c r="AH3" s="952"/>
      <c r="AI3" s="952"/>
      <c r="AJ3" s="952"/>
      <c r="AK3" s="952"/>
      <c r="AL3" s="952"/>
      <c r="AM3" s="952"/>
      <c r="AN3" s="952"/>
    </row>
    <row r="4" spans="1:40" ht="8.85" customHeight="1" x14ac:dyDescent="0.2">
      <c r="B4" s="956"/>
      <c r="C4" s="957"/>
      <c r="D4" s="957"/>
      <c r="E4" s="957"/>
      <c r="F4" s="957"/>
      <c r="G4" s="957"/>
      <c r="H4" s="922"/>
      <c r="I4" s="922"/>
      <c r="J4" s="922"/>
      <c r="K4" s="922"/>
      <c r="L4" s="922"/>
      <c r="M4" s="922"/>
      <c r="N4" s="922"/>
      <c r="O4" s="922"/>
      <c r="P4" s="922"/>
      <c r="Q4" s="922"/>
      <c r="R4" s="922"/>
      <c r="AF4" s="952"/>
      <c r="AG4" s="952"/>
      <c r="AH4" s="952"/>
      <c r="AI4" s="952"/>
      <c r="AJ4" s="952"/>
      <c r="AK4" s="952"/>
      <c r="AL4" s="952"/>
      <c r="AM4" s="952"/>
      <c r="AN4" s="952"/>
    </row>
    <row r="5" spans="1:40" ht="18" customHeight="1" x14ac:dyDescent="0.2">
      <c r="B5" s="958" t="s">
        <v>285</v>
      </c>
      <c r="C5" s="1587" t="s">
        <v>699</v>
      </c>
      <c r="D5" s="1588"/>
      <c r="E5" s="959"/>
      <c r="F5" s="957"/>
      <c r="G5" s="957"/>
      <c r="H5" s="922"/>
      <c r="I5" s="922"/>
      <c r="J5" s="922"/>
      <c r="K5" s="922"/>
      <c r="L5" s="922"/>
      <c r="M5" s="922"/>
      <c r="N5" s="922"/>
      <c r="O5" s="922"/>
      <c r="P5" s="922"/>
      <c r="Q5" s="922"/>
      <c r="R5" s="922"/>
      <c r="AF5" s="952"/>
      <c r="AG5" s="952"/>
      <c r="AH5" s="952"/>
      <c r="AI5" s="952"/>
      <c r="AJ5" s="952"/>
      <c r="AK5" s="952"/>
      <c r="AL5" s="952"/>
      <c r="AM5" s="952"/>
      <c r="AN5" s="952"/>
    </row>
    <row r="6" spans="1:40" ht="15" customHeight="1" x14ac:dyDescent="0.2">
      <c r="B6" s="960"/>
      <c r="C6" s="961"/>
      <c r="D6" s="961"/>
      <c r="E6" s="961"/>
      <c r="F6" s="957"/>
      <c r="G6" s="957"/>
      <c r="R6" s="922"/>
      <c r="AF6" s="952"/>
      <c r="AG6" s="952"/>
      <c r="AH6" s="952"/>
      <c r="AI6" s="952"/>
      <c r="AJ6" s="952"/>
      <c r="AK6" s="952"/>
      <c r="AL6" s="952"/>
      <c r="AM6" s="952"/>
      <c r="AN6" s="952"/>
    </row>
    <row r="7" spans="1:40" s="952" customFormat="1" ht="12" customHeight="1" x14ac:dyDescent="0.2">
      <c r="A7" s="922"/>
      <c r="B7" s="962"/>
      <c r="C7" s="941"/>
      <c r="D7" s="941"/>
      <c r="E7" s="941"/>
      <c r="F7" s="922"/>
      <c r="G7" s="922"/>
      <c r="H7" s="922"/>
      <c r="I7" s="922"/>
      <c r="J7" s="922"/>
      <c r="K7" s="922"/>
      <c r="L7" s="922"/>
      <c r="M7" s="922"/>
      <c r="N7" s="922"/>
      <c r="O7" s="922"/>
      <c r="P7" s="922"/>
      <c r="Q7" s="922"/>
      <c r="R7" s="922"/>
    </row>
    <row r="8" spans="1:40" ht="15" customHeight="1" x14ac:dyDescent="0.2">
      <c r="B8" s="954" t="s">
        <v>898</v>
      </c>
      <c r="C8" s="963"/>
      <c r="D8" s="963"/>
      <c r="E8" s="963"/>
      <c r="F8" s="955"/>
      <c r="G8" s="955"/>
      <c r="R8" s="922"/>
      <c r="AF8" s="952"/>
      <c r="AG8" s="952"/>
      <c r="AH8" s="952"/>
      <c r="AI8" s="952"/>
      <c r="AJ8" s="952"/>
      <c r="AK8" s="952"/>
      <c r="AL8" s="952"/>
      <c r="AM8" s="952"/>
      <c r="AN8" s="952"/>
    </row>
    <row r="9" spans="1:40" ht="8.85" customHeight="1" x14ac:dyDescent="0.2">
      <c r="B9" s="964"/>
      <c r="C9" s="964"/>
      <c r="D9" s="964"/>
      <c r="E9" s="964"/>
      <c r="F9" s="964"/>
      <c r="G9" s="964"/>
      <c r="R9" s="922"/>
      <c r="AF9" s="952"/>
      <c r="AG9" s="952"/>
      <c r="AH9" s="952"/>
      <c r="AI9" s="952"/>
      <c r="AJ9" s="952"/>
      <c r="AK9" s="952"/>
      <c r="AL9" s="952"/>
      <c r="AM9" s="952"/>
      <c r="AN9" s="952"/>
    </row>
    <row r="10" spans="1:40" ht="18" customHeight="1" x14ac:dyDescent="0.2">
      <c r="B10" s="965" t="s">
        <v>24</v>
      </c>
      <c r="C10" s="1528">
        <v>100</v>
      </c>
      <c r="D10" s="964" t="s">
        <v>1000</v>
      </c>
      <c r="E10" s="964"/>
      <c r="F10" s="966"/>
      <c r="G10" s="966"/>
      <c r="R10" s="922"/>
      <c r="AF10" s="952"/>
      <c r="AG10" s="952"/>
      <c r="AH10" s="952"/>
      <c r="AI10" s="952"/>
      <c r="AJ10" s="952"/>
      <c r="AK10" s="952"/>
      <c r="AL10" s="952"/>
      <c r="AM10" s="952"/>
      <c r="AN10" s="952"/>
    </row>
    <row r="11" spans="1:40" ht="8.85" customHeight="1" x14ac:dyDescent="0.2">
      <c r="B11" s="967"/>
      <c r="C11" s="968" t="str">
        <f>C5&amp;"."&amp;C12</f>
        <v>Wheat Integrated (Starch).Riverina</v>
      </c>
      <c r="D11" s="969"/>
      <c r="E11" s="969"/>
      <c r="F11" s="966"/>
      <c r="G11" s="966"/>
      <c r="R11" s="922"/>
      <c r="AF11" s="952"/>
      <c r="AG11" s="952"/>
      <c r="AH11" s="952"/>
      <c r="AI11" s="952"/>
      <c r="AJ11" s="952"/>
      <c r="AK11" s="952"/>
      <c r="AL11" s="952"/>
      <c r="AM11" s="952"/>
      <c r="AN11" s="952"/>
    </row>
    <row r="12" spans="1:40" ht="18.75" customHeight="1" x14ac:dyDescent="0.2">
      <c r="B12" s="970" t="s">
        <v>329</v>
      </c>
      <c r="C12" s="768" t="s">
        <v>1035</v>
      </c>
      <c r="D12" s="971">
        <f ca="1">IF(ISERROR(MATCH($C$12,Locations,0)),"Update Location",0)</f>
        <v>0</v>
      </c>
      <c r="E12" s="971"/>
      <c r="F12" s="966"/>
      <c r="G12" s="966"/>
      <c r="R12" s="922"/>
      <c r="AF12" s="952"/>
      <c r="AG12" s="952"/>
      <c r="AH12" s="952"/>
      <c r="AI12" s="952"/>
      <c r="AJ12" s="952"/>
      <c r="AK12" s="952"/>
      <c r="AL12" s="952"/>
      <c r="AM12" s="952"/>
      <c r="AN12" s="952"/>
    </row>
    <row r="13" spans="1:40" ht="8.85" customHeight="1" x14ac:dyDescent="0.2">
      <c r="B13" s="970"/>
      <c r="C13" s="971"/>
      <c r="D13" s="971"/>
      <c r="E13" s="971"/>
      <c r="F13" s="966"/>
      <c r="G13" s="966"/>
      <c r="R13" s="922"/>
      <c r="AF13" s="952"/>
      <c r="AG13" s="952"/>
      <c r="AH13" s="952"/>
      <c r="AI13" s="952"/>
      <c r="AJ13" s="952"/>
      <c r="AK13" s="952"/>
      <c r="AL13" s="952"/>
      <c r="AM13" s="952"/>
      <c r="AN13" s="952"/>
    </row>
    <row r="14" spans="1:40" ht="19.5" customHeight="1" x14ac:dyDescent="0.2">
      <c r="B14" s="970" t="s">
        <v>861</v>
      </c>
      <c r="C14" s="768" t="s">
        <v>327</v>
      </c>
      <c r="D14" s="971"/>
      <c r="E14" s="970" t="str">
        <f>"Distance to "&amp;C14&amp;" (km)"</f>
        <v>Distance to Sydney (km)</v>
      </c>
      <c r="F14" s="972">
        <f>IF(C14='Feedstock Locations'!$F$4,
INDEX('Feedstock Locations'!$F:$F,MATCH(C11,'Feedstock Locations'!$B:$B,0)),
INDEX('Feedstock Locations'!#REF!,MATCH(C11,'Feedstock Locations'!$B:$B,0)))</f>
        <v>700</v>
      </c>
      <c r="G14" s="1534"/>
      <c r="R14" s="922"/>
      <c r="AF14" s="952"/>
      <c r="AG14" s="952"/>
      <c r="AH14" s="952"/>
      <c r="AI14" s="952"/>
      <c r="AJ14" s="952"/>
      <c r="AK14" s="952"/>
      <c r="AL14" s="952"/>
      <c r="AM14" s="952"/>
      <c r="AN14" s="952"/>
    </row>
    <row r="15" spans="1:40" ht="15" customHeight="1" x14ac:dyDescent="0.2">
      <c r="B15" s="1596" t="str">
        <f xml:space="preserve"> "Note:  AECOM uses "&amp;INDEX('Feedstock Locations'!$J$6:$J$13,MATCH(Interactive!$C$5,'Feedstock Locations'!$I$6:$I$13,0))&amp;" as the base-case location"</f>
        <v>Note:  AECOM uses Riverina as the base-case location</v>
      </c>
      <c r="C15" s="1596"/>
      <c r="D15" s="1596"/>
      <c r="E15" s="1596"/>
      <c r="F15" s="1596"/>
      <c r="G15" s="973"/>
      <c r="H15" s="927"/>
      <c r="J15" s="939"/>
      <c r="K15" s="939"/>
      <c r="L15" s="939"/>
      <c r="M15" s="939"/>
      <c r="R15" s="922"/>
      <c r="AF15" s="952"/>
      <c r="AG15" s="952"/>
      <c r="AH15" s="952"/>
      <c r="AI15" s="952"/>
      <c r="AJ15" s="952"/>
      <c r="AK15" s="952"/>
      <c r="AL15" s="952"/>
      <c r="AM15" s="952"/>
      <c r="AN15" s="952"/>
    </row>
    <row r="16" spans="1:40" ht="12" customHeight="1" x14ac:dyDescent="0.2">
      <c r="B16" s="974"/>
      <c r="C16" s="941"/>
      <c r="D16" s="941"/>
      <c r="E16" s="941"/>
      <c r="F16" s="975"/>
      <c r="G16" s="975"/>
      <c r="H16" s="927"/>
      <c r="I16" s="976">
        <v>-0.3</v>
      </c>
      <c r="J16" s="939"/>
      <c r="K16" s="939"/>
      <c r="L16" s="939"/>
      <c r="M16" s="939"/>
      <c r="R16" s="922"/>
      <c r="AF16" s="952"/>
      <c r="AG16" s="952"/>
      <c r="AH16" s="952"/>
      <c r="AI16" s="952"/>
      <c r="AJ16" s="952"/>
      <c r="AK16" s="952"/>
      <c r="AL16" s="952"/>
      <c r="AM16" s="952"/>
      <c r="AN16" s="952"/>
    </row>
    <row r="17" spans="2:40" ht="15" customHeight="1" x14ac:dyDescent="0.2">
      <c r="B17" s="954" t="s">
        <v>340</v>
      </c>
      <c r="C17" s="963"/>
      <c r="D17" s="963"/>
      <c r="E17" s="963"/>
      <c r="F17" s="977"/>
      <c r="G17" s="977"/>
      <c r="H17" s="927"/>
      <c r="I17" s="976">
        <v>-0.1</v>
      </c>
      <c r="J17" s="939"/>
      <c r="K17" s="939"/>
      <c r="L17" s="939"/>
      <c r="M17" s="939"/>
      <c r="R17" s="922"/>
      <c r="AF17" s="952"/>
      <c r="AG17" s="952"/>
      <c r="AH17" s="952"/>
      <c r="AI17" s="952"/>
      <c r="AJ17" s="952"/>
      <c r="AK17" s="952"/>
      <c r="AL17" s="952"/>
      <c r="AM17" s="952"/>
      <c r="AN17" s="952"/>
    </row>
    <row r="18" spans="2:40" ht="8.85" customHeight="1" x14ac:dyDescent="0.2">
      <c r="B18" s="978"/>
      <c r="C18" s="979"/>
      <c r="D18" s="979"/>
      <c r="E18" s="979"/>
      <c r="F18" s="980"/>
      <c r="G18" s="980"/>
      <c r="H18" s="927"/>
      <c r="I18" s="976">
        <v>0</v>
      </c>
      <c r="J18" s="939"/>
      <c r="K18" s="939"/>
      <c r="L18" s="939"/>
      <c r="M18" s="939"/>
      <c r="R18" s="922"/>
      <c r="AF18" s="952"/>
      <c r="AG18" s="952"/>
      <c r="AH18" s="952"/>
      <c r="AI18" s="952"/>
      <c r="AJ18" s="952"/>
      <c r="AK18" s="952"/>
      <c r="AL18" s="952"/>
      <c r="AM18" s="952"/>
      <c r="AN18" s="952"/>
    </row>
    <row r="19" spans="2:40" ht="18" customHeight="1" x14ac:dyDescent="0.2">
      <c r="B19" s="981" t="s">
        <v>860</v>
      </c>
      <c r="C19" s="769">
        <v>0</v>
      </c>
      <c r="D19" s="980" t="s">
        <v>28</v>
      </c>
      <c r="E19" s="980"/>
      <c r="F19" s="980"/>
      <c r="G19" s="980"/>
      <c r="H19" s="927"/>
      <c r="I19" s="976">
        <v>0.1</v>
      </c>
      <c r="J19" s="939"/>
      <c r="K19" s="939"/>
      <c r="L19" s="939"/>
      <c r="M19" s="939"/>
      <c r="R19" s="922"/>
      <c r="AF19" s="952"/>
      <c r="AG19" s="952"/>
      <c r="AH19" s="952"/>
      <c r="AI19" s="952"/>
      <c r="AJ19" s="952"/>
      <c r="AK19" s="952"/>
      <c r="AL19" s="952"/>
      <c r="AM19" s="952"/>
      <c r="AN19" s="952"/>
    </row>
    <row r="20" spans="2:40" ht="15" customHeight="1" x14ac:dyDescent="0.2">
      <c r="B20" s="978"/>
      <c r="C20" s="979"/>
      <c r="D20" s="979"/>
      <c r="E20" s="979"/>
      <c r="F20" s="980"/>
      <c r="G20" s="980"/>
      <c r="H20" s="927"/>
      <c r="I20" s="976">
        <v>0.2</v>
      </c>
      <c r="J20" s="939"/>
      <c r="K20" s="939"/>
      <c r="L20" s="939"/>
      <c r="M20" s="939"/>
      <c r="R20" s="922"/>
      <c r="AF20" s="952"/>
      <c r="AG20" s="952"/>
      <c r="AH20" s="952"/>
      <c r="AI20" s="952"/>
      <c r="AJ20" s="952"/>
      <c r="AK20" s="952"/>
      <c r="AL20" s="952"/>
      <c r="AM20" s="952"/>
      <c r="AN20" s="952"/>
    </row>
    <row r="21" spans="2:40" ht="12" customHeight="1" x14ac:dyDescent="0.2">
      <c r="B21" s="982" t="str">
        <f>"Production of ethanol from "&amp;$C$5&amp;" based on "&amp;C10&amp;"ML facility with "&amp;ROUND(Assumptions!N5*100,0)&amp;"% debt, located at "&amp;C12&amp;", with feedstock costs at "&amp;ROUND((1+C19)*100,0)&amp;"% of the base case, using "&amp;Assumptions!C30</f>
        <v>Production of ethanol from Wheat Integrated (Starch) based on 100ML facility with 25% debt, located at Riverina, with feedstock costs at 100% of the base case, using WACC</v>
      </c>
      <c r="C21" s="939"/>
      <c r="D21" s="939"/>
      <c r="E21" s="939"/>
      <c r="F21" s="939"/>
      <c r="G21" s="939"/>
      <c r="H21" s="939"/>
      <c r="I21" s="939"/>
      <c r="J21" s="939"/>
      <c r="K21" s="939"/>
      <c r="L21" s="939"/>
      <c r="M21" s="939"/>
      <c r="R21" s="983"/>
      <c r="S21" s="984"/>
      <c r="AF21" s="952"/>
      <c r="AG21" s="952"/>
      <c r="AH21" s="952"/>
      <c r="AI21" s="952"/>
      <c r="AJ21" s="952"/>
      <c r="AK21" s="952"/>
      <c r="AL21" s="952"/>
      <c r="AM21" s="952"/>
      <c r="AN21" s="952"/>
    </row>
    <row r="22" spans="2:40" x14ac:dyDescent="0.2">
      <c r="B22" s="985" t="str">
        <f>"Table 1 - "&amp;$C$5&amp;" Production Costs based on a "&amp;C10&amp;"ML production plant"</f>
        <v>Table 1 - Wheat Integrated (Starch) Production Costs based on a 100ML production plant</v>
      </c>
      <c r="C22" s="986"/>
      <c r="D22" s="986"/>
      <c r="E22" s="986"/>
      <c r="F22" s="939"/>
      <c r="G22" s="939"/>
      <c r="R22" s="983"/>
      <c r="S22" s="984"/>
      <c r="AF22" s="952"/>
      <c r="AG22" s="952"/>
      <c r="AH22" s="952"/>
      <c r="AI22" s="952"/>
      <c r="AJ22" s="952"/>
      <c r="AK22" s="952"/>
      <c r="AL22" s="952"/>
      <c r="AM22" s="952"/>
      <c r="AN22" s="952"/>
    </row>
    <row r="23" spans="2:40" ht="51" customHeight="1" x14ac:dyDescent="0.2">
      <c r="B23" s="987" t="s">
        <v>716</v>
      </c>
      <c r="C23" s="988" t="s">
        <v>856</v>
      </c>
      <c r="D23" s="988" t="s">
        <v>857</v>
      </c>
      <c r="E23" s="1590" t="s">
        <v>997</v>
      </c>
      <c r="F23" s="1591"/>
      <c r="G23" s="1591"/>
      <c r="R23" s="983"/>
      <c r="S23" s="984"/>
      <c r="AF23" s="952"/>
      <c r="AG23" s="952"/>
      <c r="AH23" s="952"/>
      <c r="AI23" s="952"/>
      <c r="AJ23" s="952"/>
      <c r="AK23" s="952"/>
      <c r="AL23" s="952"/>
      <c r="AM23" s="952"/>
      <c r="AN23" s="952"/>
    </row>
    <row r="24" spans="2:40" ht="15" customHeight="1" x14ac:dyDescent="0.2">
      <c r="B24" s="989" t="str">
        <f>'Summary Tables'!D6</f>
        <v>Feedstock</v>
      </c>
      <c r="C24" s="990">
        <f ca="1">IF(D12=0,INDEX('Summary Tables'!$E6:$L6,MATCH($C$5,'Summary Tables'!$E$5:$L$5,0))*(1+C19),0)</f>
        <v>0.36414209318047031</v>
      </c>
      <c r="D24" s="991">
        <f>INDEX('Summary Tables'!$E29:$L29,MATCH($C$5,'Summary Tables'!$E$5:$L$5,0))</f>
        <v>36414209.318047032</v>
      </c>
      <c r="E24" s="1589" t="s">
        <v>996</v>
      </c>
      <c r="F24" s="1589"/>
      <c r="G24" s="1589"/>
      <c r="R24" s="983"/>
      <c r="S24" s="984"/>
      <c r="AF24" s="952"/>
      <c r="AG24" s="952"/>
      <c r="AH24" s="952"/>
      <c r="AI24" s="952"/>
      <c r="AJ24" s="952"/>
      <c r="AK24" s="952"/>
      <c r="AL24" s="952"/>
      <c r="AM24" s="952"/>
      <c r="AN24" s="952"/>
    </row>
    <row r="25" spans="2:40" ht="15" customHeight="1" x14ac:dyDescent="0.2">
      <c r="B25" s="992" t="str">
        <f>'Summary Tables'!D7</f>
        <v>Direct Costs</v>
      </c>
      <c r="C25" s="993">
        <f ca="1">IF($D$12=0,INDEX('Summary Tables'!$E7:$L7,MATCH($C$5,'Summary Tables'!$E$5:$L$5,0)),0)</f>
        <v>0.16489243992072367</v>
      </c>
      <c r="D25" s="994">
        <f>INDEX('Summary Tables'!$E30:$L30,MATCH($C$5,'Summary Tables'!$E$5:$L$5,0))</f>
        <v>16489243.992072368</v>
      </c>
      <c r="E25" s="1592"/>
      <c r="F25" s="1592"/>
      <c r="G25" s="1592"/>
      <c r="R25" s="983"/>
      <c r="S25" s="984"/>
      <c r="AF25" s="952"/>
      <c r="AG25" s="952"/>
      <c r="AH25" s="952"/>
      <c r="AI25" s="952"/>
      <c r="AJ25" s="952"/>
      <c r="AK25" s="952"/>
      <c r="AL25" s="952"/>
      <c r="AM25" s="952"/>
      <c r="AN25" s="952"/>
    </row>
    <row r="26" spans="2:40" ht="15" customHeight="1" x14ac:dyDescent="0.2">
      <c r="B26" s="992" t="str">
        <f>'Summary Tables'!D8</f>
        <v>Maintenance</v>
      </c>
      <c r="C26" s="993">
        <f ca="1">IF($D$12=0,INDEX('Summary Tables'!$E8:$L8,MATCH($C$5,'Summary Tables'!$E$5:$L$5,0)),0)</f>
        <v>4.6959051621599975E-2</v>
      </c>
      <c r="D26" s="994">
        <f>INDEX('Summary Tables'!$E31:$L31,MATCH($C$5,'Summary Tables'!$E$5:$L$5,0))</f>
        <v>4695905.162159997</v>
      </c>
      <c r="E26" s="1593" t="s">
        <v>998</v>
      </c>
      <c r="F26" s="1593"/>
      <c r="G26" s="1593"/>
      <c r="R26" s="983"/>
      <c r="S26" s="984"/>
      <c r="AF26" s="952"/>
      <c r="AG26" s="952"/>
      <c r="AH26" s="952"/>
      <c r="AI26" s="952"/>
      <c r="AJ26" s="952"/>
      <c r="AK26" s="952"/>
      <c r="AL26" s="952"/>
      <c r="AM26" s="952"/>
      <c r="AN26" s="952"/>
    </row>
    <row r="27" spans="2:40" ht="15" customHeight="1" x14ac:dyDescent="0.2">
      <c r="B27" s="992" t="str">
        <f>'Summary Tables'!D9</f>
        <v>Indirect Costs</v>
      </c>
      <c r="C27" s="993">
        <f ca="1">IF($D$12=0,INDEX('Summary Tables'!$E9:$L9,MATCH($C$5,'Summary Tables'!$E$5:$L$5,0)),0)</f>
        <v>4.1515900000000015E-2</v>
      </c>
      <c r="D27" s="994">
        <f>INDEX('Summary Tables'!$E32:$L32,MATCH($C$5,'Summary Tables'!$E$5:$L$5,0))</f>
        <v>4151590.0000000014</v>
      </c>
      <c r="E27" s="1594" t="s">
        <v>999</v>
      </c>
      <c r="F27" s="1594"/>
      <c r="G27" s="1594"/>
      <c r="R27" s="983"/>
      <c r="S27" s="984"/>
      <c r="AF27" s="952"/>
      <c r="AG27" s="952"/>
      <c r="AH27" s="952"/>
      <c r="AI27" s="952"/>
      <c r="AJ27" s="952"/>
      <c r="AK27" s="952"/>
      <c r="AL27" s="952"/>
      <c r="AM27" s="952"/>
      <c r="AN27" s="952"/>
    </row>
    <row r="28" spans="2:40" ht="15" customHeight="1" x14ac:dyDescent="0.2">
      <c r="B28" s="992" t="str">
        <f>'Summary Tables'!D10</f>
        <v>Return on RAB + depn</v>
      </c>
      <c r="C28" s="993">
        <f ca="1">IF($D$12=0,INDEX('Summary Tables'!$E10:$L10,MATCH($C$5,'Summary Tables'!$E$5:$L$5,0)),0)</f>
        <v>0.14759712977952097</v>
      </c>
      <c r="D28" s="994">
        <f ca="1">INDEX('Summary Tables'!$E33:$L33,MATCH($C$5,'Summary Tables'!$E$5:$L$5,0))</f>
        <v>14759712.977952097</v>
      </c>
      <c r="E28" s="1595"/>
      <c r="F28" s="1595"/>
      <c r="G28" s="1595"/>
      <c r="R28" s="983"/>
      <c r="S28" s="984"/>
      <c r="AF28" s="952"/>
      <c r="AG28" s="952"/>
      <c r="AH28" s="952"/>
      <c r="AI28" s="952"/>
      <c r="AJ28" s="952"/>
      <c r="AK28" s="952"/>
      <c r="AL28" s="952"/>
      <c r="AM28" s="952"/>
      <c r="AN28" s="952"/>
    </row>
    <row r="29" spans="2:40" ht="15" customHeight="1" x14ac:dyDescent="0.2">
      <c r="B29" s="995" t="str">
        <f>'Summary Tables'!D11</f>
        <v>Co-product credit</v>
      </c>
      <c r="C29" s="996">
        <f ca="1">IF($D$12=0,INDEX('Summary Tables'!$E11:$L11,MATCH($C$5,'Summary Tables'!$E$5:$L$5,0)),0)</f>
        <v>-0.12901684889785631</v>
      </c>
      <c r="D29" s="997">
        <f>INDEX('Summary Tables'!$E34:$L34,MATCH($C$5,'Summary Tables'!$E$5:$L$5,0))</f>
        <v>-12901684.889785631</v>
      </c>
      <c r="E29" s="1589" t="s">
        <v>996</v>
      </c>
      <c r="F29" s="1589"/>
      <c r="G29" s="1589"/>
      <c r="R29" s="983"/>
      <c r="S29" s="984"/>
      <c r="AF29" s="952"/>
      <c r="AG29" s="952"/>
      <c r="AH29" s="952"/>
      <c r="AI29" s="952"/>
      <c r="AJ29" s="952"/>
      <c r="AK29" s="952"/>
      <c r="AL29" s="952"/>
      <c r="AM29" s="952"/>
      <c r="AN29" s="952"/>
    </row>
    <row r="30" spans="2:40" ht="15" customHeight="1" thickBot="1" x14ac:dyDescent="0.25">
      <c r="B30" s="998" t="str">
        <f>'Summary Tables'!D12</f>
        <v>Net production cost</v>
      </c>
      <c r="C30" s="999">
        <f ca="1">SUM(C24:C29)</f>
        <v>0.63608976560445862</v>
      </c>
      <c r="D30" s="1000">
        <f ca="1">SUM(D24:D29)</f>
        <v>63608976.56044586</v>
      </c>
      <c r="E30" s="1001"/>
      <c r="R30" s="983"/>
      <c r="S30" s="984"/>
      <c r="AF30" s="952"/>
      <c r="AG30" s="952"/>
      <c r="AH30" s="952"/>
      <c r="AI30" s="952"/>
      <c r="AJ30" s="952"/>
      <c r="AK30" s="952"/>
      <c r="AL30" s="952"/>
      <c r="AM30" s="952"/>
      <c r="AN30" s="952"/>
    </row>
    <row r="31" spans="2:40" ht="15" customHeight="1" x14ac:dyDescent="0.2">
      <c r="B31" s="1002" t="str">
        <f>'Summary Tables'!D13</f>
        <v>Margin (0%)</v>
      </c>
      <c r="C31" s="1003">
        <f ca="1">IF($D$12=0,INDEX('Summary Tables'!$E13:$L13,MATCH($C$5,'Summary Tables'!$E$5:$L$5,0)),0)</f>
        <v>0</v>
      </c>
      <c r="D31" s="1004">
        <f ca="1">INDEX('Summary Tables'!$E36:$L36,MATCH($C$5,'Summary Tables'!$E$5:$L$5,0))</f>
        <v>0</v>
      </c>
      <c r="E31" s="1004"/>
      <c r="F31" s="927" t="str">
        <f>IF(Assumptions!C30="WACC","",Interactive!B31)</f>
        <v/>
      </c>
      <c r="G31" s="927"/>
      <c r="R31" s="922"/>
      <c r="AF31" s="952"/>
      <c r="AG31" s="952"/>
      <c r="AH31" s="952"/>
      <c r="AI31" s="952"/>
      <c r="AJ31" s="952"/>
      <c r="AK31" s="952"/>
      <c r="AL31" s="952"/>
      <c r="AM31" s="952"/>
      <c r="AN31" s="952"/>
    </row>
    <row r="32" spans="2:40" ht="15" customHeight="1" thickBot="1" x14ac:dyDescent="0.25">
      <c r="B32" s="998" t="str">
        <f>'Summary Tables'!D14</f>
        <v>Total Production Cost with Margin</v>
      </c>
      <c r="C32" s="1005">
        <f ca="1">SUM(C30:C31)</f>
        <v>0.63608976560445862</v>
      </c>
      <c r="D32" s="1006">
        <f ca="1">SUM(D30:D31)</f>
        <v>63608976.56044586</v>
      </c>
      <c r="E32" s="1007"/>
      <c r="R32" s="922"/>
      <c r="AF32" s="1547" t="s">
        <v>980</v>
      </c>
      <c r="AG32" s="984"/>
      <c r="AH32" s="952"/>
      <c r="AI32" s="952"/>
      <c r="AJ32" s="952"/>
      <c r="AK32" s="952"/>
      <c r="AL32" s="1548"/>
      <c r="AM32" s="952"/>
      <c r="AN32" s="952"/>
    </row>
    <row r="33" spans="1:40" x14ac:dyDescent="0.2">
      <c r="B33" s="939"/>
      <c r="C33" s="1008">
        <f ca="1">-C29</f>
        <v>0.12901684889785631</v>
      </c>
      <c r="D33" s="939"/>
      <c r="E33" s="939"/>
      <c r="R33" s="922"/>
      <c r="AF33" s="1047" t="s">
        <v>285</v>
      </c>
      <c r="AG33" s="1048"/>
      <c r="AH33" s="1049"/>
      <c r="AI33" s="1050"/>
      <c r="AJ33" s="1050"/>
      <c r="AK33" s="1050"/>
      <c r="AL33" s="1049"/>
      <c r="AM33" s="1050"/>
      <c r="AN33" s="1051"/>
    </row>
    <row r="34" spans="1:40" x14ac:dyDescent="0.2">
      <c r="B34" s="921" t="str">
        <f>IF(Assumptions!$C$30=Assumptions!$AH$105,"",Interactive!B31)</f>
        <v/>
      </c>
      <c r="C34" s="1009" t="e">
        <f>IF(Assumptions!$C$30=Assumptions!$AH$105,NA(),Interactive!C31)</f>
        <v>#N/A</v>
      </c>
      <c r="D34" s="927"/>
      <c r="E34" s="939"/>
      <c r="F34" s="1010"/>
      <c r="G34" s="1010"/>
      <c r="R34" s="922"/>
      <c r="AF34" s="1052" t="s">
        <v>698</v>
      </c>
      <c r="AG34" s="1053" t="s">
        <v>866</v>
      </c>
      <c r="AH34" s="1053"/>
      <c r="AI34" s="1053">
        <v>35</v>
      </c>
      <c r="AJ34" s="1053">
        <v>63</v>
      </c>
      <c r="AK34" s="1053">
        <v>66</v>
      </c>
      <c r="AL34" s="1054">
        <v>74</v>
      </c>
      <c r="AM34" s="1053">
        <v>35</v>
      </c>
      <c r="AN34" s="1055">
        <v>63</v>
      </c>
    </row>
    <row r="35" spans="1:40" x14ac:dyDescent="0.2">
      <c r="A35" s="952"/>
      <c r="B35" s="952"/>
      <c r="C35" s="952"/>
      <c r="D35" s="1011"/>
      <c r="E35" s="1012"/>
      <c r="F35" s="1012"/>
      <c r="G35" s="1012"/>
      <c r="H35" s="1012"/>
      <c r="I35" s="1012">
        <v>-0.3</v>
      </c>
      <c r="J35" s="1012"/>
      <c r="K35" s="1012"/>
      <c r="L35" s="1012"/>
      <c r="M35" s="952"/>
      <c r="N35" s="952"/>
      <c r="O35" s="952"/>
      <c r="P35" s="952"/>
      <c r="Q35" s="952"/>
      <c r="AF35" s="1056">
        <v>0</v>
      </c>
      <c r="AG35" s="1057" t="s">
        <v>838</v>
      </c>
      <c r="AH35" s="1040">
        <f ca="1">'Summary Tables'!$I$14</f>
        <v>0.71680495123617016</v>
      </c>
      <c r="AI35" s="1057">
        <f t="dataTable" ref="AI35:AN35" dt2D="0" dtr="1" r1="C10" ca="1"/>
        <v>0.95369117343226117</v>
      </c>
      <c r="AJ35" s="1057">
        <v>0.79685463601829865</v>
      </c>
      <c r="AK35" s="1057">
        <v>0.78739857160978755</v>
      </c>
      <c r="AL35" s="1040">
        <v>0.76559438112282163</v>
      </c>
      <c r="AM35" s="1057">
        <v>0.95369117343226117</v>
      </c>
      <c r="AN35" s="1058">
        <v>0.79685463601829865</v>
      </c>
    </row>
    <row r="36" spans="1:40" x14ac:dyDescent="0.2">
      <c r="A36" s="952"/>
      <c r="B36" s="952"/>
      <c r="C36" s="1012" t="str">
        <f ca="1">"Net Production cost = $"&amp;LEFT(ROUND(C32,2)&amp;"00",4)&amp;" per litre"</f>
        <v>Net Production cost = $0.64 per litre</v>
      </c>
      <c r="D36" s="1011"/>
      <c r="E36" s="1012"/>
      <c r="F36" s="1012"/>
      <c r="G36" s="1012"/>
      <c r="H36" s="1012"/>
      <c r="I36" s="1012">
        <v>-0.2</v>
      </c>
      <c r="J36" s="1012"/>
      <c r="K36" s="1012"/>
      <c r="L36" s="1012"/>
      <c r="M36" s="952"/>
      <c r="N36" s="952"/>
      <c r="O36" s="952"/>
      <c r="P36" s="952"/>
      <c r="Q36" s="952"/>
      <c r="AF36" s="1059" t="s">
        <v>699</v>
      </c>
      <c r="AG36" s="1060" t="s">
        <v>866</v>
      </c>
      <c r="AH36" s="1060"/>
      <c r="AI36" s="1060">
        <v>177</v>
      </c>
      <c r="AJ36" s="1060">
        <v>202</v>
      </c>
      <c r="AK36" s="1060">
        <v>305</v>
      </c>
      <c r="AL36" s="1061">
        <v>309</v>
      </c>
      <c r="AM36" s="1060">
        <v>316</v>
      </c>
      <c r="AN36" s="1062">
        <v>316</v>
      </c>
    </row>
    <row r="37" spans="1:40" x14ac:dyDescent="0.2">
      <c r="A37" s="952"/>
      <c r="B37" s="1011"/>
      <c r="C37" s="1013" t="e">
        <f>IF(Assumptions!C30="WACC",NA(),C32)</f>
        <v>#N/A</v>
      </c>
      <c r="D37" s="1014"/>
      <c r="E37" s="1012"/>
      <c r="F37" s="1012"/>
      <c r="G37" s="1012"/>
      <c r="H37" s="1012"/>
      <c r="I37" s="1012">
        <v>-0.1</v>
      </c>
      <c r="J37" s="1012"/>
      <c r="K37" s="1012"/>
      <c r="L37" s="1012"/>
      <c r="M37" s="952"/>
      <c r="N37" s="952"/>
      <c r="O37" s="952"/>
      <c r="P37" s="952"/>
      <c r="Q37" s="952"/>
      <c r="AF37" s="1063">
        <v>0</v>
      </c>
      <c r="AG37" s="983" t="s">
        <v>838</v>
      </c>
      <c r="AH37" s="1034">
        <f ca="1">'Summary Tables'!$F$14</f>
        <v>0.63608976560445862</v>
      </c>
      <c r="AI37" s="1060">
        <f t="dataTable" ref="AI37:AN37" dt2D="0" dtr="1" r1="C10" ca="1"/>
        <v>0.57202473888133909</v>
      </c>
      <c r="AJ37" s="1060">
        <v>0.56054512905215259</v>
      </c>
      <c r="AK37" s="1060">
        <v>0.5306109814854767</v>
      </c>
      <c r="AL37" s="1034">
        <v>0.52978864437470052</v>
      </c>
      <c r="AM37" s="1060">
        <v>0.52839056493535597</v>
      </c>
      <c r="AN37" s="1062">
        <v>0.52839056493535597</v>
      </c>
    </row>
    <row r="38" spans="1:40" s="952" customFormat="1" x14ac:dyDescent="0.2">
      <c r="B38" s="1011"/>
      <c r="C38" s="1013">
        <f ca="1">IF(Assumptions!C30="WACC",C30,NA())</f>
        <v>0.63608976560445862</v>
      </c>
      <c r="D38" s="1014"/>
      <c r="E38" s="1012"/>
      <c r="F38" s="1012"/>
      <c r="G38" s="1012"/>
      <c r="H38" s="1012"/>
      <c r="I38" s="1012">
        <v>0</v>
      </c>
      <c r="J38" s="1012"/>
      <c r="K38" s="1012"/>
      <c r="L38" s="1012"/>
      <c r="AF38" s="1039" t="s">
        <v>799</v>
      </c>
      <c r="AG38" s="1057" t="s">
        <v>866</v>
      </c>
      <c r="AH38" s="1057"/>
      <c r="AI38" s="1057">
        <v>100</v>
      </c>
      <c r="AJ38" s="1057">
        <v>170</v>
      </c>
      <c r="AK38" s="1057">
        <v>175</v>
      </c>
      <c r="AL38" s="1057">
        <v>200</v>
      </c>
      <c r="AM38" s="1057">
        <v>175</v>
      </c>
      <c r="AN38" s="1041">
        <v>200</v>
      </c>
    </row>
    <row r="39" spans="1:40" s="952" customFormat="1" x14ac:dyDescent="0.2">
      <c r="B39" s="1011"/>
      <c r="C39" s="1014"/>
      <c r="D39" s="1014"/>
      <c r="E39" s="1012"/>
      <c r="F39" s="1012"/>
      <c r="G39" s="1012"/>
      <c r="H39" s="1012"/>
      <c r="I39" s="1012">
        <v>0.1</v>
      </c>
      <c r="J39" s="1012"/>
      <c r="K39" s="1012"/>
      <c r="L39" s="1012"/>
      <c r="AF39" s="1056">
        <v>0</v>
      </c>
      <c r="AG39" s="1064" t="s">
        <v>838</v>
      </c>
      <c r="AH39" s="1040">
        <f ca="1">'Summary Tables'!$J$14</f>
        <v>1.0133352923374939</v>
      </c>
      <c r="AI39" s="1057">
        <f t="dataTable" ref="AI39:AN39" dt2D="0" dtr="1" r1="C10" ca="1"/>
        <v>1.0133352923374939</v>
      </c>
      <c r="AJ39" s="1057">
        <v>0.95038054513539794</v>
      </c>
      <c r="AK39" s="1057">
        <v>0.94759467069484549</v>
      </c>
      <c r="AL39" s="1040">
        <v>0.9354722485002287</v>
      </c>
      <c r="AM39" s="1057">
        <v>0.94759467069484549</v>
      </c>
      <c r="AN39" s="1058">
        <v>0.9354722485002287</v>
      </c>
    </row>
    <row r="40" spans="1:40" s="952" customFormat="1" x14ac:dyDescent="0.2">
      <c r="B40" s="1011"/>
      <c r="C40" s="1014"/>
      <c r="D40" s="1014"/>
      <c r="E40" s="1012"/>
      <c r="F40" s="1012"/>
      <c r="G40" s="1012"/>
      <c r="H40" s="1012"/>
      <c r="I40" s="1012">
        <v>0.2</v>
      </c>
      <c r="J40" s="1012"/>
      <c r="K40" s="1012"/>
      <c r="L40" s="1012"/>
      <c r="AF40" s="1059" t="s">
        <v>700</v>
      </c>
      <c r="AG40" s="1060" t="s">
        <v>866</v>
      </c>
      <c r="AH40" s="1060"/>
      <c r="AI40" s="1060">
        <v>76</v>
      </c>
      <c r="AJ40" s="1060">
        <v>60</v>
      </c>
      <c r="AK40" s="1060">
        <v>90</v>
      </c>
      <c r="AL40" s="1060">
        <v>76</v>
      </c>
      <c r="AM40" s="1060">
        <v>60</v>
      </c>
      <c r="AN40" s="1062">
        <v>90</v>
      </c>
    </row>
    <row r="41" spans="1:40" s="952" customFormat="1" x14ac:dyDescent="0.2">
      <c r="B41" s="1011"/>
      <c r="C41" s="1014"/>
      <c r="D41" s="1014"/>
      <c r="E41" s="1012"/>
      <c r="F41" s="1012"/>
      <c r="G41" s="1012"/>
      <c r="H41" s="1012"/>
      <c r="I41" s="1012">
        <v>0.3</v>
      </c>
      <c r="J41" s="1012"/>
      <c r="K41" s="1012"/>
      <c r="L41" s="1012"/>
      <c r="AF41" s="1059">
        <v>0</v>
      </c>
      <c r="AG41" s="1060" t="s">
        <v>838</v>
      </c>
      <c r="AH41" s="1034">
        <f ca="1">'Summary Tables'!$H$14</f>
        <v>0.76744606237382851</v>
      </c>
      <c r="AI41" s="1060">
        <f t="dataTable" ref="AI41:AN41" dt2D="0" dtr="1" r1="C10" ca="1"/>
        <v>0.82028502267109193</v>
      </c>
      <c r="AJ41" s="1060">
        <v>0.87579669985495201</v>
      </c>
      <c r="AK41" s="1060">
        <v>0.78643004031784236</v>
      </c>
      <c r="AL41" s="1060">
        <v>0.82028502267109193</v>
      </c>
      <c r="AM41" s="1060">
        <v>0.87579669985495201</v>
      </c>
      <c r="AN41" s="1062">
        <v>0.78643004031784236</v>
      </c>
    </row>
    <row r="42" spans="1:40" s="952" customFormat="1" x14ac:dyDescent="0.2">
      <c r="D42" s="1014"/>
      <c r="E42" s="1012"/>
      <c r="F42" s="1012"/>
      <c r="G42" s="1012"/>
      <c r="H42" s="1012"/>
      <c r="I42" s="1012"/>
      <c r="J42" s="1012"/>
      <c r="K42" s="1012"/>
      <c r="L42" s="1012"/>
      <c r="AF42" s="1039" t="s">
        <v>701</v>
      </c>
      <c r="AG42" s="1057" t="s">
        <v>866</v>
      </c>
      <c r="AH42" s="1057"/>
      <c r="AI42" s="1065">
        <v>87</v>
      </c>
      <c r="AJ42" s="1065">
        <v>107</v>
      </c>
      <c r="AK42" s="1065">
        <v>131</v>
      </c>
      <c r="AL42" s="1065">
        <v>143</v>
      </c>
      <c r="AM42" s="1065">
        <v>188</v>
      </c>
      <c r="AN42" s="1066">
        <v>270</v>
      </c>
    </row>
    <row r="43" spans="1:40" s="952" customFormat="1" x14ac:dyDescent="0.2">
      <c r="E43" s="1012"/>
      <c r="F43" s="1012"/>
      <c r="G43" s="1012"/>
      <c r="H43" s="1012"/>
      <c r="I43" s="1012"/>
      <c r="J43" s="1012"/>
      <c r="K43" s="1012"/>
      <c r="L43" s="1012"/>
      <c r="AF43" s="1056">
        <v>0</v>
      </c>
      <c r="AG43" s="1064" t="s">
        <v>838</v>
      </c>
      <c r="AH43" s="1040">
        <f ca="1">'Summary Tables'!$L$14</f>
        <v>1.0561136602781689</v>
      </c>
      <c r="AI43" s="1057">
        <f t="dataTable" ref="AI43:AN43" dt2D="0" dtr="1" r1="C10" ca="1"/>
        <v>1.0879344269040765</v>
      </c>
      <c r="AJ43" s="1057">
        <v>1.0415980349535261</v>
      </c>
      <c r="AK43" s="1057">
        <v>1.0014991477612152</v>
      </c>
      <c r="AL43" s="1040">
        <v>0.98554173288638047</v>
      </c>
      <c r="AM43" s="1057">
        <v>0.94049835340540566</v>
      </c>
      <c r="AN43" s="1058">
        <v>0.8902618148218191</v>
      </c>
    </row>
    <row r="44" spans="1:40" s="952" customFormat="1" x14ac:dyDescent="0.2">
      <c r="AF44" s="1059" t="s">
        <v>854</v>
      </c>
      <c r="AG44" s="1060" t="s">
        <v>866</v>
      </c>
      <c r="AH44" s="1060"/>
      <c r="AI44" s="1067">
        <v>50</v>
      </c>
      <c r="AJ44" s="1067">
        <v>100</v>
      </c>
      <c r="AK44" s="1067">
        <v>150</v>
      </c>
      <c r="AL44" s="1067">
        <v>200</v>
      </c>
      <c r="AM44" s="1067">
        <v>250</v>
      </c>
      <c r="AN44" s="1068"/>
    </row>
    <row r="45" spans="1:40" s="952" customFormat="1" x14ac:dyDescent="0.2">
      <c r="AF45" s="1059">
        <v>0</v>
      </c>
      <c r="AG45" s="1060" t="s">
        <v>838</v>
      </c>
      <c r="AH45" s="1034">
        <f ca="1">'Summary Tables'!$G$14</f>
        <v>0.89833258408233352</v>
      </c>
      <c r="AI45" s="1060">
        <f t="dataTable" ref="AI45:AM45" dt2D="0" dtr="1" r1="C10" ca="1"/>
        <v>1.027693364617617</v>
      </c>
      <c r="AJ45" s="1060">
        <v>0.89833258408233352</v>
      </c>
      <c r="AK45" s="1060">
        <v>0.8492104752097146</v>
      </c>
      <c r="AL45" s="1034">
        <v>0.8221418772518122</v>
      </c>
      <c r="AM45" s="1060">
        <v>0.80455473320864679</v>
      </c>
      <c r="AN45" s="1062"/>
    </row>
    <row r="46" spans="1:40" s="952" customFormat="1" x14ac:dyDescent="0.2">
      <c r="AF46" s="1039" t="s">
        <v>867</v>
      </c>
      <c r="AG46" s="1057" t="s">
        <v>866</v>
      </c>
      <c r="AH46" s="1057"/>
      <c r="AI46" s="1065">
        <v>177</v>
      </c>
      <c r="AJ46" s="1065">
        <v>202</v>
      </c>
      <c r="AK46" s="1065">
        <v>305</v>
      </c>
      <c r="AL46" s="1065">
        <v>309</v>
      </c>
      <c r="AM46" s="1065">
        <v>316</v>
      </c>
      <c r="AN46" s="1066">
        <v>316</v>
      </c>
    </row>
    <row r="47" spans="1:40" s="952" customFormat="1" x14ac:dyDescent="0.2">
      <c r="AF47" s="1056">
        <v>0</v>
      </c>
      <c r="AG47" s="1064" t="s">
        <v>838</v>
      </c>
      <c r="AH47" s="1040">
        <f ca="1">'Summary Tables'!$E$14</f>
        <v>0.68187109818006619</v>
      </c>
      <c r="AI47" s="1057">
        <f t="dataTable" ref="AI47:AN47" dt2D="0" dtr="1" r1="C10" ca="1"/>
        <v>0.61579535972582167</v>
      </c>
      <c r="AJ47" s="1057">
        <v>0.60398337709204364</v>
      </c>
      <c r="AK47" s="1057">
        <v>0.57323521242263276</v>
      </c>
      <c r="AL47" s="1040">
        <v>0.57239172471548772</v>
      </c>
      <c r="AM47" s="1057">
        <v>0.57095784956964746</v>
      </c>
      <c r="AN47" s="1058">
        <v>0.57095784956964746</v>
      </c>
    </row>
    <row r="48" spans="1:40" s="952" customFormat="1" x14ac:dyDescent="0.2">
      <c r="AF48" s="1059" t="s">
        <v>821</v>
      </c>
      <c r="AG48" s="1060" t="s">
        <v>866</v>
      </c>
      <c r="AH48" s="1060"/>
      <c r="AI48" s="1067">
        <v>138</v>
      </c>
      <c r="AJ48" s="1067">
        <v>221</v>
      </c>
      <c r="AK48" s="1067">
        <v>235</v>
      </c>
      <c r="AL48" s="1067">
        <v>276</v>
      </c>
      <c r="AM48" s="1067">
        <v>235</v>
      </c>
      <c r="AN48" s="1068">
        <v>276</v>
      </c>
    </row>
    <row r="49" spans="32:40" s="952" customFormat="1" x14ac:dyDescent="0.2">
      <c r="AF49" s="1069">
        <v>0</v>
      </c>
      <c r="AG49" s="1070" t="s">
        <v>838</v>
      </c>
      <c r="AH49" s="1071">
        <f ca="1">'Summary Tables'!$K$14</f>
        <v>1.0447988685991174</v>
      </c>
      <c r="AI49" s="1070">
        <f t="dataTable" ref="AI49:AN49" dt2D="0" dtr="1" r1="C10" ca="1"/>
        <v>0.97985453299291847</v>
      </c>
      <c r="AJ49" s="1070">
        <v>0.90383163640780795</v>
      </c>
      <c r="AK49" s="1070">
        <v>0.89525958659718319</v>
      </c>
      <c r="AL49" s="1071">
        <v>0.87406313302070249</v>
      </c>
      <c r="AM49" s="1070">
        <v>0.89525958659718319</v>
      </c>
      <c r="AN49" s="1072">
        <v>0.87406313302070249</v>
      </c>
    </row>
    <row r="50" spans="32:40" s="952" customFormat="1" x14ac:dyDescent="0.2">
      <c r="AF50" s="984"/>
      <c r="AG50" s="984"/>
      <c r="AL50" s="1548"/>
    </row>
    <row r="51" spans="32:40" s="952" customFormat="1" x14ac:dyDescent="0.2">
      <c r="AF51" s="1547" t="s">
        <v>981</v>
      </c>
      <c r="AG51" s="984"/>
      <c r="AL51" s="1548"/>
    </row>
    <row r="52" spans="32:40" s="952" customFormat="1" x14ac:dyDescent="0.2">
      <c r="AF52" s="1047" t="s">
        <v>285</v>
      </c>
      <c r="AG52" s="1048"/>
      <c r="AH52" s="1049"/>
      <c r="AI52" s="1050"/>
      <c r="AJ52" s="1050"/>
      <c r="AK52" s="1050"/>
      <c r="AL52" s="1049"/>
      <c r="AM52" s="1050"/>
      <c r="AN52" s="1051"/>
    </row>
    <row r="53" spans="32:40" s="952" customFormat="1" x14ac:dyDescent="0.2">
      <c r="AF53" s="1052" t="s">
        <v>698</v>
      </c>
      <c r="AG53" s="1053" t="s">
        <v>866</v>
      </c>
      <c r="AH53" s="1053"/>
      <c r="AI53" s="1053">
        <v>30</v>
      </c>
      <c r="AJ53" s="1053">
        <v>50</v>
      </c>
      <c r="AK53" s="1053">
        <v>70</v>
      </c>
      <c r="AL53" s="1054">
        <v>90</v>
      </c>
      <c r="AM53" s="1053">
        <v>110</v>
      </c>
      <c r="AN53" s="1055">
        <v>130</v>
      </c>
    </row>
    <row r="54" spans="32:40" s="952" customFormat="1" x14ac:dyDescent="0.2">
      <c r="AF54" s="1056">
        <v>0</v>
      </c>
      <c r="AG54" s="1057" t="s">
        <v>838</v>
      </c>
      <c r="AH54" s="1040">
        <f ca="1">'Summary Tables'!$I$14</f>
        <v>0.71680495123617016</v>
      </c>
      <c r="AI54" s="1057">
        <f t="dataTable" ref="AI54:AN54" dt2D="0" dtr="1" r1="C10" ca="1"/>
        <v>1.0094964592541804</v>
      </c>
      <c r="AJ54" s="1057">
        <v>0.84954539676821117</v>
      </c>
      <c r="AK54" s="1057">
        <v>0.7759352210704229</v>
      </c>
      <c r="AL54" s="1040">
        <v>0.7325891659610454</v>
      </c>
      <c r="AM54" s="1057">
        <v>0.70358562761135268</v>
      </c>
      <c r="AN54" s="1058">
        <v>0.68259224302225219</v>
      </c>
    </row>
    <row r="55" spans="32:40" s="952" customFormat="1" x14ac:dyDescent="0.2">
      <c r="AF55" s="1059" t="s">
        <v>699</v>
      </c>
      <c r="AG55" s="1060" t="s">
        <v>866</v>
      </c>
      <c r="AH55" s="1060"/>
      <c r="AI55" s="1060">
        <v>100</v>
      </c>
      <c r="AJ55" s="1060">
        <v>177</v>
      </c>
      <c r="AK55" s="1060">
        <v>202</v>
      </c>
      <c r="AL55" s="1061">
        <v>305</v>
      </c>
      <c r="AM55" s="1060">
        <v>309</v>
      </c>
      <c r="AN55" s="1062">
        <v>316</v>
      </c>
    </row>
    <row r="56" spans="32:40" s="952" customFormat="1" x14ac:dyDescent="0.2">
      <c r="AF56" s="1063">
        <v>0</v>
      </c>
      <c r="AG56" s="983" t="s">
        <v>838</v>
      </c>
      <c r="AH56" s="1034">
        <f ca="1">'Summary Tables'!$F$14</f>
        <v>0.63608976560445862</v>
      </c>
      <c r="AI56" s="1060">
        <f t="dataTable" ref="AI56:AN56" dt2D="0" dtr="1" r1="C10" ca="1"/>
        <v>0.63608976560445862</v>
      </c>
      <c r="AJ56" s="1060">
        <v>0.57202473888133909</v>
      </c>
      <c r="AK56" s="1060">
        <v>0.56054512905215259</v>
      </c>
      <c r="AL56" s="1034">
        <v>0.5306109814854767</v>
      </c>
      <c r="AM56" s="1060">
        <v>0.52978864437470052</v>
      </c>
      <c r="AN56" s="1062">
        <v>0.52839056493535597</v>
      </c>
    </row>
    <row r="57" spans="32:40" s="952" customFormat="1" x14ac:dyDescent="0.2">
      <c r="AF57" s="1039" t="s">
        <v>799</v>
      </c>
      <c r="AG57" s="1057" t="s">
        <v>866</v>
      </c>
      <c r="AH57" s="1057"/>
      <c r="AI57" s="1057">
        <v>100</v>
      </c>
      <c r="AJ57" s="1057">
        <v>130</v>
      </c>
      <c r="AK57" s="1057">
        <v>150</v>
      </c>
      <c r="AL57" s="1057">
        <v>170</v>
      </c>
      <c r="AM57" s="1057">
        <v>175</v>
      </c>
      <c r="AN57" s="1041">
        <v>200</v>
      </c>
    </row>
    <row r="58" spans="32:40" s="952" customFormat="1" x14ac:dyDescent="0.2">
      <c r="AF58" s="1056">
        <v>0</v>
      </c>
      <c r="AG58" s="1064" t="s">
        <v>838</v>
      </c>
      <c r="AH58" s="1040">
        <f ca="1">'Summary Tables'!$J$14</f>
        <v>1.0133352923374939</v>
      </c>
      <c r="AI58" s="1057">
        <f t="dataTable" ref="AI58:AN58" dt2D="0" dtr="1" r1="C10" ca="1"/>
        <v>1.0133352923374939</v>
      </c>
      <c r="AJ58" s="1057">
        <v>0.97912258258838913</v>
      </c>
      <c r="AK58" s="1057">
        <v>0.96309575079551712</v>
      </c>
      <c r="AL58" s="1040">
        <v>0.95038054513539794</v>
      </c>
      <c r="AM58" s="1057">
        <v>0.94759467069484549</v>
      </c>
      <c r="AN58" s="1058">
        <v>0.9354722485002287</v>
      </c>
    </row>
    <row r="59" spans="32:40" s="952" customFormat="1" x14ac:dyDescent="0.2">
      <c r="AF59" s="1059" t="s">
        <v>700</v>
      </c>
      <c r="AG59" s="1060" t="s">
        <v>866</v>
      </c>
      <c r="AH59" s="1060"/>
      <c r="AI59" s="1060">
        <v>76</v>
      </c>
      <c r="AJ59" s="1060">
        <v>60</v>
      </c>
      <c r="AK59" s="1060">
        <v>90</v>
      </c>
      <c r="AL59" s="1060">
        <v>100</v>
      </c>
      <c r="AM59" s="1060">
        <v>120</v>
      </c>
      <c r="AN59" s="1062">
        <v>140</v>
      </c>
    </row>
    <row r="60" spans="32:40" s="952" customFormat="1" x14ac:dyDescent="0.2">
      <c r="AF60" s="1059">
        <v>0</v>
      </c>
      <c r="AG60" s="1060" t="s">
        <v>838</v>
      </c>
      <c r="AH60" s="1034">
        <f ca="1">'Summary Tables'!$H$14</f>
        <v>0.76744606237382851</v>
      </c>
      <c r="AI60" s="1060">
        <f t="dataTable" ref="AI60:AN60" dt2D="0" dtr="1" r1="C10" ca="1"/>
        <v>0.82028502267109193</v>
      </c>
      <c r="AJ60" s="1060">
        <v>0.87579669985495201</v>
      </c>
      <c r="AK60" s="1060">
        <v>0.78643004031784236</v>
      </c>
      <c r="AL60" s="1060">
        <v>0.76744606237382851</v>
      </c>
      <c r="AM60" s="1060">
        <v>0.73794173243123151</v>
      </c>
      <c r="AN60" s="1062">
        <v>0.71590370599185094</v>
      </c>
    </row>
    <row r="61" spans="32:40" s="952" customFormat="1" x14ac:dyDescent="0.2">
      <c r="AF61" s="1039" t="s">
        <v>701</v>
      </c>
      <c r="AG61" s="1057" t="s">
        <v>866</v>
      </c>
      <c r="AH61" s="1057"/>
      <c r="AI61" s="1065">
        <v>100</v>
      </c>
      <c r="AJ61" s="1065">
        <v>125</v>
      </c>
      <c r="AK61" s="1065">
        <v>150</v>
      </c>
      <c r="AL61" s="1065">
        <v>200</v>
      </c>
      <c r="AM61" s="1065">
        <v>250</v>
      </c>
      <c r="AN61" s="1066">
        <v>300</v>
      </c>
    </row>
    <row r="62" spans="32:40" s="952" customFormat="1" x14ac:dyDescent="0.2">
      <c r="AF62" s="1056">
        <v>0</v>
      </c>
      <c r="AG62" s="1064" t="s">
        <v>838</v>
      </c>
      <c r="AH62" s="1040">
        <f ca="1">'Summary Tables'!$L$14</f>
        <v>1.0561136602781689</v>
      </c>
      <c r="AI62" s="1057">
        <f t="dataTable" ref="AI62:AN62" dt2D="0" dtr="1" r1="C10" ca="1"/>
        <v>1.0561136602781689</v>
      </c>
      <c r="AJ62" s="1057">
        <v>1.0103710574579385</v>
      </c>
      <c r="AK62" s="1057">
        <v>0.97717040347488759</v>
      </c>
      <c r="AL62" s="1040">
        <v>0.93121527502252044</v>
      </c>
      <c r="AM62" s="1057">
        <v>0.90016202084511954</v>
      </c>
      <c r="AN62" s="1058">
        <v>0.87732232712612102</v>
      </c>
    </row>
    <row r="63" spans="32:40" s="952" customFormat="1" x14ac:dyDescent="0.2">
      <c r="AF63" s="1059" t="s">
        <v>854</v>
      </c>
      <c r="AG63" s="1060" t="s">
        <v>866</v>
      </c>
      <c r="AH63" s="1060"/>
      <c r="AI63" s="1067">
        <v>100</v>
      </c>
      <c r="AJ63" s="1067">
        <v>150</v>
      </c>
      <c r="AK63" s="1067">
        <v>200</v>
      </c>
      <c r="AL63" s="1067">
        <v>250</v>
      </c>
      <c r="AM63" s="1067">
        <v>300</v>
      </c>
      <c r="AN63" s="1068"/>
    </row>
    <row r="64" spans="32:40" s="952" customFormat="1" x14ac:dyDescent="0.2">
      <c r="AF64" s="1059">
        <v>0</v>
      </c>
      <c r="AG64" s="1060" t="s">
        <v>838</v>
      </c>
      <c r="AH64" s="1034">
        <f ca="1">'Summary Tables'!$G$14</f>
        <v>0.89833258408233352</v>
      </c>
      <c r="AI64" s="1060">
        <f t="dataTable" ref="AI64:AM64" dt2D="0" dtr="1" r1="C10" ca="1"/>
        <v>0.89833258408233352</v>
      </c>
      <c r="AJ64" s="1060">
        <v>0.8492104752097146</v>
      </c>
      <c r="AK64" s="1060">
        <v>0.8221418772518122</v>
      </c>
      <c r="AL64" s="1034">
        <v>0.80455473320864679</v>
      </c>
      <c r="AM64" s="1060">
        <v>0.79200326655900721</v>
      </c>
      <c r="AN64" s="1062"/>
    </row>
    <row r="65" spans="32:40" s="952" customFormat="1" x14ac:dyDescent="0.2">
      <c r="AF65" s="1039" t="s">
        <v>867</v>
      </c>
      <c r="AG65" s="1057" t="s">
        <v>866</v>
      </c>
      <c r="AH65" s="1057"/>
      <c r="AI65" s="1065">
        <v>100</v>
      </c>
      <c r="AJ65" s="1065">
        <v>177</v>
      </c>
      <c r="AK65" s="1065">
        <v>202</v>
      </c>
      <c r="AL65" s="1065">
        <v>305</v>
      </c>
      <c r="AM65" s="1065">
        <v>309</v>
      </c>
      <c r="AN65" s="1066">
        <v>316</v>
      </c>
    </row>
    <row r="66" spans="32:40" s="952" customFormat="1" x14ac:dyDescent="0.2">
      <c r="AF66" s="1056">
        <v>0</v>
      </c>
      <c r="AG66" s="1064" t="s">
        <v>838</v>
      </c>
      <c r="AH66" s="1040">
        <f ca="1">'Summary Tables'!$E$14</f>
        <v>0.68187109818006619</v>
      </c>
      <c r="AI66" s="1057">
        <f t="dataTable" ref="AI66:AN66" dt2D="0" dtr="1" r1="C10" ca="1"/>
        <v>0.68187109818006619</v>
      </c>
      <c r="AJ66" s="1057">
        <v>0.61579535972582167</v>
      </c>
      <c r="AK66" s="1057">
        <v>0.60398337709204364</v>
      </c>
      <c r="AL66" s="1040">
        <v>0.57323521242263276</v>
      </c>
      <c r="AM66" s="1057">
        <v>0.57239172471548772</v>
      </c>
      <c r="AN66" s="1058">
        <v>0.57095784956964746</v>
      </c>
    </row>
    <row r="67" spans="32:40" s="952" customFormat="1" x14ac:dyDescent="0.2">
      <c r="AF67" s="1059" t="s">
        <v>821</v>
      </c>
      <c r="AG67" s="1060" t="s">
        <v>866</v>
      </c>
      <c r="AH67" s="1060"/>
      <c r="AI67" s="1067">
        <v>100</v>
      </c>
      <c r="AJ67" s="1067">
        <v>125</v>
      </c>
      <c r="AK67" s="1067">
        <v>150</v>
      </c>
      <c r="AL67" s="1067">
        <v>200</v>
      </c>
      <c r="AM67" s="1067">
        <v>250</v>
      </c>
      <c r="AN67" s="1068">
        <v>300</v>
      </c>
    </row>
    <row r="68" spans="32:40" s="952" customFormat="1" x14ac:dyDescent="0.2">
      <c r="AF68" s="1069">
        <v>0</v>
      </c>
      <c r="AG68" s="1070" t="s">
        <v>838</v>
      </c>
      <c r="AH68" s="1071">
        <f ca="1">'Summary Tables'!$K$14</f>
        <v>1.0447988685991174</v>
      </c>
      <c r="AI68" s="1070">
        <f t="dataTable" ref="AI68:AN68" dt2D="0" dtr="1" r1="C10" ca="1"/>
        <v>1.0447988685991174</v>
      </c>
      <c r="AJ68" s="1070">
        <v>0.99852380522485373</v>
      </c>
      <c r="AK68" s="1070">
        <v>0.96491710921748119</v>
      </c>
      <c r="AL68" s="1071">
        <v>0.91837035246227527</v>
      </c>
      <c r="AM68" s="1070">
        <v>0.8868964324502504</v>
      </c>
      <c r="AN68" s="1072">
        <v>0.86373594875768511</v>
      </c>
    </row>
    <row r="69" spans="32:40" s="952" customFormat="1" x14ac:dyDescent="0.2"/>
    <row r="70" spans="32:40" s="952" customFormat="1" x14ac:dyDescent="0.2"/>
    <row r="71" spans="32:40" s="952" customFormat="1" x14ac:dyDescent="0.2">
      <c r="AF71" s="1549" t="s">
        <v>537</v>
      </c>
    </row>
    <row r="72" spans="32:40" s="952" customFormat="1" x14ac:dyDescent="0.2">
      <c r="AF72" s="1025"/>
      <c r="AH72" s="1026" t="s">
        <v>531</v>
      </c>
      <c r="AI72" s="1026" t="s">
        <v>532</v>
      </c>
      <c r="AJ72" s="1027" t="s">
        <v>533</v>
      </c>
      <c r="AK72" s="922"/>
      <c r="AL72" s="922"/>
      <c r="AM72" s="922"/>
      <c r="AN72" s="922"/>
    </row>
    <row r="73" spans="32:40" s="952" customFormat="1" x14ac:dyDescent="0.2">
      <c r="AF73" s="1029" t="s">
        <v>285</v>
      </c>
      <c r="AH73" s="1030" t="s">
        <v>535</v>
      </c>
      <c r="AI73" s="1031" t="s">
        <v>536</v>
      </c>
      <c r="AJ73" s="1032" t="s">
        <v>534</v>
      </c>
      <c r="AK73" s="922"/>
      <c r="AL73" s="922"/>
      <c r="AM73" s="922"/>
      <c r="AN73" s="922"/>
    </row>
    <row r="74" spans="32:40" s="952" customFormat="1" x14ac:dyDescent="0.2">
      <c r="AF74" s="1057" t="s">
        <v>867</v>
      </c>
      <c r="AG74" s="1057"/>
      <c r="AH74" s="1057">
        <v>200</v>
      </c>
      <c r="AI74" s="1057">
        <v>100</v>
      </c>
      <c r="AJ74" s="1057">
        <v>50</v>
      </c>
      <c r="AK74" s="922"/>
      <c r="AL74" s="922"/>
      <c r="AM74" s="922"/>
      <c r="AN74" s="922"/>
    </row>
    <row r="75" spans="32:40" s="952" customFormat="1" x14ac:dyDescent="0.2">
      <c r="AF75" s="1057"/>
      <c r="AG75" s="1040">
        <f ca="1">'Summary Tables'!$E$14</f>
        <v>0.68187109818006619</v>
      </c>
      <c r="AH75" s="1040">
        <f t="dataTable" ref="AH75:AJ75" dt2D="0" dtr="1" r1="C10" ca="1"/>
        <v>0.60483599312375569</v>
      </c>
      <c r="AI75" s="1040">
        <v>0.68187109818006619</v>
      </c>
      <c r="AJ75" s="1040">
        <v>0.8124328445314517</v>
      </c>
      <c r="AK75" s="922"/>
      <c r="AL75" s="922"/>
      <c r="AM75" s="922"/>
      <c r="AN75" s="922"/>
    </row>
    <row r="76" spans="32:40" s="952" customFormat="1" x14ac:dyDescent="0.2">
      <c r="AF76" s="1060" t="s">
        <v>699</v>
      </c>
      <c r="AG76" s="1060"/>
      <c r="AH76" s="1060">
        <v>200</v>
      </c>
      <c r="AI76" s="1060">
        <v>100</v>
      </c>
      <c r="AJ76" s="1060">
        <v>50</v>
      </c>
      <c r="AK76" s="922"/>
      <c r="AL76" s="922"/>
      <c r="AM76" s="922"/>
      <c r="AN76" s="922"/>
    </row>
    <row r="77" spans="32:40" s="952" customFormat="1" x14ac:dyDescent="0.2">
      <c r="AF77" s="1060"/>
      <c r="AG77" s="1034">
        <f ca="1">'Summary Tables'!$F$14</f>
        <v>0.63608976560445862</v>
      </c>
      <c r="AH77" s="1034">
        <f t="dataTable" ref="AH77:AJ77" dt2D="0" dtr="1" r1="C10" ca="1"/>
        <v>0.56137408716043946</v>
      </c>
      <c r="AI77" s="1034">
        <v>0.63608976560445862</v>
      </c>
      <c r="AJ77" s="1034">
        <v>0.76219397031054381</v>
      </c>
      <c r="AK77" s="922"/>
      <c r="AL77" s="922"/>
      <c r="AM77" s="922"/>
      <c r="AN77" s="922"/>
    </row>
    <row r="78" spans="32:40" s="952" customFormat="1" x14ac:dyDescent="0.2">
      <c r="AF78" s="1057" t="s">
        <v>854</v>
      </c>
      <c r="AG78" s="1057"/>
      <c r="AH78" s="1057">
        <v>200</v>
      </c>
      <c r="AI78" s="1057">
        <v>100</v>
      </c>
      <c r="AJ78" s="1057">
        <v>50</v>
      </c>
      <c r="AK78" s="922"/>
      <c r="AL78" s="922"/>
      <c r="AM78" s="922"/>
      <c r="AN78" s="922"/>
    </row>
    <row r="79" spans="32:40" s="952" customFormat="1" x14ac:dyDescent="0.2">
      <c r="AF79" s="1057"/>
      <c r="AG79" s="1040">
        <f ca="1">'Summary Tables'!$G$14</f>
        <v>0.89833258408233352</v>
      </c>
      <c r="AH79" s="1040">
        <f t="dataTable" ref="AH79:AJ79" dt2D="0" dtr="1" r1="C10" ca="1"/>
        <v>0.8221418772518122</v>
      </c>
      <c r="AI79" s="1040">
        <v>0.89833258408233352</v>
      </c>
      <c r="AJ79" s="1040">
        <v>1.027693364617617</v>
      </c>
      <c r="AK79" s="922"/>
      <c r="AL79" s="922"/>
      <c r="AM79" s="922"/>
      <c r="AN79" s="922"/>
    </row>
    <row r="80" spans="32:40" s="952" customFormat="1" x14ac:dyDescent="0.2">
      <c r="AF80" s="1060" t="s">
        <v>700</v>
      </c>
      <c r="AG80" s="1060"/>
      <c r="AH80" s="1060">
        <v>200</v>
      </c>
      <c r="AI80" s="1060">
        <v>100</v>
      </c>
      <c r="AJ80" s="1060">
        <v>50</v>
      </c>
      <c r="AK80" s="922"/>
      <c r="AL80" s="922"/>
      <c r="AM80" s="922"/>
      <c r="AN80" s="922"/>
    </row>
    <row r="81" spans="32:40" s="952" customFormat="1" x14ac:dyDescent="0.2">
      <c r="AF81" s="1060"/>
      <c r="AG81" s="1034">
        <f ca="1">'Summary Tables'!$H$14</f>
        <v>0.76744606237382851</v>
      </c>
      <c r="AH81" s="1034">
        <f t="dataTable" ref="AH81:AJ81" dt2D="0" dtr="1" r1="C10" ca="1"/>
        <v>0.67328813553268596</v>
      </c>
      <c r="AI81" s="1034">
        <v>0.76744606237382851</v>
      </c>
      <c r="AJ81" s="1034">
        <v>0.92639946047191568</v>
      </c>
      <c r="AK81" s="922"/>
      <c r="AL81" s="922"/>
      <c r="AM81" s="922"/>
      <c r="AN81" s="922"/>
    </row>
    <row r="82" spans="32:40" s="952" customFormat="1" x14ac:dyDescent="0.2">
      <c r="AF82" s="1057" t="s">
        <v>698</v>
      </c>
      <c r="AG82" s="1057"/>
      <c r="AH82" s="1057">
        <v>200</v>
      </c>
      <c r="AI82" s="1057">
        <v>100</v>
      </c>
      <c r="AJ82" s="1057">
        <v>50</v>
      </c>
      <c r="AK82" s="922"/>
      <c r="AL82" s="922"/>
      <c r="AM82" s="922"/>
      <c r="AN82" s="922"/>
    </row>
    <row r="83" spans="32:40" s="952" customFormat="1" x14ac:dyDescent="0.2">
      <c r="AF83" s="1057"/>
      <c r="AG83" s="1040">
        <f ca="1">'Summary Tables'!$I$14</f>
        <v>0.71680495123617016</v>
      </c>
      <c r="AH83" s="1040">
        <f t="dataTable" ref="AH83:AJ83" dt2D="0" dtr="1" r1="C10" ca="1"/>
        <v>0.63894191106155884</v>
      </c>
      <c r="AI83" s="1040">
        <v>0.71680495123617016</v>
      </c>
      <c r="AJ83" s="1040">
        <v>0.84954539676821117</v>
      </c>
      <c r="AK83" s="922"/>
      <c r="AL83" s="922"/>
      <c r="AM83" s="922"/>
      <c r="AN83" s="922"/>
    </row>
    <row r="84" spans="32:40" s="952" customFormat="1" x14ac:dyDescent="0.2">
      <c r="AF84" s="1060" t="s">
        <v>799</v>
      </c>
      <c r="AG84" s="1060"/>
      <c r="AH84" s="1060">
        <v>200</v>
      </c>
      <c r="AI84" s="1060">
        <v>100</v>
      </c>
      <c r="AJ84" s="1060">
        <v>50</v>
      </c>
      <c r="AK84" s="922"/>
      <c r="AL84" s="922"/>
      <c r="AM84" s="922"/>
      <c r="AN84" s="922"/>
    </row>
    <row r="85" spans="32:40" s="952" customFormat="1" x14ac:dyDescent="0.2">
      <c r="AF85" s="1060"/>
      <c r="AG85" s="1034">
        <f ca="1">'Summary Tables'!$J$14</f>
        <v>1.0133352923374939</v>
      </c>
      <c r="AH85" s="1034">
        <f t="dataTable" ref="AH85:AJ85" dt2D="0" dtr="1" r1="C10" ca="1"/>
        <v>0.9354722485002287</v>
      </c>
      <c r="AI85" s="1034">
        <v>1.0133352923374939</v>
      </c>
      <c r="AJ85" s="1034">
        <v>1.1460757431247739</v>
      </c>
      <c r="AK85" s="922"/>
      <c r="AL85" s="922"/>
      <c r="AM85" s="922"/>
      <c r="AN85" s="922"/>
    </row>
    <row r="86" spans="32:40" s="952" customFormat="1" x14ac:dyDescent="0.2">
      <c r="AF86" s="1057" t="s">
        <v>821</v>
      </c>
      <c r="AG86" s="1057"/>
      <c r="AH86" s="1057">
        <v>200</v>
      </c>
      <c r="AI86" s="1057">
        <v>100</v>
      </c>
      <c r="AJ86" s="1057">
        <v>50</v>
      </c>
      <c r="AK86" s="922"/>
      <c r="AL86" s="922"/>
      <c r="AM86" s="922"/>
      <c r="AN86" s="922"/>
    </row>
    <row r="87" spans="32:40" s="952" customFormat="1" x14ac:dyDescent="0.2">
      <c r="AF87" s="1057"/>
      <c r="AG87" s="1040">
        <f ca="1">'Summary Tables'!$K$14</f>
        <v>1.0447988685991174</v>
      </c>
      <c r="AH87" s="1040">
        <f t="dataTable" ref="AH87:AJ87" dt2D="0" dtr="1" r1="C10" ca="1"/>
        <v>0.91837035246227527</v>
      </c>
      <c r="AI87" s="1040">
        <v>1.0447988685991174</v>
      </c>
      <c r="AJ87" s="1040">
        <v>1.2370103044699547</v>
      </c>
      <c r="AK87" s="922"/>
      <c r="AL87" s="922"/>
      <c r="AM87" s="922"/>
      <c r="AN87" s="922"/>
    </row>
    <row r="88" spans="32:40" s="952" customFormat="1" x14ac:dyDescent="0.2">
      <c r="AF88" s="1060" t="s">
        <v>701</v>
      </c>
      <c r="AG88" s="1060"/>
      <c r="AH88" s="1060">
        <v>200</v>
      </c>
      <c r="AI88" s="1060">
        <v>100</v>
      </c>
      <c r="AJ88" s="1060">
        <v>50</v>
      </c>
      <c r="AK88" s="922"/>
      <c r="AL88" s="922"/>
      <c r="AM88" s="922"/>
      <c r="AN88" s="922"/>
    </row>
    <row r="89" spans="32:40" s="952" customFormat="1" x14ac:dyDescent="0.2">
      <c r="AF89" s="1060"/>
      <c r="AG89" s="1034">
        <f ca="1">'Summary Tables'!$L$14</f>
        <v>1.0561136602781689</v>
      </c>
      <c r="AH89" s="1034">
        <f t="dataTable" ref="AH89:AJ89" dt2D="0" dtr="1" r1="C10" ca="1"/>
        <v>0.93121527502252044</v>
      </c>
      <c r="AI89" s="1034">
        <v>1.0561136602781689</v>
      </c>
      <c r="AJ89" s="1034">
        <v>1.2463883228964971</v>
      </c>
      <c r="AK89" s="922"/>
      <c r="AL89" s="922"/>
      <c r="AM89" s="922"/>
      <c r="AN89" s="922"/>
    </row>
    <row r="90" spans="32:40" s="952" customFormat="1" x14ac:dyDescent="0.2">
      <c r="AF90" s="922"/>
      <c r="AG90" s="922"/>
      <c r="AH90" s="922"/>
      <c r="AI90" s="922"/>
      <c r="AJ90" s="922"/>
      <c r="AK90" s="922"/>
      <c r="AL90" s="922"/>
      <c r="AM90" s="922"/>
      <c r="AN90" s="922"/>
    </row>
    <row r="91" spans="32:40" s="952" customFormat="1" x14ac:dyDescent="0.2">
      <c r="AF91" s="922"/>
      <c r="AG91" s="922"/>
      <c r="AH91" s="922"/>
      <c r="AI91" s="922"/>
      <c r="AJ91" s="922"/>
      <c r="AK91" s="922"/>
      <c r="AL91" s="922"/>
      <c r="AM91" s="922"/>
      <c r="AN91" s="922"/>
    </row>
    <row r="92" spans="32:40" s="952" customFormat="1" x14ac:dyDescent="0.2">
      <c r="AF92" s="1024" t="s">
        <v>537</v>
      </c>
      <c r="AG92" s="926"/>
      <c r="AH92" s="926"/>
      <c r="AI92" s="926"/>
      <c r="AJ92" s="922"/>
      <c r="AK92" s="922"/>
      <c r="AL92" s="922"/>
      <c r="AM92" s="922"/>
      <c r="AN92" s="922"/>
    </row>
    <row r="93" spans="32:40" s="952" customFormat="1" x14ac:dyDescent="0.2">
      <c r="AF93" s="1025"/>
      <c r="AG93" s="1026" t="s">
        <v>531</v>
      </c>
      <c r="AH93" s="1026" t="s">
        <v>532</v>
      </c>
      <c r="AI93" s="1027" t="s">
        <v>533</v>
      </c>
      <c r="AJ93" s="922"/>
      <c r="AK93" s="922"/>
      <c r="AL93" s="922"/>
      <c r="AM93" s="922"/>
      <c r="AN93" s="922"/>
    </row>
    <row r="94" spans="32:40" s="952" customFormat="1" x14ac:dyDescent="0.2">
      <c r="AF94" s="1029" t="s">
        <v>285</v>
      </c>
      <c r="AG94" s="1030" t="s">
        <v>535</v>
      </c>
      <c r="AH94" s="1031" t="s">
        <v>536</v>
      </c>
      <c r="AI94" s="1032" t="s">
        <v>534</v>
      </c>
      <c r="AJ94" s="922"/>
      <c r="AK94" s="922"/>
      <c r="AL94" s="922"/>
      <c r="AM94" s="922"/>
      <c r="AN94" s="922"/>
    </row>
    <row r="95" spans="32:40" s="952" customFormat="1" x14ac:dyDescent="0.2">
      <c r="AF95" s="1033" t="s">
        <v>867</v>
      </c>
      <c r="AG95" s="1034">
        <f>AH75</f>
        <v>0.60483599312375569</v>
      </c>
      <c r="AH95" s="1034">
        <f t="shared" ref="AH95:AI95" si="0">AI75</f>
        <v>0.68187109818006619</v>
      </c>
      <c r="AI95" s="1546">
        <f t="shared" si="0"/>
        <v>0.8124328445314517</v>
      </c>
      <c r="AJ95" s="922"/>
      <c r="AK95" s="922"/>
      <c r="AL95" s="922"/>
      <c r="AM95" s="922"/>
      <c r="AN95" s="922"/>
    </row>
    <row r="96" spans="32:40" s="952" customFormat="1" x14ac:dyDescent="0.2">
      <c r="AF96" s="1039" t="s">
        <v>699</v>
      </c>
      <c r="AG96" s="1040">
        <f>AH77</f>
        <v>0.56137408716043946</v>
      </c>
      <c r="AH96" s="1040">
        <f t="shared" ref="AH96:AI96" si="1">AI77</f>
        <v>0.63608976560445862</v>
      </c>
      <c r="AI96" s="1041">
        <f t="shared" si="1"/>
        <v>0.76219397031054381</v>
      </c>
      <c r="AJ96" s="922"/>
      <c r="AK96" s="922"/>
      <c r="AL96" s="922"/>
      <c r="AM96" s="922"/>
      <c r="AN96" s="922"/>
    </row>
    <row r="97" spans="32:40" s="952" customFormat="1" x14ac:dyDescent="0.2">
      <c r="AF97" s="1033" t="s">
        <v>854</v>
      </c>
      <c r="AG97" s="1034">
        <f>AH79</f>
        <v>0.8221418772518122</v>
      </c>
      <c r="AH97" s="1034">
        <f t="shared" ref="AH97:AI97" si="2">AI79</f>
        <v>0.89833258408233352</v>
      </c>
      <c r="AI97" s="1546">
        <f t="shared" si="2"/>
        <v>1.027693364617617</v>
      </c>
      <c r="AJ97" s="922"/>
      <c r="AK97" s="922"/>
      <c r="AL97" s="922"/>
      <c r="AM97" s="922"/>
      <c r="AN97" s="922"/>
    </row>
    <row r="98" spans="32:40" s="952" customFormat="1" x14ac:dyDescent="0.2">
      <c r="AF98" s="1039" t="s">
        <v>700</v>
      </c>
      <c r="AG98" s="1040">
        <f>AH81</f>
        <v>0.67328813553268596</v>
      </c>
      <c r="AH98" s="1040">
        <f t="shared" ref="AH98:AI98" si="3">AI81</f>
        <v>0.76744606237382851</v>
      </c>
      <c r="AI98" s="1041">
        <f t="shared" si="3"/>
        <v>0.92639946047191568</v>
      </c>
      <c r="AJ98" s="922"/>
      <c r="AK98" s="922"/>
      <c r="AL98" s="922"/>
      <c r="AM98" s="922"/>
      <c r="AN98" s="922"/>
    </row>
    <row r="99" spans="32:40" s="952" customFormat="1" x14ac:dyDescent="0.2">
      <c r="AF99" s="1033" t="s">
        <v>698</v>
      </c>
      <c r="AG99" s="1034">
        <f>AH83</f>
        <v>0.63894191106155884</v>
      </c>
      <c r="AH99" s="1034">
        <f t="shared" ref="AH99:AI99" si="4">AI83</f>
        <v>0.71680495123617016</v>
      </c>
      <c r="AI99" s="1546">
        <f t="shared" si="4"/>
        <v>0.84954539676821117</v>
      </c>
      <c r="AJ99" s="922"/>
      <c r="AK99" s="922"/>
      <c r="AL99" s="922"/>
      <c r="AM99" s="922"/>
      <c r="AN99" s="922"/>
    </row>
    <row r="100" spans="32:40" s="952" customFormat="1" x14ac:dyDescent="0.2">
      <c r="AF100" s="1039" t="s">
        <v>799</v>
      </c>
      <c r="AG100" s="1040">
        <f>AH85</f>
        <v>0.9354722485002287</v>
      </c>
      <c r="AH100" s="1040">
        <f t="shared" ref="AH100:AI100" si="5">AI85</f>
        <v>1.0133352923374939</v>
      </c>
      <c r="AI100" s="1041">
        <f t="shared" si="5"/>
        <v>1.1460757431247739</v>
      </c>
      <c r="AJ100" s="922"/>
      <c r="AK100" s="922"/>
      <c r="AL100" s="922"/>
      <c r="AM100" s="922"/>
      <c r="AN100" s="922"/>
    </row>
    <row r="101" spans="32:40" s="952" customFormat="1" x14ac:dyDescent="0.2">
      <c r="AF101" s="1033" t="s">
        <v>821</v>
      </c>
      <c r="AG101" s="1034">
        <f>AH87</f>
        <v>0.91837035246227527</v>
      </c>
      <c r="AH101" s="1034">
        <f t="shared" ref="AH101:AI101" si="6">AI87</f>
        <v>1.0447988685991174</v>
      </c>
      <c r="AI101" s="1546">
        <f t="shared" si="6"/>
        <v>1.2370103044699547</v>
      </c>
      <c r="AJ101" s="922"/>
      <c r="AK101" s="922"/>
      <c r="AL101" s="922"/>
      <c r="AM101" s="922"/>
      <c r="AN101" s="922"/>
    </row>
    <row r="102" spans="32:40" s="952" customFormat="1" x14ac:dyDescent="0.2">
      <c r="AF102" s="1042" t="s">
        <v>701</v>
      </c>
      <c r="AG102" s="1043">
        <f>AH89</f>
        <v>0.93121527502252044</v>
      </c>
      <c r="AH102" s="1043">
        <f t="shared" ref="AH102:AI102" si="7">AI89</f>
        <v>1.0561136602781689</v>
      </c>
      <c r="AI102" s="1044">
        <f t="shared" si="7"/>
        <v>1.2463883228964971</v>
      </c>
      <c r="AJ102" s="922"/>
      <c r="AK102" s="922"/>
      <c r="AL102" s="922"/>
      <c r="AM102" s="922"/>
      <c r="AN102" s="922"/>
    </row>
    <row r="103" spans="32:40" s="952" customFormat="1" x14ac:dyDescent="0.2"/>
    <row r="104" spans="32:40" s="952" customFormat="1" x14ac:dyDescent="0.2"/>
    <row r="105" spans="32:40" s="952" customFormat="1" x14ac:dyDescent="0.2"/>
    <row r="106" spans="32:40" s="952" customFormat="1" x14ac:dyDescent="0.2"/>
    <row r="107" spans="32:40" s="952" customFormat="1" x14ac:dyDescent="0.2"/>
    <row r="108" spans="32:40" s="952" customFormat="1" x14ac:dyDescent="0.2"/>
    <row r="109" spans="32:40" s="952" customFormat="1" x14ac:dyDescent="0.2"/>
    <row r="110" spans="32:40" s="952" customFormat="1" x14ac:dyDescent="0.2"/>
    <row r="111" spans="32:40" s="952" customFormat="1" x14ac:dyDescent="0.2"/>
    <row r="112" spans="32:40" s="952" customFormat="1" x14ac:dyDescent="0.2"/>
    <row r="113" s="952" customFormat="1" x14ac:dyDescent="0.2"/>
    <row r="114" s="952" customFormat="1" x14ac:dyDescent="0.2"/>
    <row r="115" s="952" customFormat="1" x14ac:dyDescent="0.2"/>
    <row r="116" s="952" customFormat="1" x14ac:dyDescent="0.2"/>
    <row r="117" s="952" customFormat="1" x14ac:dyDescent="0.2"/>
    <row r="118" s="952" customFormat="1" x14ac:dyDescent="0.2"/>
    <row r="119" s="952" customFormat="1" x14ac:dyDescent="0.2"/>
    <row r="120" s="952" customFormat="1" x14ac:dyDescent="0.2"/>
    <row r="121" s="952" customFormat="1" x14ac:dyDescent="0.2"/>
    <row r="122" s="952" customFormat="1" x14ac:dyDescent="0.2"/>
    <row r="123" s="952" customFormat="1" x14ac:dyDescent="0.2"/>
    <row r="124" s="952" customFormat="1" x14ac:dyDescent="0.2"/>
    <row r="125" s="952" customFormat="1" x14ac:dyDescent="0.2"/>
    <row r="126" s="952" customFormat="1" x14ac:dyDescent="0.2"/>
    <row r="127" s="952" customFormat="1" x14ac:dyDescent="0.2"/>
    <row r="128" s="952" customFormat="1" x14ac:dyDescent="0.2"/>
    <row r="129" s="952" customFormat="1" x14ac:dyDescent="0.2"/>
    <row r="130" s="952" customFormat="1" x14ac:dyDescent="0.2"/>
    <row r="131" s="952" customFormat="1" x14ac:dyDescent="0.2"/>
    <row r="132" s="952" customFormat="1" x14ac:dyDescent="0.2"/>
    <row r="133" s="952" customFormat="1" x14ac:dyDescent="0.2"/>
    <row r="134" s="952" customFormat="1" x14ac:dyDescent="0.2"/>
    <row r="135" s="952" customFormat="1" x14ac:dyDescent="0.2"/>
    <row r="136" s="952" customFormat="1" x14ac:dyDescent="0.2"/>
    <row r="137" s="952" customFormat="1" x14ac:dyDescent="0.2"/>
    <row r="138" s="952" customFormat="1" x14ac:dyDescent="0.2"/>
    <row r="139" s="952" customFormat="1" x14ac:dyDescent="0.2"/>
    <row r="140" s="952" customFormat="1" x14ac:dyDescent="0.2"/>
    <row r="141" s="952" customFormat="1" x14ac:dyDescent="0.2"/>
    <row r="142" s="952" customFormat="1" x14ac:dyDescent="0.2"/>
    <row r="143" s="952" customFormat="1" x14ac:dyDescent="0.2"/>
    <row r="144" s="952" customFormat="1" x14ac:dyDescent="0.2"/>
    <row r="145" s="952" customFormat="1" x14ac:dyDescent="0.2"/>
    <row r="146" s="952" customFormat="1" x14ac:dyDescent="0.2"/>
    <row r="147" s="952" customFormat="1" x14ac:dyDescent="0.2"/>
    <row r="148" s="952" customFormat="1" x14ac:dyDescent="0.2"/>
    <row r="149" s="952" customFormat="1" x14ac:dyDescent="0.2"/>
    <row r="150" s="952" customFormat="1" x14ac:dyDescent="0.2"/>
    <row r="151" s="952" customFormat="1" x14ac:dyDescent="0.2"/>
    <row r="152" s="952" customFormat="1" x14ac:dyDescent="0.2"/>
    <row r="153" s="952" customFormat="1" x14ac:dyDescent="0.2"/>
    <row r="154" s="952" customFormat="1" x14ac:dyDescent="0.2"/>
    <row r="155" s="952" customFormat="1" x14ac:dyDescent="0.2"/>
    <row r="156" s="952" customFormat="1" x14ac:dyDescent="0.2"/>
    <row r="157" s="952" customFormat="1" x14ac:dyDescent="0.2"/>
    <row r="158" s="952" customFormat="1" x14ac:dyDescent="0.2"/>
    <row r="159" s="952" customFormat="1" x14ac:dyDescent="0.2"/>
    <row r="160" s="952" customFormat="1" x14ac:dyDescent="0.2"/>
    <row r="161" s="952" customFormat="1" x14ac:dyDescent="0.2"/>
    <row r="162" s="952" customFormat="1" x14ac:dyDescent="0.2"/>
    <row r="163" s="952" customFormat="1" x14ac:dyDescent="0.2"/>
    <row r="164" s="952" customFormat="1" x14ac:dyDescent="0.2"/>
    <row r="165" s="952" customFormat="1" x14ac:dyDescent="0.2"/>
    <row r="166" s="952" customFormat="1" x14ac:dyDescent="0.2"/>
    <row r="167" s="952" customFormat="1" x14ac:dyDescent="0.2"/>
    <row r="168" s="952" customFormat="1" x14ac:dyDescent="0.2"/>
    <row r="169" s="952" customFormat="1" x14ac:dyDescent="0.2"/>
    <row r="170" s="952" customFormat="1" x14ac:dyDescent="0.2"/>
    <row r="171" s="952" customFormat="1" x14ac:dyDescent="0.2"/>
    <row r="172" s="952" customFormat="1" x14ac:dyDescent="0.2"/>
    <row r="173" s="952" customFormat="1" x14ac:dyDescent="0.2"/>
    <row r="174" s="952" customFormat="1" x14ac:dyDescent="0.2"/>
    <row r="175" s="952" customFormat="1" x14ac:dyDescent="0.2"/>
    <row r="176" s="952" customFormat="1" x14ac:dyDescent="0.2"/>
    <row r="177" s="952" customFormat="1" x14ac:dyDescent="0.2"/>
    <row r="178" s="952" customFormat="1" x14ac:dyDescent="0.2"/>
    <row r="179" s="952" customFormat="1" x14ac:dyDescent="0.2"/>
    <row r="180" s="952" customFormat="1" x14ac:dyDescent="0.2"/>
    <row r="181" s="952" customFormat="1" x14ac:dyDescent="0.2"/>
    <row r="182" s="952" customFormat="1" x14ac:dyDescent="0.2"/>
    <row r="183" s="952" customFormat="1" x14ac:dyDescent="0.2"/>
    <row r="184" s="952" customFormat="1" x14ac:dyDescent="0.2"/>
    <row r="185" s="952" customFormat="1" x14ac:dyDescent="0.2"/>
    <row r="186" s="952" customFormat="1" x14ac:dyDescent="0.2"/>
    <row r="187" s="952" customFormat="1" x14ac:dyDescent="0.2"/>
    <row r="188" s="952" customFormat="1" x14ac:dyDescent="0.2"/>
    <row r="189" s="952" customFormat="1" x14ac:dyDescent="0.2"/>
    <row r="190" s="952" customFormat="1" x14ac:dyDescent="0.2"/>
    <row r="191" s="952" customFormat="1" x14ac:dyDescent="0.2"/>
    <row r="192" s="952" customFormat="1" x14ac:dyDescent="0.2"/>
    <row r="193" s="952" customFormat="1" x14ac:dyDescent="0.2"/>
    <row r="194" s="952" customFormat="1" x14ac:dyDescent="0.2"/>
    <row r="195" s="952" customFormat="1" x14ac:dyDescent="0.2"/>
    <row r="196" s="952" customFormat="1" x14ac:dyDescent="0.2"/>
    <row r="197" s="952" customFormat="1" x14ac:dyDescent="0.2"/>
    <row r="198" s="952" customFormat="1" x14ac:dyDescent="0.2"/>
    <row r="199" s="952" customFormat="1" x14ac:dyDescent="0.2"/>
    <row r="200" s="952" customFormat="1" x14ac:dyDescent="0.2"/>
    <row r="201" s="952" customFormat="1" x14ac:dyDescent="0.2"/>
    <row r="202" s="952" customFormat="1" x14ac:dyDescent="0.2"/>
    <row r="203" s="952" customFormat="1" x14ac:dyDescent="0.2"/>
    <row r="204" s="952" customFormat="1" x14ac:dyDescent="0.2"/>
    <row r="205" s="952" customFormat="1" x14ac:dyDescent="0.2"/>
    <row r="206" s="952" customFormat="1" x14ac:dyDescent="0.2"/>
    <row r="207" s="952" customFormat="1" x14ac:dyDescent="0.2"/>
    <row r="208" s="952" customFormat="1" x14ac:dyDescent="0.2"/>
    <row r="209" s="952" customFormat="1" x14ac:dyDescent="0.2"/>
    <row r="210" s="952" customFormat="1" x14ac:dyDescent="0.2"/>
    <row r="211" s="952" customFormat="1" x14ac:dyDescent="0.2"/>
    <row r="212" s="952" customFormat="1" x14ac:dyDescent="0.2"/>
    <row r="213" s="952" customFormat="1" x14ac:dyDescent="0.2"/>
    <row r="214" s="952" customFormat="1" x14ac:dyDescent="0.2"/>
    <row r="215" s="952" customFormat="1" x14ac:dyDescent="0.2"/>
    <row r="216" s="952" customFormat="1" x14ac:dyDescent="0.2"/>
    <row r="217" s="952" customFormat="1" x14ac:dyDescent="0.2"/>
    <row r="218" s="952" customFormat="1" x14ac:dyDescent="0.2"/>
    <row r="219" s="952" customFormat="1" x14ac:dyDescent="0.2"/>
    <row r="220" s="952" customFormat="1" x14ac:dyDescent="0.2"/>
    <row r="221" s="952" customFormat="1" x14ac:dyDescent="0.2"/>
    <row r="222" s="952" customFormat="1" x14ac:dyDescent="0.2"/>
    <row r="223" s="952" customFormat="1" x14ac:dyDescent="0.2"/>
    <row r="224" s="952" customFormat="1" x14ac:dyDescent="0.2"/>
    <row r="225" spans="32:40" s="952" customFormat="1" x14ac:dyDescent="0.2"/>
    <row r="226" spans="32:40" s="952" customFormat="1" x14ac:dyDescent="0.2"/>
    <row r="227" spans="32:40" s="952" customFormat="1" x14ac:dyDescent="0.2"/>
    <row r="228" spans="32:40" s="952" customFormat="1" x14ac:dyDescent="0.2"/>
    <row r="229" spans="32:40" s="952" customFormat="1" x14ac:dyDescent="0.2"/>
    <row r="230" spans="32:40" s="952" customFormat="1" x14ac:dyDescent="0.2"/>
    <row r="231" spans="32:40" s="952" customFormat="1" x14ac:dyDescent="0.2"/>
    <row r="232" spans="32:40" x14ac:dyDescent="0.2">
      <c r="AF232" s="952"/>
      <c r="AG232" s="952"/>
      <c r="AH232" s="952"/>
      <c r="AI232" s="952"/>
      <c r="AJ232" s="952"/>
      <c r="AK232" s="952"/>
      <c r="AL232" s="952"/>
      <c r="AM232" s="952"/>
      <c r="AN232" s="952"/>
    </row>
    <row r="233" spans="32:40" x14ac:dyDescent="0.2">
      <c r="AF233" s="952"/>
      <c r="AG233" s="952"/>
      <c r="AH233" s="952"/>
      <c r="AI233" s="952"/>
      <c r="AJ233" s="952"/>
      <c r="AK233" s="952"/>
      <c r="AL233" s="952"/>
      <c r="AM233" s="952"/>
      <c r="AN233" s="952"/>
    </row>
    <row r="234" spans="32:40" x14ac:dyDescent="0.2">
      <c r="AF234" s="952"/>
      <c r="AG234" s="952"/>
      <c r="AH234" s="952"/>
      <c r="AI234" s="952"/>
      <c r="AJ234" s="952"/>
      <c r="AK234" s="952"/>
      <c r="AL234" s="952"/>
      <c r="AM234" s="952"/>
      <c r="AN234" s="952"/>
    </row>
    <row r="235" spans="32:40" x14ac:dyDescent="0.2">
      <c r="AF235" s="952"/>
      <c r="AG235" s="952"/>
      <c r="AH235" s="952"/>
      <c r="AI235" s="952"/>
      <c r="AJ235" s="952"/>
      <c r="AK235" s="952"/>
      <c r="AL235" s="952"/>
      <c r="AM235" s="952"/>
      <c r="AN235" s="952"/>
    </row>
    <row r="236" spans="32:40" x14ac:dyDescent="0.2">
      <c r="AF236" s="952"/>
      <c r="AG236" s="952"/>
      <c r="AH236" s="952"/>
      <c r="AI236" s="952"/>
      <c r="AJ236" s="952"/>
      <c r="AK236" s="952"/>
      <c r="AL236" s="952"/>
      <c r="AM236" s="952"/>
      <c r="AN236" s="952"/>
    </row>
    <row r="237" spans="32:40" x14ac:dyDescent="0.2">
      <c r="AF237" s="952"/>
      <c r="AG237" s="952"/>
      <c r="AH237" s="952"/>
      <c r="AI237" s="952"/>
      <c r="AJ237" s="952"/>
      <c r="AK237" s="952"/>
      <c r="AL237" s="952"/>
      <c r="AM237" s="952"/>
      <c r="AN237" s="952"/>
    </row>
    <row r="238" spans="32:40" x14ac:dyDescent="0.2">
      <c r="AF238" s="952"/>
      <c r="AG238" s="952"/>
      <c r="AH238" s="952"/>
      <c r="AI238" s="952"/>
      <c r="AJ238" s="952"/>
      <c r="AK238" s="952"/>
      <c r="AL238" s="952"/>
      <c r="AM238" s="952"/>
      <c r="AN238" s="952"/>
    </row>
    <row r="239" spans="32:40" x14ac:dyDescent="0.2">
      <c r="AF239" s="952"/>
      <c r="AG239" s="952"/>
      <c r="AH239" s="952"/>
      <c r="AI239" s="952"/>
      <c r="AJ239" s="952"/>
      <c r="AK239" s="952"/>
      <c r="AL239" s="952"/>
      <c r="AM239" s="952"/>
      <c r="AN239" s="952"/>
    </row>
    <row r="240" spans="32:40" x14ac:dyDescent="0.2">
      <c r="AF240" s="952"/>
      <c r="AG240" s="952"/>
      <c r="AH240" s="952"/>
      <c r="AI240" s="952"/>
      <c r="AJ240" s="952"/>
      <c r="AK240" s="952"/>
      <c r="AL240" s="952"/>
      <c r="AM240" s="952"/>
      <c r="AN240" s="952"/>
    </row>
    <row r="241" spans="32:40" x14ac:dyDescent="0.2">
      <c r="AF241" s="952"/>
      <c r="AG241" s="952"/>
      <c r="AH241" s="952"/>
      <c r="AI241" s="952"/>
      <c r="AJ241" s="952"/>
      <c r="AK241" s="952"/>
      <c r="AL241" s="952"/>
      <c r="AM241" s="952"/>
      <c r="AN241" s="952"/>
    </row>
    <row r="242" spans="32:40" x14ac:dyDescent="0.2">
      <c r="AF242" s="952"/>
      <c r="AG242" s="952"/>
      <c r="AH242" s="952"/>
      <c r="AI242" s="952"/>
      <c r="AJ242" s="952"/>
      <c r="AK242" s="952"/>
      <c r="AL242" s="952"/>
      <c r="AM242" s="952"/>
      <c r="AN242" s="952"/>
    </row>
    <row r="243" spans="32:40" x14ac:dyDescent="0.2">
      <c r="AF243" s="952"/>
      <c r="AG243" s="952"/>
      <c r="AH243" s="952"/>
      <c r="AI243" s="952"/>
      <c r="AJ243" s="952"/>
      <c r="AK243" s="952"/>
      <c r="AL243" s="952"/>
      <c r="AM243" s="952"/>
      <c r="AN243" s="952"/>
    </row>
    <row r="244" spans="32:40" x14ac:dyDescent="0.2">
      <c r="AF244" s="952"/>
      <c r="AG244" s="952"/>
      <c r="AH244" s="952"/>
      <c r="AI244" s="952"/>
      <c r="AJ244" s="952"/>
      <c r="AK244" s="952"/>
      <c r="AL244" s="952"/>
      <c r="AM244" s="952"/>
      <c r="AN244" s="952"/>
    </row>
    <row r="245" spans="32:40" x14ac:dyDescent="0.2">
      <c r="AF245" s="952"/>
      <c r="AG245" s="952"/>
      <c r="AH245" s="952"/>
      <c r="AI245" s="952"/>
      <c r="AJ245" s="952"/>
      <c r="AK245" s="952"/>
      <c r="AL245" s="952"/>
      <c r="AM245" s="952"/>
      <c r="AN245" s="952"/>
    </row>
    <row r="246" spans="32:40" x14ac:dyDescent="0.2">
      <c r="AF246" s="952"/>
      <c r="AG246" s="952"/>
      <c r="AH246" s="952"/>
      <c r="AI246" s="952"/>
      <c r="AJ246" s="952"/>
      <c r="AK246" s="952"/>
      <c r="AL246" s="952"/>
      <c r="AM246" s="952"/>
      <c r="AN246" s="952"/>
    </row>
    <row r="247" spans="32:40" x14ac:dyDescent="0.2">
      <c r="AF247" s="952"/>
      <c r="AG247" s="952"/>
      <c r="AH247" s="952"/>
      <c r="AI247" s="952"/>
      <c r="AJ247" s="952"/>
      <c r="AK247" s="952"/>
      <c r="AL247" s="952"/>
      <c r="AM247" s="952"/>
      <c r="AN247" s="952"/>
    </row>
    <row r="248" spans="32:40" x14ac:dyDescent="0.2">
      <c r="AF248" s="952"/>
      <c r="AG248" s="952"/>
      <c r="AH248" s="952"/>
      <c r="AI248" s="952"/>
      <c r="AJ248" s="952"/>
      <c r="AK248" s="952"/>
      <c r="AL248" s="952"/>
      <c r="AM248" s="952"/>
      <c r="AN248" s="952"/>
    </row>
    <row r="249" spans="32:40" x14ac:dyDescent="0.2">
      <c r="AF249" s="952"/>
      <c r="AG249" s="952"/>
      <c r="AH249" s="952"/>
      <c r="AI249" s="952"/>
      <c r="AJ249" s="952"/>
      <c r="AK249" s="952"/>
      <c r="AL249" s="952"/>
      <c r="AM249" s="952"/>
      <c r="AN249" s="952"/>
    </row>
    <row r="250" spans="32:40" x14ac:dyDescent="0.2">
      <c r="AF250" s="952"/>
      <c r="AG250" s="952"/>
      <c r="AH250" s="952"/>
      <c r="AI250" s="952"/>
      <c r="AJ250" s="952"/>
      <c r="AK250" s="952"/>
      <c r="AL250" s="952"/>
      <c r="AM250" s="952"/>
      <c r="AN250" s="952"/>
    </row>
    <row r="251" spans="32:40" x14ac:dyDescent="0.2">
      <c r="AF251" s="952"/>
      <c r="AG251" s="952"/>
      <c r="AH251" s="952"/>
      <c r="AI251" s="952"/>
      <c r="AJ251" s="952"/>
      <c r="AK251" s="952"/>
      <c r="AL251" s="952"/>
      <c r="AM251" s="952"/>
      <c r="AN251" s="952"/>
    </row>
    <row r="252" spans="32:40" x14ac:dyDescent="0.2">
      <c r="AF252" s="952"/>
      <c r="AG252" s="952"/>
      <c r="AH252" s="952"/>
      <c r="AI252" s="952"/>
      <c r="AJ252" s="952"/>
      <c r="AK252" s="952"/>
      <c r="AL252" s="952"/>
      <c r="AM252" s="952"/>
      <c r="AN252" s="952"/>
    </row>
    <row r="253" spans="32:40" x14ac:dyDescent="0.2">
      <c r="AF253" s="952"/>
      <c r="AG253" s="952"/>
      <c r="AH253" s="952"/>
      <c r="AI253" s="952"/>
      <c r="AJ253" s="952"/>
      <c r="AK253" s="952"/>
      <c r="AL253" s="952"/>
      <c r="AM253" s="952"/>
      <c r="AN253" s="952"/>
    </row>
    <row r="254" spans="32:40" x14ac:dyDescent="0.2">
      <c r="AF254" s="952"/>
      <c r="AG254" s="952"/>
      <c r="AH254" s="952"/>
      <c r="AI254" s="952"/>
      <c r="AJ254" s="952"/>
      <c r="AK254" s="952"/>
      <c r="AL254" s="952"/>
      <c r="AM254" s="952"/>
      <c r="AN254" s="952"/>
    </row>
    <row r="255" spans="32:40" x14ac:dyDescent="0.2">
      <c r="AF255" s="952"/>
      <c r="AG255" s="952"/>
      <c r="AH255" s="952"/>
      <c r="AI255" s="952"/>
      <c r="AJ255" s="952"/>
      <c r="AK255" s="952"/>
      <c r="AL255" s="952"/>
      <c r="AM255" s="952"/>
      <c r="AN255" s="952"/>
    </row>
    <row r="256" spans="32:40" x14ac:dyDescent="0.2">
      <c r="AF256" s="952"/>
      <c r="AG256" s="952"/>
      <c r="AH256" s="952"/>
      <c r="AI256" s="952"/>
      <c r="AJ256" s="952"/>
      <c r="AK256" s="952"/>
      <c r="AL256" s="952"/>
      <c r="AM256" s="952"/>
      <c r="AN256" s="952"/>
    </row>
    <row r="257" spans="32:40" x14ac:dyDescent="0.2">
      <c r="AF257" s="952"/>
      <c r="AG257" s="952"/>
      <c r="AH257" s="952"/>
      <c r="AI257" s="952"/>
      <c r="AJ257" s="952"/>
      <c r="AK257" s="952"/>
      <c r="AL257" s="952"/>
      <c r="AM257" s="952"/>
      <c r="AN257" s="952"/>
    </row>
    <row r="258" spans="32:40" x14ac:dyDescent="0.2">
      <c r="AF258" s="952"/>
      <c r="AG258" s="952"/>
      <c r="AH258" s="952"/>
      <c r="AI258" s="952"/>
      <c r="AJ258" s="952"/>
      <c r="AK258" s="952"/>
      <c r="AL258" s="952"/>
      <c r="AM258" s="952"/>
      <c r="AN258" s="952"/>
    </row>
    <row r="259" spans="32:40" x14ac:dyDescent="0.2">
      <c r="AF259" s="952"/>
      <c r="AG259" s="952"/>
      <c r="AH259" s="952"/>
      <c r="AI259" s="952"/>
      <c r="AJ259" s="952"/>
      <c r="AK259" s="952"/>
      <c r="AL259" s="952"/>
      <c r="AM259" s="952"/>
      <c r="AN259" s="952"/>
    </row>
    <row r="260" spans="32:40" x14ac:dyDescent="0.2">
      <c r="AF260" s="952"/>
      <c r="AG260" s="952"/>
      <c r="AH260" s="952"/>
      <c r="AI260" s="952"/>
      <c r="AJ260" s="952"/>
      <c r="AK260" s="952"/>
      <c r="AL260" s="952"/>
      <c r="AM260" s="952"/>
      <c r="AN260" s="952"/>
    </row>
    <row r="261" spans="32:40" x14ac:dyDescent="0.2">
      <c r="AF261" s="952"/>
      <c r="AG261" s="952"/>
      <c r="AH261" s="952"/>
      <c r="AI261" s="952"/>
      <c r="AJ261" s="952"/>
      <c r="AK261" s="952"/>
      <c r="AL261" s="952"/>
      <c r="AM261" s="952"/>
      <c r="AN261" s="952"/>
    </row>
    <row r="262" spans="32:40" x14ac:dyDescent="0.2">
      <c r="AF262" s="952"/>
      <c r="AG262" s="952"/>
      <c r="AH262" s="952"/>
      <c r="AI262" s="952"/>
      <c r="AJ262" s="952"/>
      <c r="AK262" s="952"/>
      <c r="AL262" s="952"/>
      <c r="AM262" s="952"/>
      <c r="AN262" s="952"/>
    </row>
    <row r="263" spans="32:40" x14ac:dyDescent="0.2">
      <c r="AF263" s="952"/>
      <c r="AG263" s="952"/>
      <c r="AH263" s="952"/>
      <c r="AI263" s="952"/>
      <c r="AJ263" s="952"/>
      <c r="AK263" s="952"/>
      <c r="AL263" s="952"/>
      <c r="AM263" s="952"/>
      <c r="AN263" s="952"/>
    </row>
    <row r="264" spans="32:40" x14ac:dyDescent="0.2">
      <c r="AF264" s="952"/>
      <c r="AG264" s="952"/>
      <c r="AH264" s="952"/>
      <c r="AI264" s="952"/>
      <c r="AJ264" s="952"/>
      <c r="AK264" s="952"/>
      <c r="AL264" s="952"/>
      <c r="AM264" s="952"/>
      <c r="AN264" s="952"/>
    </row>
    <row r="265" spans="32:40" x14ac:dyDescent="0.2">
      <c r="AF265" s="952"/>
      <c r="AG265" s="952"/>
      <c r="AH265" s="952"/>
      <c r="AI265" s="952"/>
      <c r="AJ265" s="952"/>
      <c r="AK265" s="952"/>
      <c r="AL265" s="952"/>
      <c r="AM265" s="952"/>
      <c r="AN265" s="952"/>
    </row>
    <row r="266" spans="32:40" x14ac:dyDescent="0.2">
      <c r="AF266" s="952"/>
      <c r="AG266" s="952"/>
      <c r="AH266" s="952"/>
      <c r="AI266" s="952"/>
      <c r="AJ266" s="952"/>
      <c r="AK266" s="952"/>
      <c r="AL266" s="952"/>
      <c r="AM266" s="952"/>
      <c r="AN266" s="952"/>
    </row>
    <row r="267" spans="32:40" x14ac:dyDescent="0.2">
      <c r="AF267" s="952"/>
      <c r="AG267" s="952"/>
      <c r="AH267" s="952"/>
      <c r="AI267" s="952"/>
      <c r="AJ267" s="952"/>
      <c r="AK267" s="952"/>
      <c r="AL267" s="952"/>
      <c r="AM267" s="952"/>
      <c r="AN267" s="952"/>
    </row>
    <row r="268" spans="32:40" x14ac:dyDescent="0.2">
      <c r="AF268" s="952"/>
      <c r="AG268" s="952"/>
      <c r="AH268" s="952"/>
      <c r="AI268" s="952"/>
      <c r="AJ268" s="952"/>
      <c r="AK268" s="952"/>
      <c r="AL268" s="952"/>
      <c r="AM268" s="952"/>
      <c r="AN268" s="952"/>
    </row>
    <row r="269" spans="32:40" x14ac:dyDescent="0.2">
      <c r="AF269" s="952"/>
      <c r="AG269" s="952"/>
      <c r="AH269" s="952"/>
      <c r="AI269" s="952"/>
      <c r="AJ269" s="952"/>
      <c r="AK269" s="952"/>
      <c r="AL269" s="952"/>
      <c r="AM269" s="952"/>
      <c r="AN269" s="952"/>
    </row>
    <row r="270" spans="32:40" x14ac:dyDescent="0.2">
      <c r="AF270" s="952"/>
      <c r="AG270" s="952"/>
      <c r="AH270" s="952"/>
      <c r="AI270" s="952"/>
      <c r="AJ270" s="952"/>
      <c r="AK270" s="952"/>
      <c r="AL270" s="952"/>
      <c r="AM270" s="952"/>
      <c r="AN270" s="952"/>
    </row>
    <row r="271" spans="32:40" x14ac:dyDescent="0.2">
      <c r="AF271" s="952"/>
      <c r="AG271" s="952"/>
      <c r="AH271" s="952"/>
      <c r="AI271" s="952"/>
      <c r="AJ271" s="952"/>
      <c r="AK271" s="952"/>
      <c r="AL271" s="952"/>
      <c r="AM271" s="952"/>
      <c r="AN271" s="952"/>
    </row>
    <row r="272" spans="32:40" x14ac:dyDescent="0.2">
      <c r="AF272" s="952"/>
      <c r="AG272" s="952"/>
      <c r="AH272" s="952"/>
      <c r="AI272" s="952"/>
      <c r="AJ272" s="952"/>
      <c r="AK272" s="952"/>
      <c r="AL272" s="952"/>
      <c r="AM272" s="952"/>
      <c r="AN272" s="952"/>
    </row>
    <row r="273" spans="32:40" x14ac:dyDescent="0.2">
      <c r="AF273" s="952"/>
      <c r="AG273" s="952"/>
      <c r="AH273" s="952"/>
      <c r="AI273" s="952"/>
      <c r="AJ273" s="952"/>
      <c r="AK273" s="952"/>
      <c r="AL273" s="952"/>
      <c r="AM273" s="952"/>
      <c r="AN273" s="952"/>
    </row>
    <row r="274" spans="32:40" x14ac:dyDescent="0.2">
      <c r="AF274" s="952"/>
      <c r="AG274" s="952"/>
      <c r="AH274" s="952"/>
      <c r="AI274" s="952"/>
      <c r="AJ274" s="952"/>
      <c r="AK274" s="952"/>
      <c r="AL274" s="952"/>
      <c r="AM274" s="952"/>
      <c r="AN274" s="952"/>
    </row>
    <row r="275" spans="32:40" x14ac:dyDescent="0.2">
      <c r="AF275" s="952"/>
      <c r="AG275" s="952"/>
      <c r="AH275" s="952"/>
      <c r="AI275" s="952"/>
      <c r="AJ275" s="952"/>
      <c r="AK275" s="952"/>
      <c r="AL275" s="952"/>
      <c r="AM275" s="952"/>
      <c r="AN275" s="952"/>
    </row>
    <row r="276" spans="32:40" x14ac:dyDescent="0.2">
      <c r="AF276" s="952"/>
      <c r="AG276" s="952"/>
      <c r="AH276" s="952"/>
      <c r="AI276" s="952"/>
      <c r="AJ276" s="952"/>
      <c r="AK276" s="952"/>
      <c r="AL276" s="952"/>
      <c r="AM276" s="952"/>
      <c r="AN276" s="952"/>
    </row>
    <row r="277" spans="32:40" x14ac:dyDescent="0.2">
      <c r="AF277" s="952"/>
      <c r="AG277" s="952"/>
      <c r="AH277" s="952"/>
      <c r="AI277" s="952"/>
      <c r="AJ277" s="952"/>
      <c r="AK277" s="952"/>
      <c r="AL277" s="952"/>
      <c r="AM277" s="952"/>
      <c r="AN277" s="952"/>
    </row>
    <row r="278" spans="32:40" x14ac:dyDescent="0.2">
      <c r="AF278" s="952"/>
      <c r="AG278" s="952"/>
      <c r="AH278" s="952"/>
      <c r="AI278" s="952"/>
      <c r="AJ278" s="952"/>
      <c r="AK278" s="952"/>
      <c r="AL278" s="952"/>
      <c r="AM278" s="952"/>
    </row>
    <row r="279" spans="32:40" x14ac:dyDescent="0.2">
      <c r="AF279" s="952"/>
      <c r="AG279" s="952"/>
      <c r="AH279" s="952"/>
      <c r="AI279" s="952"/>
      <c r="AJ279" s="952"/>
      <c r="AK279" s="952"/>
      <c r="AL279" s="952"/>
      <c r="AM279" s="952"/>
    </row>
    <row r="280" spans="32:40" x14ac:dyDescent="0.2">
      <c r="AF280" s="952"/>
      <c r="AG280" s="952"/>
      <c r="AH280" s="952"/>
      <c r="AI280" s="952"/>
      <c r="AJ280" s="952"/>
      <c r="AK280" s="952"/>
      <c r="AL280" s="952"/>
      <c r="AM280" s="952"/>
    </row>
    <row r="281" spans="32:40" x14ac:dyDescent="0.2">
      <c r="AF281" s="952"/>
      <c r="AG281" s="952"/>
      <c r="AH281" s="952"/>
      <c r="AI281" s="952"/>
      <c r="AJ281" s="952"/>
      <c r="AK281" s="952"/>
      <c r="AL281" s="952"/>
      <c r="AM281" s="952"/>
    </row>
    <row r="282" spans="32:40" x14ac:dyDescent="0.2">
      <c r="AF282" s="952"/>
      <c r="AG282" s="952"/>
      <c r="AH282" s="952"/>
      <c r="AI282" s="952"/>
      <c r="AJ282" s="952"/>
      <c r="AK282" s="952"/>
      <c r="AL282" s="952"/>
      <c r="AM282" s="952"/>
    </row>
    <row r="283" spans="32:40" x14ac:dyDescent="0.2">
      <c r="AF283" s="952"/>
      <c r="AG283" s="952"/>
      <c r="AH283" s="952"/>
      <c r="AI283" s="952"/>
      <c r="AJ283" s="952"/>
      <c r="AK283" s="952"/>
      <c r="AL283" s="952"/>
      <c r="AM283" s="952"/>
    </row>
    <row r="284" spans="32:40" x14ac:dyDescent="0.2">
      <c r="AF284" s="952"/>
      <c r="AG284" s="952"/>
      <c r="AH284" s="952"/>
      <c r="AI284" s="952"/>
      <c r="AJ284" s="952"/>
      <c r="AK284" s="952"/>
      <c r="AL284" s="952"/>
      <c r="AM284" s="952"/>
    </row>
    <row r="285" spans="32:40" x14ac:dyDescent="0.2">
      <c r="AF285" s="952"/>
      <c r="AG285" s="952"/>
      <c r="AH285" s="952"/>
      <c r="AI285" s="952"/>
      <c r="AJ285" s="952"/>
      <c r="AK285" s="952"/>
      <c r="AL285" s="952"/>
      <c r="AM285" s="952"/>
    </row>
    <row r="286" spans="32:40" x14ac:dyDescent="0.2">
      <c r="AF286" s="952"/>
      <c r="AG286" s="952"/>
      <c r="AH286" s="952"/>
      <c r="AI286" s="952"/>
      <c r="AJ286" s="952"/>
      <c r="AK286" s="952"/>
      <c r="AL286" s="952"/>
      <c r="AM286" s="952"/>
    </row>
    <row r="287" spans="32:40" x14ac:dyDescent="0.2">
      <c r="AF287" s="952"/>
      <c r="AG287" s="952"/>
      <c r="AH287" s="952"/>
      <c r="AI287" s="952"/>
      <c r="AJ287" s="952"/>
      <c r="AK287" s="952"/>
      <c r="AL287" s="952"/>
      <c r="AM287" s="952"/>
    </row>
    <row r="288" spans="32:40" x14ac:dyDescent="0.2">
      <c r="AF288" s="952"/>
      <c r="AG288" s="952"/>
      <c r="AH288" s="952"/>
      <c r="AI288" s="952"/>
      <c r="AJ288" s="952"/>
      <c r="AK288" s="952"/>
      <c r="AL288" s="952"/>
      <c r="AM288" s="952"/>
    </row>
    <row r="289" spans="32:39" x14ac:dyDescent="0.2">
      <c r="AF289" s="952"/>
      <c r="AG289" s="952"/>
      <c r="AH289" s="952"/>
      <c r="AI289" s="952"/>
      <c r="AJ289" s="952"/>
      <c r="AK289" s="952"/>
      <c r="AL289" s="952"/>
      <c r="AM289" s="952"/>
    </row>
    <row r="290" spans="32:39" x14ac:dyDescent="0.2">
      <c r="AF290" s="952"/>
      <c r="AG290" s="952"/>
      <c r="AH290" s="952"/>
      <c r="AI290" s="952"/>
      <c r="AJ290" s="952"/>
      <c r="AK290" s="952"/>
      <c r="AL290" s="952"/>
      <c r="AM290" s="952"/>
    </row>
    <row r="291" spans="32:39" x14ac:dyDescent="0.2">
      <c r="AF291" s="952"/>
      <c r="AG291" s="952"/>
      <c r="AH291" s="952"/>
      <c r="AI291" s="952"/>
      <c r="AJ291" s="952"/>
      <c r="AK291" s="952"/>
      <c r="AL291" s="952"/>
      <c r="AM291" s="952"/>
    </row>
    <row r="292" spans="32:39" x14ac:dyDescent="0.2">
      <c r="AF292" s="952"/>
      <c r="AG292" s="952"/>
      <c r="AH292" s="952"/>
      <c r="AI292" s="952"/>
      <c r="AJ292" s="952"/>
      <c r="AK292" s="952"/>
      <c r="AL292" s="952"/>
      <c r="AM292" s="952"/>
    </row>
    <row r="293" spans="32:39" x14ac:dyDescent="0.2">
      <c r="AF293" s="952"/>
      <c r="AG293" s="952"/>
      <c r="AH293" s="952"/>
      <c r="AI293" s="952"/>
      <c r="AJ293" s="952"/>
      <c r="AK293" s="952"/>
      <c r="AL293" s="952"/>
      <c r="AM293" s="952"/>
    </row>
    <row r="294" spans="32:39" x14ac:dyDescent="0.2">
      <c r="AF294" s="952"/>
      <c r="AG294" s="952"/>
      <c r="AH294" s="952"/>
      <c r="AI294" s="952"/>
      <c r="AJ294" s="952"/>
      <c r="AK294" s="952"/>
      <c r="AL294" s="952"/>
      <c r="AM294" s="952"/>
    </row>
    <row r="295" spans="32:39" x14ac:dyDescent="0.2">
      <c r="AF295" s="952"/>
      <c r="AG295" s="952"/>
      <c r="AH295" s="952"/>
      <c r="AI295" s="952"/>
      <c r="AJ295" s="952"/>
      <c r="AK295" s="952"/>
      <c r="AL295" s="952"/>
      <c r="AM295" s="952"/>
    </row>
    <row r="296" spans="32:39" x14ac:dyDescent="0.2">
      <c r="AF296" s="952"/>
      <c r="AG296" s="952"/>
      <c r="AH296" s="952"/>
      <c r="AI296" s="952"/>
      <c r="AJ296" s="952"/>
      <c r="AK296" s="952"/>
      <c r="AL296" s="952"/>
      <c r="AM296" s="952"/>
    </row>
    <row r="297" spans="32:39" x14ac:dyDescent="0.2">
      <c r="AF297" s="952"/>
      <c r="AG297" s="952"/>
      <c r="AH297" s="952"/>
      <c r="AI297" s="952"/>
      <c r="AJ297" s="952"/>
      <c r="AK297" s="952"/>
      <c r="AL297" s="952"/>
      <c r="AM297" s="952"/>
    </row>
    <row r="298" spans="32:39" x14ac:dyDescent="0.2">
      <c r="AF298" s="952"/>
      <c r="AG298" s="952"/>
      <c r="AH298" s="952"/>
      <c r="AI298" s="952"/>
      <c r="AJ298" s="952"/>
      <c r="AK298" s="952"/>
      <c r="AL298" s="952"/>
      <c r="AM298" s="952"/>
    </row>
    <row r="299" spans="32:39" x14ac:dyDescent="0.2">
      <c r="AF299" s="952"/>
      <c r="AG299" s="952"/>
      <c r="AH299" s="952"/>
      <c r="AI299" s="952"/>
      <c r="AJ299" s="952"/>
      <c r="AK299" s="952"/>
      <c r="AL299" s="952"/>
      <c r="AM299" s="952"/>
    </row>
    <row r="300" spans="32:39" x14ac:dyDescent="0.2">
      <c r="AF300" s="952"/>
      <c r="AG300" s="952"/>
      <c r="AH300" s="952"/>
      <c r="AI300" s="952"/>
      <c r="AJ300" s="952"/>
      <c r="AK300" s="952"/>
      <c r="AL300" s="952"/>
      <c r="AM300" s="952"/>
    </row>
    <row r="301" spans="32:39" x14ac:dyDescent="0.2">
      <c r="AF301" s="952"/>
      <c r="AG301" s="952"/>
      <c r="AH301" s="952"/>
      <c r="AI301" s="952"/>
      <c r="AJ301" s="952"/>
      <c r="AK301" s="952"/>
      <c r="AL301" s="952"/>
      <c r="AM301" s="952"/>
    </row>
    <row r="302" spans="32:39" x14ac:dyDescent="0.2">
      <c r="AF302" s="952"/>
      <c r="AG302" s="952"/>
      <c r="AH302" s="952"/>
      <c r="AI302" s="952"/>
      <c r="AJ302" s="952"/>
      <c r="AK302" s="952"/>
      <c r="AL302" s="952"/>
      <c r="AM302" s="952"/>
    </row>
    <row r="303" spans="32:39" x14ac:dyDescent="0.2">
      <c r="AF303" s="952"/>
      <c r="AG303" s="952"/>
      <c r="AH303" s="952"/>
      <c r="AI303" s="952"/>
      <c r="AJ303" s="952"/>
      <c r="AK303" s="952"/>
      <c r="AL303" s="952"/>
      <c r="AM303" s="952"/>
    </row>
    <row r="304" spans="32:39" x14ac:dyDescent="0.2">
      <c r="AF304" s="952"/>
      <c r="AG304" s="952"/>
      <c r="AH304" s="952"/>
      <c r="AI304" s="952"/>
      <c r="AJ304" s="952"/>
      <c r="AK304" s="952"/>
      <c r="AL304" s="952"/>
      <c r="AM304" s="952"/>
    </row>
    <row r="305" spans="32:39" x14ac:dyDescent="0.2">
      <c r="AF305" s="952"/>
      <c r="AG305" s="952"/>
      <c r="AH305" s="952"/>
      <c r="AI305" s="952"/>
      <c r="AJ305" s="952"/>
      <c r="AK305" s="952"/>
      <c r="AL305" s="952"/>
      <c r="AM305" s="952"/>
    </row>
    <row r="306" spans="32:39" x14ac:dyDescent="0.2">
      <c r="AF306" s="952"/>
      <c r="AG306" s="952"/>
      <c r="AH306" s="952"/>
      <c r="AI306" s="952"/>
      <c r="AJ306" s="952"/>
      <c r="AK306" s="952"/>
      <c r="AL306" s="952"/>
      <c r="AM306" s="952"/>
    </row>
    <row r="307" spans="32:39" x14ac:dyDescent="0.2">
      <c r="AF307" s="952"/>
      <c r="AG307" s="952"/>
      <c r="AH307" s="952"/>
      <c r="AI307" s="952"/>
      <c r="AJ307" s="952"/>
      <c r="AK307" s="952"/>
      <c r="AL307" s="952"/>
      <c r="AM307" s="952"/>
    </row>
    <row r="308" spans="32:39" x14ac:dyDescent="0.2">
      <c r="AF308" s="952"/>
      <c r="AG308" s="952"/>
      <c r="AH308" s="952"/>
      <c r="AI308" s="952"/>
      <c r="AJ308" s="952"/>
      <c r="AK308" s="952"/>
      <c r="AL308" s="952"/>
      <c r="AM308" s="952"/>
    </row>
    <row r="309" spans="32:39" x14ac:dyDescent="0.2">
      <c r="AF309" s="952"/>
      <c r="AG309" s="952"/>
      <c r="AH309" s="952"/>
      <c r="AI309" s="952"/>
      <c r="AJ309" s="952"/>
      <c r="AK309" s="952"/>
      <c r="AL309" s="952"/>
      <c r="AM309" s="952"/>
    </row>
    <row r="310" spans="32:39" x14ac:dyDescent="0.2">
      <c r="AF310" s="952"/>
      <c r="AG310" s="952"/>
      <c r="AH310" s="952"/>
      <c r="AI310" s="952"/>
      <c r="AJ310" s="952"/>
      <c r="AK310" s="952"/>
      <c r="AL310" s="952"/>
      <c r="AM310" s="952"/>
    </row>
    <row r="311" spans="32:39" x14ac:dyDescent="0.2">
      <c r="AF311" s="952"/>
      <c r="AG311" s="952"/>
      <c r="AH311" s="952"/>
      <c r="AI311" s="952"/>
      <c r="AJ311" s="952"/>
      <c r="AK311" s="952"/>
      <c r="AL311" s="952"/>
      <c r="AM311" s="952"/>
    </row>
    <row r="312" spans="32:39" x14ac:dyDescent="0.2">
      <c r="AF312" s="952"/>
      <c r="AG312" s="952"/>
      <c r="AH312" s="952"/>
      <c r="AI312" s="952"/>
      <c r="AJ312" s="952"/>
      <c r="AK312" s="952"/>
      <c r="AL312" s="952"/>
      <c r="AM312" s="952"/>
    </row>
    <row r="313" spans="32:39" x14ac:dyDescent="0.2">
      <c r="AF313" s="952"/>
      <c r="AG313" s="952"/>
      <c r="AH313" s="952"/>
      <c r="AI313" s="952"/>
      <c r="AJ313" s="952"/>
      <c r="AK313" s="952"/>
      <c r="AL313" s="952"/>
      <c r="AM313" s="952"/>
    </row>
    <row r="314" spans="32:39" x14ac:dyDescent="0.2">
      <c r="AF314" s="952"/>
      <c r="AG314" s="952"/>
      <c r="AH314" s="952"/>
      <c r="AI314" s="952"/>
      <c r="AJ314" s="952"/>
      <c r="AK314" s="952"/>
      <c r="AL314" s="952"/>
      <c r="AM314" s="952"/>
    </row>
    <row r="315" spans="32:39" x14ac:dyDescent="0.2">
      <c r="AF315" s="952"/>
      <c r="AG315" s="952"/>
      <c r="AH315" s="952"/>
      <c r="AI315" s="952"/>
      <c r="AJ315" s="952"/>
      <c r="AK315" s="952"/>
      <c r="AL315" s="952"/>
      <c r="AM315" s="952"/>
    </row>
    <row r="316" spans="32:39" x14ac:dyDescent="0.2">
      <c r="AF316" s="952"/>
      <c r="AG316" s="952"/>
      <c r="AH316" s="952"/>
      <c r="AI316" s="952"/>
      <c r="AJ316" s="952"/>
      <c r="AK316" s="952"/>
      <c r="AL316" s="952"/>
      <c r="AM316" s="952"/>
    </row>
    <row r="317" spans="32:39" x14ac:dyDescent="0.2">
      <c r="AF317" s="952"/>
      <c r="AG317" s="952"/>
      <c r="AH317" s="952"/>
      <c r="AI317" s="952"/>
      <c r="AJ317" s="952"/>
      <c r="AK317" s="952"/>
      <c r="AL317" s="952"/>
      <c r="AM317" s="952"/>
    </row>
    <row r="318" spans="32:39" x14ac:dyDescent="0.2">
      <c r="AF318" s="952"/>
      <c r="AG318" s="952"/>
      <c r="AH318" s="952"/>
      <c r="AI318" s="952"/>
      <c r="AJ318" s="952"/>
      <c r="AK318" s="952"/>
      <c r="AL318" s="952"/>
      <c r="AM318" s="952"/>
    </row>
    <row r="319" spans="32:39" x14ac:dyDescent="0.2">
      <c r="AF319" s="952"/>
      <c r="AG319" s="952"/>
      <c r="AH319" s="952"/>
      <c r="AI319" s="952"/>
      <c r="AJ319" s="952"/>
      <c r="AK319" s="952"/>
      <c r="AL319" s="952"/>
      <c r="AM319" s="952"/>
    </row>
    <row r="320" spans="32:39" x14ac:dyDescent="0.2">
      <c r="AF320" s="952"/>
      <c r="AG320" s="952"/>
      <c r="AH320" s="952"/>
      <c r="AI320" s="952"/>
      <c r="AJ320" s="952"/>
      <c r="AK320" s="952"/>
      <c r="AL320" s="952"/>
      <c r="AM320" s="952"/>
    </row>
    <row r="321" spans="32:39" x14ac:dyDescent="0.2">
      <c r="AF321" s="952"/>
      <c r="AG321" s="952"/>
      <c r="AH321" s="952"/>
      <c r="AI321" s="952"/>
      <c r="AJ321" s="952"/>
      <c r="AK321" s="952"/>
      <c r="AL321" s="952"/>
      <c r="AM321" s="952"/>
    </row>
    <row r="322" spans="32:39" x14ac:dyDescent="0.2">
      <c r="AF322" s="952"/>
      <c r="AG322" s="952"/>
      <c r="AH322" s="952"/>
      <c r="AI322" s="952"/>
      <c r="AJ322" s="952"/>
      <c r="AK322" s="952"/>
      <c r="AL322" s="952"/>
      <c r="AM322" s="952"/>
    </row>
    <row r="323" spans="32:39" x14ac:dyDescent="0.2">
      <c r="AF323" s="952"/>
      <c r="AG323" s="952"/>
      <c r="AH323" s="952"/>
      <c r="AI323" s="952"/>
      <c r="AJ323" s="952"/>
      <c r="AK323" s="952"/>
      <c r="AL323" s="952"/>
      <c r="AM323" s="952"/>
    </row>
    <row r="324" spans="32:39" x14ac:dyDescent="0.2">
      <c r="AF324" s="952"/>
      <c r="AG324" s="952"/>
      <c r="AH324" s="952"/>
      <c r="AI324" s="952"/>
      <c r="AJ324" s="952"/>
      <c r="AK324" s="952"/>
      <c r="AL324" s="952"/>
      <c r="AM324" s="952"/>
    </row>
    <row r="325" spans="32:39" x14ac:dyDescent="0.2">
      <c r="AF325" s="952"/>
      <c r="AG325" s="952"/>
      <c r="AH325" s="952"/>
      <c r="AI325" s="952"/>
      <c r="AJ325" s="952"/>
      <c r="AK325" s="952"/>
      <c r="AL325" s="952"/>
      <c r="AM325" s="952"/>
    </row>
    <row r="326" spans="32:39" x14ac:dyDescent="0.2">
      <c r="AF326" s="952"/>
      <c r="AG326" s="952"/>
      <c r="AH326" s="952"/>
      <c r="AI326" s="952"/>
      <c r="AJ326" s="952"/>
      <c r="AK326" s="952"/>
      <c r="AL326" s="952"/>
      <c r="AM326" s="952"/>
    </row>
    <row r="327" spans="32:39" x14ac:dyDescent="0.2">
      <c r="AF327" s="952"/>
      <c r="AG327" s="952"/>
      <c r="AH327" s="952"/>
      <c r="AI327" s="952"/>
      <c r="AJ327" s="952"/>
      <c r="AK327" s="952"/>
      <c r="AL327" s="952"/>
      <c r="AM327" s="952"/>
    </row>
    <row r="328" spans="32:39" x14ac:dyDescent="0.2">
      <c r="AF328" s="952"/>
      <c r="AG328" s="952"/>
      <c r="AH328" s="952"/>
      <c r="AI328" s="952"/>
      <c r="AJ328" s="952"/>
      <c r="AK328" s="952"/>
      <c r="AL328" s="952"/>
      <c r="AM328" s="952"/>
    </row>
    <row r="329" spans="32:39" x14ac:dyDescent="0.2">
      <c r="AF329" s="952"/>
      <c r="AG329" s="952"/>
      <c r="AH329" s="952"/>
      <c r="AI329" s="952"/>
      <c r="AJ329" s="952"/>
      <c r="AK329" s="952"/>
      <c r="AL329" s="952"/>
      <c r="AM329" s="952"/>
    </row>
    <row r="330" spans="32:39" x14ac:dyDescent="0.2">
      <c r="AF330" s="952"/>
      <c r="AG330" s="952"/>
      <c r="AH330" s="952"/>
      <c r="AI330" s="952"/>
      <c r="AJ330" s="952"/>
      <c r="AK330" s="952"/>
      <c r="AL330" s="952"/>
      <c r="AM330" s="952"/>
    </row>
    <row r="331" spans="32:39" x14ac:dyDescent="0.2">
      <c r="AF331" s="952"/>
      <c r="AG331" s="952"/>
      <c r="AH331" s="952"/>
      <c r="AI331" s="952"/>
      <c r="AJ331" s="952"/>
      <c r="AK331" s="952"/>
      <c r="AL331" s="952"/>
      <c r="AM331" s="952"/>
    </row>
    <row r="332" spans="32:39" x14ac:dyDescent="0.2">
      <c r="AF332" s="952"/>
      <c r="AG332" s="952"/>
      <c r="AH332" s="952"/>
      <c r="AI332" s="952"/>
      <c r="AJ332" s="952"/>
      <c r="AK332" s="952"/>
      <c r="AL332" s="952"/>
      <c r="AM332" s="952"/>
    </row>
    <row r="333" spans="32:39" x14ac:dyDescent="0.2">
      <c r="AF333" s="952"/>
      <c r="AG333" s="952"/>
      <c r="AH333" s="952"/>
      <c r="AI333" s="952"/>
      <c r="AJ333" s="952"/>
      <c r="AK333" s="952"/>
      <c r="AL333" s="952"/>
      <c r="AM333" s="952"/>
    </row>
    <row r="334" spans="32:39" x14ac:dyDescent="0.2">
      <c r="AF334" s="952"/>
      <c r="AG334" s="952"/>
      <c r="AH334" s="952"/>
      <c r="AI334" s="952"/>
      <c r="AJ334" s="952"/>
      <c r="AK334" s="952"/>
      <c r="AL334" s="952"/>
      <c r="AM334" s="952"/>
    </row>
    <row r="335" spans="32:39" x14ac:dyDescent="0.2">
      <c r="AF335" s="952"/>
      <c r="AG335" s="952"/>
      <c r="AH335" s="952"/>
      <c r="AI335" s="952"/>
      <c r="AJ335" s="952"/>
      <c r="AK335" s="952"/>
      <c r="AL335" s="952"/>
      <c r="AM335" s="952"/>
    </row>
    <row r="336" spans="32:39" x14ac:dyDescent="0.2">
      <c r="AF336" s="952"/>
      <c r="AG336" s="952"/>
      <c r="AH336" s="952"/>
      <c r="AI336" s="952"/>
      <c r="AJ336" s="952"/>
      <c r="AK336" s="952"/>
      <c r="AL336" s="952"/>
      <c r="AM336" s="952"/>
    </row>
    <row r="337" spans="32:39" x14ac:dyDescent="0.2">
      <c r="AF337" s="952"/>
      <c r="AG337" s="952"/>
      <c r="AH337" s="952"/>
      <c r="AI337" s="952"/>
      <c r="AJ337" s="952"/>
      <c r="AK337" s="952"/>
      <c r="AL337" s="952"/>
      <c r="AM337" s="952"/>
    </row>
    <row r="338" spans="32:39" x14ac:dyDescent="0.2">
      <c r="AF338" s="952"/>
      <c r="AG338" s="952"/>
      <c r="AH338" s="952"/>
      <c r="AI338" s="952"/>
      <c r="AJ338" s="952"/>
      <c r="AK338" s="952"/>
      <c r="AL338" s="952"/>
      <c r="AM338" s="952"/>
    </row>
    <row r="339" spans="32:39" x14ac:dyDescent="0.2">
      <c r="AF339" s="952"/>
      <c r="AG339" s="952"/>
      <c r="AH339" s="952"/>
      <c r="AI339" s="952"/>
      <c r="AJ339" s="952"/>
      <c r="AK339" s="952"/>
      <c r="AL339" s="952"/>
      <c r="AM339" s="952"/>
    </row>
    <row r="340" spans="32:39" x14ac:dyDescent="0.2">
      <c r="AF340" s="952"/>
      <c r="AG340" s="952"/>
      <c r="AH340" s="952"/>
      <c r="AI340" s="952"/>
      <c r="AJ340" s="952"/>
      <c r="AK340" s="952"/>
      <c r="AL340" s="952"/>
      <c r="AM340" s="952"/>
    </row>
    <row r="341" spans="32:39" x14ac:dyDescent="0.2">
      <c r="AF341" s="952"/>
      <c r="AG341" s="952"/>
      <c r="AH341" s="952"/>
      <c r="AI341" s="952"/>
      <c r="AJ341" s="952"/>
      <c r="AK341" s="952"/>
      <c r="AL341" s="952"/>
      <c r="AM341" s="952"/>
    </row>
    <row r="342" spans="32:39" x14ac:dyDescent="0.2">
      <c r="AF342" s="952"/>
      <c r="AG342" s="952"/>
      <c r="AH342" s="952"/>
      <c r="AI342" s="952"/>
      <c r="AJ342" s="952"/>
      <c r="AK342" s="952"/>
      <c r="AL342" s="952"/>
      <c r="AM342" s="952"/>
    </row>
    <row r="343" spans="32:39" x14ac:dyDescent="0.2">
      <c r="AF343" s="952"/>
      <c r="AG343" s="952"/>
      <c r="AH343" s="952"/>
      <c r="AI343" s="952"/>
      <c r="AJ343" s="952"/>
      <c r="AK343" s="952"/>
      <c r="AL343" s="952"/>
      <c r="AM343" s="952"/>
    </row>
    <row r="344" spans="32:39" x14ac:dyDescent="0.2">
      <c r="AF344" s="952"/>
      <c r="AG344" s="952"/>
      <c r="AH344" s="952"/>
      <c r="AI344" s="952"/>
      <c r="AJ344" s="952"/>
      <c r="AK344" s="952"/>
      <c r="AL344" s="952"/>
      <c r="AM344" s="952"/>
    </row>
    <row r="345" spans="32:39" x14ac:dyDescent="0.2">
      <c r="AF345" s="952"/>
      <c r="AG345" s="952"/>
      <c r="AH345" s="952"/>
      <c r="AI345" s="952"/>
      <c r="AJ345" s="952"/>
      <c r="AK345" s="952"/>
      <c r="AL345" s="952"/>
      <c r="AM345" s="952"/>
    </row>
    <row r="346" spans="32:39" x14ac:dyDescent="0.2">
      <c r="AF346" s="952"/>
      <c r="AG346" s="952"/>
      <c r="AH346" s="952"/>
      <c r="AI346" s="952"/>
      <c r="AJ346" s="952"/>
      <c r="AK346" s="952"/>
      <c r="AL346" s="952"/>
      <c r="AM346" s="952"/>
    </row>
    <row r="347" spans="32:39" x14ac:dyDescent="0.2">
      <c r="AF347" s="952"/>
      <c r="AG347" s="952"/>
      <c r="AH347" s="952"/>
      <c r="AI347" s="952"/>
      <c r="AJ347" s="952"/>
      <c r="AK347" s="952"/>
      <c r="AL347" s="952"/>
      <c r="AM347" s="952"/>
    </row>
    <row r="348" spans="32:39" x14ac:dyDescent="0.2">
      <c r="AF348" s="952"/>
      <c r="AG348" s="952"/>
      <c r="AH348" s="952"/>
      <c r="AI348" s="952"/>
      <c r="AJ348" s="952"/>
      <c r="AK348" s="952"/>
      <c r="AL348" s="952"/>
      <c r="AM348" s="952"/>
    </row>
    <row r="349" spans="32:39" x14ac:dyDescent="0.2">
      <c r="AF349" s="952"/>
      <c r="AG349" s="952"/>
      <c r="AH349" s="952"/>
      <c r="AI349" s="952"/>
      <c r="AJ349" s="952"/>
      <c r="AK349" s="952"/>
      <c r="AL349" s="952"/>
      <c r="AM349" s="952"/>
    </row>
    <row r="350" spans="32:39" x14ac:dyDescent="0.2">
      <c r="AF350" s="952"/>
      <c r="AG350" s="952"/>
      <c r="AH350" s="952"/>
      <c r="AI350" s="952"/>
      <c r="AJ350" s="952"/>
      <c r="AK350" s="952"/>
      <c r="AL350" s="952"/>
      <c r="AM350" s="952"/>
    </row>
    <row r="351" spans="32:39" x14ac:dyDescent="0.2">
      <c r="AF351" s="952"/>
      <c r="AG351" s="952"/>
      <c r="AH351" s="952"/>
      <c r="AI351" s="952"/>
      <c r="AJ351" s="952"/>
      <c r="AK351" s="952"/>
      <c r="AL351" s="952"/>
      <c r="AM351" s="952"/>
    </row>
    <row r="352" spans="32:39" x14ac:dyDescent="0.2">
      <c r="AF352" s="952"/>
      <c r="AG352" s="952"/>
      <c r="AH352" s="952"/>
      <c r="AI352" s="952"/>
      <c r="AJ352" s="952"/>
      <c r="AK352" s="952"/>
      <c r="AL352" s="952"/>
      <c r="AM352" s="952"/>
    </row>
    <row r="353" spans="32:39" x14ac:dyDescent="0.2">
      <c r="AF353" s="952"/>
      <c r="AG353" s="952"/>
      <c r="AH353" s="952"/>
      <c r="AI353" s="952"/>
      <c r="AJ353" s="952"/>
      <c r="AK353" s="952"/>
      <c r="AL353" s="952"/>
      <c r="AM353" s="952"/>
    </row>
    <row r="354" spans="32:39" x14ac:dyDescent="0.2">
      <c r="AF354" s="952"/>
      <c r="AG354" s="952"/>
      <c r="AH354" s="952"/>
      <c r="AI354" s="952"/>
      <c r="AJ354" s="952"/>
      <c r="AK354" s="952"/>
      <c r="AL354" s="952"/>
      <c r="AM354" s="952"/>
    </row>
    <row r="355" spans="32:39" x14ac:dyDescent="0.2">
      <c r="AF355" s="952"/>
      <c r="AG355" s="952"/>
      <c r="AH355" s="952"/>
      <c r="AI355" s="952"/>
      <c r="AJ355" s="952"/>
      <c r="AK355" s="952"/>
      <c r="AL355" s="952"/>
      <c r="AM355" s="952"/>
    </row>
    <row r="356" spans="32:39" x14ac:dyDescent="0.2">
      <c r="AF356" s="952"/>
      <c r="AG356" s="952"/>
      <c r="AH356" s="952"/>
      <c r="AI356" s="952"/>
      <c r="AJ356" s="952"/>
      <c r="AK356" s="952"/>
      <c r="AL356" s="952"/>
      <c r="AM356" s="952"/>
    </row>
    <row r="357" spans="32:39" x14ac:dyDescent="0.2">
      <c r="AF357" s="952"/>
      <c r="AG357" s="952"/>
      <c r="AH357" s="952"/>
      <c r="AI357" s="952"/>
      <c r="AJ357" s="952"/>
      <c r="AK357" s="952"/>
      <c r="AL357" s="952"/>
      <c r="AM357" s="952"/>
    </row>
    <row r="358" spans="32:39" x14ac:dyDescent="0.2">
      <c r="AF358" s="952"/>
      <c r="AG358" s="952"/>
      <c r="AH358" s="952"/>
      <c r="AI358" s="952"/>
      <c r="AJ358" s="952"/>
      <c r="AK358" s="952"/>
      <c r="AL358" s="952"/>
      <c r="AM358" s="952"/>
    </row>
    <row r="359" spans="32:39" x14ac:dyDescent="0.2">
      <c r="AF359" s="952"/>
      <c r="AG359" s="952"/>
      <c r="AH359" s="952"/>
      <c r="AI359" s="952"/>
      <c r="AJ359" s="952"/>
      <c r="AK359" s="952"/>
      <c r="AL359" s="952"/>
      <c r="AM359" s="952"/>
    </row>
    <row r="360" spans="32:39" x14ac:dyDescent="0.2">
      <c r="AF360" s="952"/>
      <c r="AG360" s="952"/>
      <c r="AH360" s="952"/>
      <c r="AI360" s="952"/>
      <c r="AJ360" s="952"/>
      <c r="AK360" s="952"/>
      <c r="AL360" s="952"/>
      <c r="AM360" s="952"/>
    </row>
    <row r="361" spans="32:39" x14ac:dyDescent="0.2">
      <c r="AF361" s="952"/>
      <c r="AG361" s="952"/>
      <c r="AH361" s="952"/>
      <c r="AI361" s="952"/>
      <c r="AJ361" s="952"/>
      <c r="AK361" s="952"/>
      <c r="AL361" s="952"/>
      <c r="AM361" s="952"/>
    </row>
    <row r="362" spans="32:39" x14ac:dyDescent="0.2">
      <c r="AF362" s="952"/>
      <c r="AG362" s="952"/>
      <c r="AH362" s="952"/>
      <c r="AI362" s="952"/>
      <c r="AJ362" s="952"/>
      <c r="AK362" s="952"/>
      <c r="AL362" s="952"/>
      <c r="AM362" s="952"/>
    </row>
    <row r="363" spans="32:39" x14ac:dyDescent="0.2">
      <c r="AF363" s="952"/>
      <c r="AG363" s="952"/>
      <c r="AH363" s="952"/>
      <c r="AI363" s="952"/>
      <c r="AJ363" s="952"/>
      <c r="AK363" s="952"/>
      <c r="AL363" s="952"/>
      <c r="AM363" s="952"/>
    </row>
    <row r="364" spans="32:39" x14ac:dyDescent="0.2">
      <c r="AF364" s="952"/>
      <c r="AG364" s="952"/>
      <c r="AH364" s="952"/>
      <c r="AI364" s="952"/>
      <c r="AJ364" s="952"/>
      <c r="AK364" s="952"/>
      <c r="AL364" s="952"/>
      <c r="AM364" s="952"/>
    </row>
    <row r="365" spans="32:39" x14ac:dyDescent="0.2">
      <c r="AF365" s="952"/>
      <c r="AG365" s="952"/>
      <c r="AH365" s="952"/>
      <c r="AI365" s="952"/>
      <c r="AJ365" s="952"/>
      <c r="AK365" s="952"/>
      <c r="AL365" s="952"/>
      <c r="AM365" s="952"/>
    </row>
    <row r="366" spans="32:39" x14ac:dyDescent="0.2">
      <c r="AF366" s="952"/>
      <c r="AG366" s="952"/>
      <c r="AH366" s="952"/>
      <c r="AI366" s="952"/>
      <c r="AJ366" s="952"/>
      <c r="AK366" s="952"/>
      <c r="AL366" s="952"/>
      <c r="AM366" s="952"/>
    </row>
    <row r="367" spans="32:39" x14ac:dyDescent="0.2">
      <c r="AF367" s="952"/>
      <c r="AG367" s="952"/>
      <c r="AH367" s="952"/>
      <c r="AI367" s="952"/>
      <c r="AJ367" s="952"/>
      <c r="AK367" s="952"/>
      <c r="AL367" s="952"/>
      <c r="AM367" s="952"/>
    </row>
    <row r="368" spans="32:39" x14ac:dyDescent="0.2">
      <c r="AF368" s="952"/>
      <c r="AG368" s="952"/>
      <c r="AH368" s="952"/>
      <c r="AI368" s="952"/>
      <c r="AJ368" s="952"/>
      <c r="AK368" s="952"/>
      <c r="AL368" s="952"/>
      <c r="AM368" s="952"/>
    </row>
    <row r="369" spans="32:39" x14ac:dyDescent="0.2">
      <c r="AF369" s="952"/>
      <c r="AG369" s="952"/>
      <c r="AH369" s="952"/>
      <c r="AI369" s="952"/>
      <c r="AJ369" s="952"/>
      <c r="AK369" s="952"/>
      <c r="AL369" s="952"/>
      <c r="AM369" s="952"/>
    </row>
    <row r="370" spans="32:39" x14ac:dyDescent="0.2">
      <c r="AF370" s="952"/>
      <c r="AG370" s="952"/>
      <c r="AH370" s="952"/>
      <c r="AI370" s="952"/>
      <c r="AJ370" s="952"/>
      <c r="AK370" s="952"/>
      <c r="AL370" s="952"/>
      <c r="AM370" s="952"/>
    </row>
    <row r="371" spans="32:39" x14ac:dyDescent="0.2">
      <c r="AF371" s="952"/>
      <c r="AG371" s="952"/>
      <c r="AH371" s="952"/>
      <c r="AI371" s="952"/>
      <c r="AJ371" s="952"/>
      <c r="AK371" s="952"/>
      <c r="AL371" s="952"/>
      <c r="AM371" s="952"/>
    </row>
    <row r="372" spans="32:39" x14ac:dyDescent="0.2">
      <c r="AF372" s="952"/>
      <c r="AG372" s="952"/>
      <c r="AH372" s="952"/>
      <c r="AI372" s="952"/>
      <c r="AJ372" s="952"/>
      <c r="AK372" s="952"/>
      <c r="AL372" s="952"/>
      <c r="AM372" s="952"/>
    </row>
    <row r="373" spans="32:39" x14ac:dyDescent="0.2">
      <c r="AF373" s="952"/>
      <c r="AG373" s="952"/>
      <c r="AH373" s="952"/>
      <c r="AI373" s="952"/>
      <c r="AJ373" s="952"/>
      <c r="AK373" s="952"/>
      <c r="AL373" s="952"/>
      <c r="AM373" s="952"/>
    </row>
    <row r="374" spans="32:39" x14ac:dyDescent="0.2">
      <c r="AF374" s="952"/>
      <c r="AG374" s="952"/>
      <c r="AH374" s="952"/>
      <c r="AI374" s="952"/>
      <c r="AJ374" s="952"/>
      <c r="AK374" s="952"/>
      <c r="AL374" s="952"/>
      <c r="AM374" s="952"/>
    </row>
    <row r="375" spans="32:39" x14ac:dyDescent="0.2">
      <c r="AF375" s="952"/>
      <c r="AG375" s="952"/>
      <c r="AH375" s="952"/>
      <c r="AI375" s="952"/>
      <c r="AJ375" s="952"/>
      <c r="AK375" s="952"/>
      <c r="AL375" s="952"/>
      <c r="AM375" s="952"/>
    </row>
    <row r="376" spans="32:39" x14ac:dyDescent="0.2">
      <c r="AF376" s="952"/>
      <c r="AG376" s="952"/>
      <c r="AH376" s="952"/>
      <c r="AI376" s="952"/>
      <c r="AJ376" s="952"/>
      <c r="AK376" s="952"/>
      <c r="AL376" s="952"/>
      <c r="AM376" s="952"/>
    </row>
    <row r="377" spans="32:39" x14ac:dyDescent="0.2">
      <c r="AF377" s="952"/>
      <c r="AG377" s="952"/>
      <c r="AH377" s="952"/>
      <c r="AI377" s="952"/>
      <c r="AJ377" s="952"/>
      <c r="AK377" s="952"/>
      <c r="AL377" s="952"/>
      <c r="AM377" s="952"/>
    </row>
    <row r="378" spans="32:39" x14ac:dyDescent="0.2">
      <c r="AF378" s="952"/>
      <c r="AG378" s="952"/>
      <c r="AH378" s="952"/>
      <c r="AI378" s="952"/>
      <c r="AJ378" s="952"/>
      <c r="AK378" s="952"/>
      <c r="AL378" s="952"/>
      <c r="AM378" s="952"/>
    </row>
    <row r="379" spans="32:39" x14ac:dyDescent="0.2">
      <c r="AF379" s="952"/>
      <c r="AG379" s="952"/>
      <c r="AH379" s="952"/>
      <c r="AI379" s="952"/>
      <c r="AJ379" s="952"/>
      <c r="AK379" s="952"/>
      <c r="AL379" s="952"/>
      <c r="AM379" s="952"/>
    </row>
    <row r="380" spans="32:39" x14ac:dyDescent="0.2">
      <c r="AF380" s="952"/>
      <c r="AG380" s="952"/>
      <c r="AH380" s="952"/>
      <c r="AI380" s="952"/>
      <c r="AJ380" s="952"/>
      <c r="AK380" s="952"/>
      <c r="AL380" s="952"/>
      <c r="AM380" s="952"/>
    </row>
    <row r="381" spans="32:39" x14ac:dyDescent="0.2">
      <c r="AF381" s="952"/>
      <c r="AG381" s="952"/>
      <c r="AH381" s="952"/>
      <c r="AI381" s="952"/>
      <c r="AJ381" s="952"/>
      <c r="AK381" s="952"/>
      <c r="AL381" s="952"/>
      <c r="AM381" s="952"/>
    </row>
    <row r="382" spans="32:39" x14ac:dyDescent="0.2">
      <c r="AF382" s="952"/>
      <c r="AG382" s="952"/>
      <c r="AH382" s="952"/>
      <c r="AI382" s="952"/>
      <c r="AJ382" s="952"/>
      <c r="AK382" s="952"/>
      <c r="AL382" s="952"/>
      <c r="AM382" s="952"/>
    </row>
    <row r="383" spans="32:39" x14ac:dyDescent="0.2">
      <c r="AF383" s="952"/>
      <c r="AG383" s="952"/>
      <c r="AH383" s="952"/>
      <c r="AI383" s="952"/>
      <c r="AJ383" s="952"/>
      <c r="AK383" s="952"/>
      <c r="AL383" s="952"/>
      <c r="AM383" s="952"/>
    </row>
    <row r="384" spans="32:39" x14ac:dyDescent="0.2">
      <c r="AF384" s="952"/>
      <c r="AG384" s="952"/>
      <c r="AH384" s="952"/>
      <c r="AI384" s="952"/>
      <c r="AJ384" s="952"/>
      <c r="AK384" s="952"/>
      <c r="AL384" s="952"/>
      <c r="AM384" s="952"/>
    </row>
    <row r="385" spans="32:39" x14ac:dyDescent="0.2">
      <c r="AF385" s="952"/>
      <c r="AG385" s="952"/>
      <c r="AH385" s="952"/>
      <c r="AI385" s="952"/>
      <c r="AJ385" s="952"/>
      <c r="AK385" s="952"/>
      <c r="AL385" s="952"/>
      <c r="AM385" s="952"/>
    </row>
    <row r="386" spans="32:39" x14ac:dyDescent="0.2">
      <c r="AF386" s="952"/>
      <c r="AG386" s="952"/>
      <c r="AH386" s="952"/>
      <c r="AI386" s="952"/>
      <c r="AJ386" s="952"/>
      <c r="AK386" s="952"/>
      <c r="AL386" s="952"/>
      <c r="AM386" s="952"/>
    </row>
    <row r="387" spans="32:39" x14ac:dyDescent="0.2">
      <c r="AF387" s="952"/>
      <c r="AG387" s="952"/>
      <c r="AH387" s="952"/>
      <c r="AI387" s="952"/>
      <c r="AJ387" s="952"/>
      <c r="AK387" s="952"/>
      <c r="AL387" s="952"/>
      <c r="AM387" s="952"/>
    </row>
    <row r="388" spans="32:39" x14ac:dyDescent="0.2">
      <c r="AF388" s="952"/>
      <c r="AG388" s="952"/>
      <c r="AH388" s="952"/>
      <c r="AI388" s="952"/>
      <c r="AJ388" s="952"/>
      <c r="AK388" s="952"/>
      <c r="AL388" s="952"/>
      <c r="AM388" s="952"/>
    </row>
    <row r="389" spans="32:39" x14ac:dyDescent="0.2">
      <c r="AF389" s="952"/>
      <c r="AG389" s="952"/>
      <c r="AH389" s="952"/>
      <c r="AI389" s="952"/>
      <c r="AJ389" s="952"/>
      <c r="AK389" s="952"/>
      <c r="AL389" s="952"/>
      <c r="AM389" s="952"/>
    </row>
    <row r="390" spans="32:39" x14ac:dyDescent="0.2">
      <c r="AF390" s="952"/>
      <c r="AG390" s="952"/>
      <c r="AH390" s="952"/>
      <c r="AI390" s="952"/>
      <c r="AJ390" s="952"/>
      <c r="AK390" s="952"/>
      <c r="AL390" s="952"/>
      <c r="AM390" s="952"/>
    </row>
    <row r="391" spans="32:39" x14ac:dyDescent="0.2">
      <c r="AF391" s="952"/>
      <c r="AG391" s="952"/>
      <c r="AH391" s="952"/>
      <c r="AI391" s="952"/>
      <c r="AJ391" s="952"/>
      <c r="AK391" s="952"/>
      <c r="AL391" s="952"/>
      <c r="AM391" s="952"/>
    </row>
    <row r="392" spans="32:39" x14ac:dyDescent="0.2">
      <c r="AF392" s="952"/>
      <c r="AG392" s="952"/>
      <c r="AH392" s="952"/>
      <c r="AI392" s="952"/>
      <c r="AJ392" s="952"/>
      <c r="AK392" s="952"/>
      <c r="AL392" s="952"/>
      <c r="AM392" s="952"/>
    </row>
    <row r="393" spans="32:39" x14ac:dyDescent="0.2">
      <c r="AF393" s="952"/>
      <c r="AG393" s="952"/>
      <c r="AH393" s="952"/>
      <c r="AI393" s="952"/>
      <c r="AJ393" s="952"/>
      <c r="AK393" s="952"/>
      <c r="AL393" s="952"/>
      <c r="AM393" s="952"/>
    </row>
    <row r="394" spans="32:39" x14ac:dyDescent="0.2">
      <c r="AF394" s="952"/>
      <c r="AG394" s="952"/>
      <c r="AH394" s="952"/>
      <c r="AI394" s="952"/>
      <c r="AJ394" s="952"/>
      <c r="AK394" s="952"/>
      <c r="AL394" s="952"/>
      <c r="AM394" s="952"/>
    </row>
    <row r="395" spans="32:39" x14ac:dyDescent="0.2">
      <c r="AF395" s="952"/>
      <c r="AG395" s="952"/>
      <c r="AH395" s="952"/>
      <c r="AI395" s="952"/>
      <c r="AJ395" s="952"/>
      <c r="AK395" s="952"/>
      <c r="AL395" s="952"/>
      <c r="AM395" s="952"/>
    </row>
    <row r="396" spans="32:39" x14ac:dyDescent="0.2">
      <c r="AF396" s="952"/>
      <c r="AG396" s="952"/>
      <c r="AH396" s="952"/>
      <c r="AI396" s="952"/>
      <c r="AJ396" s="952"/>
      <c r="AK396" s="952"/>
      <c r="AL396" s="952"/>
      <c r="AM396" s="952"/>
    </row>
    <row r="397" spans="32:39" x14ac:dyDescent="0.2">
      <c r="AF397" s="952"/>
      <c r="AG397" s="952"/>
      <c r="AH397" s="952"/>
      <c r="AI397" s="952"/>
      <c r="AJ397" s="952"/>
      <c r="AK397" s="952"/>
      <c r="AL397" s="952"/>
      <c r="AM397" s="952"/>
    </row>
    <row r="398" spans="32:39" x14ac:dyDescent="0.2">
      <c r="AF398" s="952"/>
      <c r="AG398" s="952"/>
      <c r="AH398" s="952"/>
      <c r="AI398" s="952"/>
      <c r="AJ398" s="952"/>
      <c r="AK398" s="952"/>
      <c r="AL398" s="952"/>
      <c r="AM398" s="952"/>
    </row>
    <row r="399" spans="32:39" x14ac:dyDescent="0.2">
      <c r="AF399" s="952"/>
      <c r="AG399" s="952"/>
      <c r="AH399" s="952"/>
      <c r="AI399" s="952"/>
      <c r="AJ399" s="952"/>
      <c r="AK399" s="952"/>
      <c r="AL399" s="952"/>
      <c r="AM399" s="952"/>
    </row>
    <row r="400" spans="32:39" x14ac:dyDescent="0.2">
      <c r="AF400" s="952"/>
      <c r="AG400" s="952"/>
      <c r="AH400" s="952"/>
      <c r="AI400" s="952"/>
      <c r="AJ400" s="952"/>
      <c r="AK400" s="952"/>
      <c r="AL400" s="952"/>
      <c r="AM400" s="952"/>
    </row>
    <row r="401" spans="32:39" x14ac:dyDescent="0.2">
      <c r="AF401" s="952"/>
      <c r="AG401" s="952"/>
      <c r="AH401" s="952"/>
      <c r="AI401" s="952"/>
      <c r="AJ401" s="952"/>
      <c r="AK401" s="952"/>
      <c r="AL401" s="952"/>
      <c r="AM401" s="952"/>
    </row>
    <row r="402" spans="32:39" x14ac:dyDescent="0.2">
      <c r="AF402" s="952"/>
      <c r="AG402" s="952"/>
      <c r="AH402" s="952"/>
      <c r="AI402" s="952"/>
      <c r="AJ402" s="952"/>
      <c r="AK402" s="952"/>
      <c r="AL402" s="952"/>
      <c r="AM402" s="952"/>
    </row>
  </sheetData>
  <sheetProtection password="C82C" sheet="1" objects="1" scenarios="1" selectLockedCells="1"/>
  <mergeCells count="7">
    <mergeCell ref="C5:D5"/>
    <mergeCell ref="E29:G29"/>
    <mergeCell ref="E23:G23"/>
    <mergeCell ref="E24:G25"/>
    <mergeCell ref="E26:G26"/>
    <mergeCell ref="E27:G28"/>
    <mergeCell ref="B15:F15"/>
  </mergeCells>
  <conditionalFormatting sqref="C12">
    <cfRule type="expression" dxfId="14" priority="8">
      <formula>LEFT(D12,1)="U"</formula>
    </cfRule>
  </conditionalFormatting>
  <conditionalFormatting sqref="D12:E13 D14">
    <cfRule type="cellIs" priority="7" operator="greaterThan">
      <formula>0</formula>
    </cfRule>
  </conditionalFormatting>
  <conditionalFormatting sqref="C14">
    <cfRule type="expression" dxfId="13" priority="5">
      <formula>LEFT(D14,1)="U"</formula>
    </cfRule>
  </conditionalFormatting>
  <conditionalFormatting sqref="C13">
    <cfRule type="cellIs" priority="4" operator="greaterThan">
      <formula>0</formula>
    </cfRule>
  </conditionalFormatting>
  <dataValidations count="2">
    <dataValidation type="list" allowBlank="1" showInputMessage="1" showErrorMessage="1" sqref="C12">
      <formula1>Locations</formula1>
    </dataValidation>
    <dataValidation type="list" allowBlank="1" showInputMessage="1" showErrorMessage="1" sqref="C19">
      <formula1>$I$35:$I$41</formula1>
    </dataValidation>
  </dataValidations>
  <pageMargins left="0.51181102362204722" right="0.51181102362204722" top="1.5748031496062993" bottom="0.98425196850393704" header="0.59055118110236227" footer="0.59055118110236227"/>
  <pageSetup paperSize="9" scale="73" orientation="landscape" r:id="rId1"/>
  <headerFooter scaleWithDoc="0">
    <oddHeader>&amp;L&amp;"Arial,Bold"PUBLIC&amp;"Arial,Regular"
&amp;CEfficient Costs of New Entrant Ethanol Producers&amp;R&amp;G</oddHeader>
    <oddFooter>&amp;L&amp;F:&amp;A&amp;C&amp;D&amp;RPage &amp;P of &amp;N</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9" id="{BD69FDCD-D274-4208-A5F2-BCD11F0BC98D}">
            <xm:f>Assumptions!$C$30=Assumptions!$AH$105</xm:f>
            <x14:dxf>
              <border>
                <left/>
                <right/>
                <bottom/>
                <vertical/>
                <horizontal/>
              </border>
            </x14:dxf>
          </x14:cfRule>
          <x14:cfRule type="expression" priority="20" id="{EA7F88B0-48D7-4946-86C8-04FE61E09FC5}">
            <xm:f>Assumptions!$C$30=Assumptions!$AH$105</xm:f>
            <x14:dxf>
              <font>
                <color theme="0"/>
              </font>
            </x14:dxf>
          </x14:cfRule>
          <xm:sqref>B31:D32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'Summary Tables'!$E$5:$L$5</xm:f>
          </x14:formula1>
          <xm:sqref>C5</xm:sqref>
        </x14:dataValidation>
        <x14:dataValidation type="list" allowBlank="1" showInputMessage="1" showErrorMessage="1">
          <x14:formula1>
            <xm:f>'Feedstock Locations'!$F$4</xm:f>
          </x14:formula1>
          <xm:sqref>C14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K165"/>
  <sheetViews>
    <sheetView showGridLines="0" zoomScale="85" zoomScaleNormal="85" workbookViewId="0">
      <pane xSplit="1" ySplit="2" topLeftCell="B3" activePane="bottomRight" state="frozen"/>
      <selection pane="topRight" activeCell="B1" sqref="B1"/>
      <selection pane="bottomLeft" activeCell="A3" sqref="A3"/>
      <selection pane="bottomRight" activeCell="C13" sqref="C13"/>
    </sheetView>
  </sheetViews>
  <sheetFormatPr defaultRowHeight="12.75" x14ac:dyDescent="0.2"/>
  <cols>
    <col min="1" max="1" width="1.7109375" style="926" customWidth="1"/>
    <col min="2" max="2" width="36.85546875" style="926" customWidth="1"/>
    <col min="3" max="3" width="15.85546875" style="926" customWidth="1"/>
    <col min="4" max="4" width="13.28515625" style="926" customWidth="1"/>
    <col min="5" max="5" width="16.140625" style="926" customWidth="1"/>
    <col min="6" max="6" width="7.7109375" style="926" customWidth="1"/>
    <col min="7" max="7" width="2" style="926" customWidth="1"/>
    <col min="8" max="8" width="4.7109375" style="922" customWidth="1"/>
    <col min="9" max="9" width="26.140625" style="926" customWidth="1"/>
    <col min="10" max="10" width="10.7109375" style="926" customWidth="1"/>
    <col min="11" max="11" width="17.85546875" style="926" customWidth="1"/>
    <col min="12" max="12" width="7.7109375" style="926" customWidth="1"/>
    <col min="13" max="13" width="10.7109375" style="926" customWidth="1"/>
    <col min="14" max="14" width="7.7109375" style="926" customWidth="1"/>
    <col min="15" max="15" width="2" style="926" customWidth="1"/>
    <col min="16" max="16" width="36.140625" style="926" customWidth="1"/>
    <col min="17" max="17" width="15.85546875" style="926" customWidth="1"/>
    <col min="18" max="18" width="11.140625" style="926" customWidth="1"/>
    <col min="19" max="19" width="35.85546875" style="926" customWidth="1"/>
    <col min="20" max="20" width="6.5703125" style="926" customWidth="1"/>
    <col min="21" max="21" width="9.140625" style="926"/>
    <col min="22" max="22" width="3.140625" style="926" customWidth="1"/>
    <col min="23" max="23" width="25.42578125" style="926" customWidth="1"/>
    <col min="24" max="30" width="9.140625" style="926"/>
    <col min="31" max="33" width="9.140625" style="926" customWidth="1"/>
    <col min="34" max="34" width="10.85546875" style="926" customWidth="1"/>
    <col min="35" max="35" width="9.140625" style="926" customWidth="1"/>
    <col min="36" max="36" width="14.42578125" style="926" customWidth="1"/>
    <col min="37" max="37" width="16.85546875" style="926" customWidth="1"/>
    <col min="38" max="16384" width="9.140625" style="926"/>
  </cols>
  <sheetData>
    <row r="1" spans="2:45" ht="15.75" x14ac:dyDescent="0.25">
      <c r="B1" s="1079" t="s">
        <v>328</v>
      </c>
      <c r="E1" s="1080" t="s">
        <v>1004</v>
      </c>
      <c r="AC1" s="947"/>
      <c r="AD1" s="947"/>
      <c r="AE1" s="950" t="s">
        <v>317</v>
      </c>
      <c r="AF1" s="947"/>
      <c r="AG1" s="947"/>
      <c r="AI1" s="947"/>
      <c r="AJ1" s="947"/>
    </row>
    <row r="2" spans="2:45" ht="6.75" customHeight="1" x14ac:dyDescent="0.2">
      <c r="B2" s="953"/>
      <c r="C2" s="953"/>
      <c r="D2" s="953"/>
      <c r="E2" s="953"/>
      <c r="F2" s="942"/>
      <c r="G2" s="942"/>
      <c r="O2" s="924"/>
      <c r="P2" s="924"/>
      <c r="Q2" s="924"/>
      <c r="R2" s="924"/>
      <c r="S2" s="924"/>
      <c r="T2" s="924"/>
      <c r="U2" s="924"/>
      <c r="V2" s="924"/>
      <c r="W2" s="924"/>
      <c r="X2" s="924"/>
      <c r="Y2" s="924"/>
      <c r="Z2" s="924"/>
      <c r="AA2" s="924"/>
      <c r="AB2" s="924"/>
      <c r="AC2" s="925"/>
      <c r="AD2" s="925"/>
      <c r="AE2" s="925"/>
      <c r="AF2" s="925"/>
      <c r="AG2" s="925"/>
      <c r="AH2" s="925"/>
      <c r="AI2" s="925"/>
      <c r="AJ2" s="925"/>
      <c r="AK2" s="924"/>
      <c r="AL2" s="924"/>
      <c r="AM2" s="924"/>
      <c r="AN2" s="924"/>
      <c r="AO2" s="924"/>
      <c r="AP2" s="924"/>
      <c r="AQ2" s="924"/>
      <c r="AR2" s="924"/>
      <c r="AS2" s="924"/>
    </row>
    <row r="3" spans="2:45" ht="18" customHeight="1" x14ac:dyDescent="0.2">
      <c r="B3" s="954" t="s">
        <v>870</v>
      </c>
      <c r="C3" s="1081"/>
      <c r="D3" s="1081"/>
      <c r="E3" s="1081"/>
      <c r="F3" s="1081"/>
      <c r="G3" s="1081"/>
      <c r="H3" s="942"/>
      <c r="I3" s="954" t="s">
        <v>874</v>
      </c>
      <c r="J3" s="1082"/>
      <c r="K3" s="1082"/>
      <c r="L3" s="1082"/>
      <c r="M3" s="1082"/>
      <c r="N3" s="1082"/>
      <c r="O3" s="1082"/>
      <c r="P3" s="924"/>
      <c r="Q3" s="924"/>
      <c r="R3" s="924"/>
      <c r="S3" s="924"/>
      <c r="T3" s="924"/>
      <c r="U3" s="1550" t="str">
        <f>"Impact of feedstock price on ethanol production cost ($/L)
based on "&amp;C5&amp;" ML facility, using "&amp;C32*100&amp; "% post-tax real WACC"</f>
        <v>Impact of feedstock price on ethanol production cost ($/L)
based on 100 ML facility, using 6.9% post-tax real WACC</v>
      </c>
      <c r="V3" s="924"/>
      <c r="W3" s="924"/>
      <c r="X3" s="924"/>
      <c r="Y3" s="924"/>
      <c r="Z3" s="924"/>
      <c r="AA3" s="924"/>
      <c r="AB3" s="924"/>
      <c r="AC3" s="925"/>
      <c r="AD3" s="925"/>
      <c r="AE3" s="925"/>
      <c r="AF3" s="925"/>
      <c r="AG3" s="925"/>
      <c r="AH3" s="925"/>
      <c r="AI3" s="925"/>
      <c r="AJ3" s="925"/>
      <c r="AK3" s="924"/>
      <c r="AL3" s="924"/>
      <c r="AM3" s="924"/>
      <c r="AN3" s="924"/>
      <c r="AO3" s="924"/>
      <c r="AP3" s="924"/>
      <c r="AQ3" s="924"/>
      <c r="AR3" s="924"/>
      <c r="AS3" s="924"/>
    </row>
    <row r="4" spans="2:45" ht="5.25" customHeight="1" x14ac:dyDescent="0.2">
      <c r="B4" s="1083"/>
      <c r="C4" s="1083"/>
      <c r="D4" s="1599" t="s">
        <v>1006</v>
      </c>
      <c r="E4" s="1599"/>
      <c r="F4" s="1599"/>
      <c r="G4" s="1599"/>
      <c r="H4" s="942"/>
      <c r="I4" s="1083"/>
      <c r="J4" s="1083"/>
      <c r="K4" s="1083"/>
      <c r="L4" s="1083"/>
      <c r="M4" s="1083"/>
      <c r="N4" s="1083"/>
      <c r="O4" s="1083"/>
      <c r="P4" s="924"/>
      <c r="Q4" s="924"/>
      <c r="R4" s="924"/>
      <c r="S4" s="924"/>
      <c r="T4" s="924"/>
      <c r="U4" s="1550"/>
      <c r="V4" s="924"/>
      <c r="W4" s="924"/>
      <c r="X4" s="924"/>
      <c r="Y4" s="924"/>
      <c r="Z4" s="924"/>
      <c r="AA4" s="924"/>
      <c r="AB4" s="924"/>
      <c r="AC4" s="925"/>
      <c r="AD4" s="925"/>
      <c r="AE4" s="925"/>
      <c r="AF4" s="925"/>
      <c r="AG4" s="925"/>
      <c r="AH4" s="925"/>
      <c r="AI4" s="925"/>
      <c r="AJ4" s="925"/>
      <c r="AK4" s="924"/>
      <c r="AL4" s="924"/>
      <c r="AM4" s="924"/>
      <c r="AN4" s="924"/>
      <c r="AO4" s="924"/>
      <c r="AP4" s="924"/>
      <c r="AQ4" s="924"/>
      <c r="AR4" s="924"/>
      <c r="AS4" s="924"/>
    </row>
    <row r="5" spans="2:45" ht="18" customHeight="1" x14ac:dyDescent="0.2">
      <c r="B5" s="958" t="s">
        <v>871</v>
      </c>
      <c r="C5" s="903">
        <f>Interactive!C10</f>
        <v>100</v>
      </c>
      <c r="D5" s="1599"/>
      <c r="E5" s="1599"/>
      <c r="F5" s="1599"/>
      <c r="G5" s="1599"/>
      <c r="H5" s="1084"/>
      <c r="I5" s="958" t="s">
        <v>313</v>
      </c>
      <c r="J5" s="871">
        <v>0</v>
      </c>
      <c r="K5" s="958" t="s">
        <v>314</v>
      </c>
      <c r="L5" s="871">
        <v>0.75</v>
      </c>
      <c r="M5" s="958" t="s">
        <v>315</v>
      </c>
      <c r="N5" s="898">
        <f>IF((1-(SUM(J5,L5)))&lt;0,0,(1-(SUM(J5,L5))))</f>
        <v>0.25</v>
      </c>
      <c r="O5" s="1085"/>
      <c r="P5" s="924"/>
      <c r="Q5" s="924"/>
      <c r="R5" s="924"/>
      <c r="S5" s="924"/>
      <c r="T5" s="924"/>
      <c r="U5" s="1551" t="str">
        <f>"Weighted Ethanol Production Cost by Production Capacity based on 
delivered cost and quantity available, using "&amp;C32*100&amp; "% post-tax real WACC"</f>
        <v>Weighted Ethanol Production Cost by Production Capacity based on 
delivered cost and quantity available, using 6.9% post-tax real WACC</v>
      </c>
      <c r="V5" s="924"/>
      <c r="W5" s="924"/>
      <c r="X5" s="924"/>
      <c r="Y5" s="924"/>
      <c r="Z5" s="924"/>
      <c r="AA5" s="924"/>
      <c r="AB5" s="924"/>
      <c r="AC5" s="925"/>
      <c r="AD5" s="925"/>
      <c r="AE5" s="925"/>
      <c r="AF5" s="925"/>
      <c r="AG5" s="925"/>
      <c r="AH5" s="925"/>
      <c r="AI5" s="925"/>
      <c r="AJ5" s="925"/>
      <c r="AK5" s="924"/>
      <c r="AL5" s="924"/>
      <c r="AM5" s="924"/>
      <c r="AN5" s="924"/>
      <c r="AO5" s="924"/>
      <c r="AP5" s="924"/>
      <c r="AQ5" s="924"/>
      <c r="AR5" s="924"/>
      <c r="AS5" s="924"/>
    </row>
    <row r="6" spans="2:45" ht="5.25" customHeight="1" x14ac:dyDescent="0.2">
      <c r="B6" s="958"/>
      <c r="C6" s="896"/>
      <c r="D6" s="1599"/>
      <c r="E6" s="1599"/>
      <c r="F6" s="1599"/>
      <c r="G6" s="1599"/>
      <c r="H6" s="1084"/>
      <c r="I6" s="1086"/>
      <c r="J6" s="1086"/>
      <c r="K6" s="1086"/>
      <c r="L6" s="1086"/>
      <c r="M6" s="1086"/>
      <c r="N6" s="1086"/>
      <c r="O6" s="1086"/>
      <c r="P6" s="924"/>
      <c r="Q6" s="924"/>
      <c r="R6" s="924"/>
      <c r="S6" s="924"/>
      <c r="T6" s="924"/>
      <c r="U6" s="1550"/>
      <c r="V6" s="924"/>
      <c r="W6" s="924"/>
      <c r="X6" s="924"/>
      <c r="Y6" s="924"/>
      <c r="Z6" s="924"/>
      <c r="AA6" s="924"/>
      <c r="AB6" s="924"/>
      <c r="AC6" s="925"/>
      <c r="AD6" s="925"/>
      <c r="AE6" s="925"/>
      <c r="AF6" s="925"/>
      <c r="AG6" s="925"/>
      <c r="AH6" s="925"/>
      <c r="AI6" s="925"/>
      <c r="AJ6" s="925"/>
      <c r="AK6" s="924"/>
      <c r="AL6" s="924"/>
      <c r="AM6" s="924"/>
      <c r="AN6" s="924"/>
      <c r="AO6" s="924"/>
      <c r="AP6" s="924"/>
      <c r="AQ6" s="924"/>
      <c r="AR6" s="924"/>
      <c r="AS6" s="924"/>
    </row>
    <row r="7" spans="2:45" ht="18" customHeight="1" x14ac:dyDescent="0.2">
      <c r="B7" s="958" t="s">
        <v>212</v>
      </c>
      <c r="C7" s="869" t="s">
        <v>327</v>
      </c>
      <c r="D7" s="1087"/>
      <c r="E7" s="1087"/>
      <c r="F7" s="1087"/>
      <c r="G7" s="1087"/>
      <c r="H7" s="1084"/>
      <c r="I7" s="1602" t="s">
        <v>1021</v>
      </c>
      <c r="J7" s="1602"/>
      <c r="K7" s="1602"/>
      <c r="L7" s="1602"/>
      <c r="M7" s="1602"/>
      <c r="N7" s="1602"/>
      <c r="O7" s="957"/>
      <c r="P7" s="924"/>
      <c r="Q7" s="924"/>
      <c r="R7" s="924"/>
      <c r="S7" s="924"/>
      <c r="T7" s="924"/>
      <c r="U7" s="1551" t="str">
        <f>"Levelised Cost of Delivered Ethanol by Plant Size, using "&amp;C32*100&amp; "% post-tax real WACC"</f>
        <v>Levelised Cost of Delivered Ethanol by Plant Size, using 6.9% post-tax real WACC</v>
      </c>
      <c r="V7" s="924"/>
      <c r="W7" s="924"/>
      <c r="X7" s="924"/>
      <c r="Y7" s="924"/>
      <c r="Z7" s="924"/>
      <c r="AA7" s="924"/>
      <c r="AB7" s="924"/>
      <c r="AC7" s="925"/>
      <c r="AD7" s="925"/>
      <c r="AE7" s="925"/>
      <c r="AF7" s="925"/>
      <c r="AG7" s="925"/>
      <c r="AH7" s="925"/>
      <c r="AI7" s="925"/>
      <c r="AJ7" s="925"/>
      <c r="AK7" s="924"/>
      <c r="AL7" s="924"/>
      <c r="AM7" s="924"/>
      <c r="AN7" s="924"/>
      <c r="AO7" s="924"/>
      <c r="AP7" s="924"/>
      <c r="AQ7" s="924"/>
      <c r="AR7" s="924"/>
      <c r="AS7" s="924"/>
    </row>
    <row r="8" spans="2:45" ht="9" customHeight="1" x14ac:dyDescent="0.2">
      <c r="B8" s="1085"/>
      <c r="C8" s="1085"/>
      <c r="D8" s="1085"/>
      <c r="E8" s="1085"/>
      <c r="F8" s="1085"/>
      <c r="G8" s="1085"/>
      <c r="H8" s="1084"/>
      <c r="I8" s="957"/>
      <c r="J8" s="957"/>
      <c r="K8" s="957"/>
      <c r="L8" s="957"/>
      <c r="M8" s="957"/>
      <c r="N8" s="957"/>
      <c r="O8" s="957"/>
      <c r="P8" s="924"/>
      <c r="Q8" s="924"/>
      <c r="R8" s="924"/>
      <c r="S8" s="924"/>
      <c r="T8" s="924"/>
      <c r="U8" s="1551" t="str">
        <f>"Impact of scale of production on ethanol production cost ($/L)
based on "&amp;C5&amp;"ML facility, using "&amp;C32*100&amp; "% post-tax real WACC"</f>
        <v>Impact of scale of production on ethanol production cost ($/L)
based on 100ML facility, using 6.9% post-tax real WACC</v>
      </c>
      <c r="V8" s="924"/>
      <c r="W8" s="924"/>
      <c r="X8" s="924"/>
      <c r="Y8" s="924"/>
      <c r="Z8" s="924"/>
      <c r="AA8" s="924"/>
      <c r="AB8" s="924"/>
      <c r="AC8" s="925"/>
      <c r="AD8" s="925"/>
      <c r="AE8" s="925"/>
      <c r="AF8" s="925"/>
      <c r="AG8" s="925"/>
      <c r="AH8" s="925"/>
      <c r="AI8" s="925"/>
      <c r="AJ8" s="925"/>
      <c r="AK8" s="924"/>
      <c r="AL8" s="924"/>
      <c r="AM8" s="924"/>
      <c r="AN8" s="924"/>
      <c r="AO8" s="924"/>
      <c r="AP8" s="924"/>
      <c r="AQ8" s="924"/>
      <c r="AR8" s="924"/>
      <c r="AS8" s="924"/>
    </row>
    <row r="9" spans="2:45" ht="18.75" customHeight="1" x14ac:dyDescent="0.2">
      <c r="B9" s="954" t="s">
        <v>872</v>
      </c>
      <c r="C9" s="1081"/>
      <c r="D9" s="1523"/>
      <c r="E9" s="1524"/>
      <c r="F9" s="1524"/>
      <c r="G9" s="1081"/>
      <c r="H9" s="942"/>
      <c r="I9" s="954" t="s">
        <v>330</v>
      </c>
      <c r="J9" s="954"/>
      <c r="K9" s="954"/>
      <c r="L9" s="954"/>
      <c r="M9" s="954"/>
      <c r="N9" s="954"/>
      <c r="O9" s="954"/>
      <c r="P9" s="924"/>
      <c r="Q9" s="924"/>
      <c r="R9" s="924"/>
      <c r="S9" s="924"/>
      <c r="T9" s="924"/>
      <c r="U9" s="1550"/>
      <c r="V9" s="924"/>
      <c r="W9" s="924"/>
      <c r="X9" s="924"/>
      <c r="Y9" s="924"/>
      <c r="Z9" s="924"/>
      <c r="AA9" s="924"/>
      <c r="AB9" s="924"/>
      <c r="AC9" s="925"/>
      <c r="AD9" s="925"/>
      <c r="AE9" s="925"/>
      <c r="AF9" s="925"/>
      <c r="AG9" s="925"/>
      <c r="AH9" s="925"/>
      <c r="AI9" s="925"/>
      <c r="AJ9" s="925"/>
      <c r="AK9" s="924"/>
      <c r="AL9" s="924"/>
      <c r="AM9" s="924"/>
      <c r="AN9" s="924"/>
      <c r="AO9" s="924"/>
      <c r="AP9" s="924"/>
      <c r="AQ9" s="924"/>
      <c r="AR9" s="924"/>
      <c r="AS9" s="924"/>
    </row>
    <row r="10" spans="2:45" ht="5.25" customHeight="1" x14ac:dyDescent="0.2">
      <c r="B10" s="1088"/>
      <c r="C10" s="1089"/>
      <c r="D10" s="1089"/>
      <c r="E10" s="1089"/>
      <c r="F10" s="1089"/>
      <c r="G10" s="1089"/>
      <c r="H10" s="942"/>
      <c r="I10" s="1090"/>
      <c r="J10" s="1090"/>
      <c r="K10" s="1090"/>
      <c r="L10" s="1090"/>
      <c r="M10" s="1090"/>
      <c r="N10" s="1090"/>
      <c r="O10" s="1090"/>
      <c r="P10" s="924"/>
      <c r="Q10" s="924"/>
      <c r="R10" s="924"/>
      <c r="S10" s="924"/>
      <c r="T10" s="924"/>
      <c r="U10" s="1550"/>
      <c r="V10" s="924"/>
      <c r="W10" s="924"/>
      <c r="X10" s="924"/>
      <c r="Y10" s="924"/>
      <c r="Z10" s="924"/>
      <c r="AA10" s="924"/>
      <c r="AB10" s="924"/>
      <c r="AC10" s="925"/>
      <c r="AD10" s="925"/>
      <c r="AE10" s="925"/>
      <c r="AF10" s="925"/>
      <c r="AG10" s="925"/>
      <c r="AH10" s="925"/>
      <c r="AI10" s="925"/>
      <c r="AJ10" s="925"/>
      <c r="AK10" s="924"/>
      <c r="AL10" s="924"/>
      <c r="AM10" s="924"/>
      <c r="AN10" s="924"/>
      <c r="AO10" s="924"/>
      <c r="AP10" s="924"/>
      <c r="AQ10" s="924"/>
      <c r="AR10" s="924"/>
      <c r="AS10" s="924"/>
    </row>
    <row r="11" spans="2:45" ht="18" customHeight="1" x14ac:dyDescent="0.2">
      <c r="B11" s="1091" t="str">
        <f>'Costs per L'!E183</f>
        <v>Wheat Standalone (Starch)</v>
      </c>
      <c r="C11" s="869" t="s">
        <v>1035</v>
      </c>
      <c r="D11" s="1092"/>
      <c r="E11" s="1532" t="s">
        <v>1018</v>
      </c>
      <c r="F11" s="1093">
        <f>IF(C46&gt;0,C46,IF(C7='Feedstock Locations'!$F$4,
INDEX('Feedstock Locations'!$F:$F,MATCH(C12,'Feedstock Locations'!$B:$B,0)),
INDEX('Feedstock Locations'!#REF!,MATCH(C12,'Feedstock Locations'!$B:$B,0))))</f>
        <v>700</v>
      </c>
      <c r="G11" s="1090"/>
      <c r="H11" s="1084"/>
      <c r="I11" s="970" t="s">
        <v>877</v>
      </c>
      <c r="J11" s="872">
        <v>0.1</v>
      </c>
      <c r="K11" s="1092"/>
      <c r="L11" s="1092"/>
      <c r="M11" s="1092"/>
      <c r="N11" s="1092"/>
      <c r="O11" s="1092"/>
      <c r="U11" s="1550"/>
      <c r="V11" s="924"/>
      <c r="W11" s="924"/>
      <c r="X11" s="924"/>
      <c r="Y11" s="924"/>
      <c r="Z11" s="924"/>
      <c r="AA11" s="924"/>
      <c r="AB11" s="924"/>
      <c r="AC11" s="925"/>
      <c r="AD11" s="925"/>
      <c r="AE11" s="925"/>
      <c r="AF11" s="925"/>
      <c r="AG11" s="925"/>
      <c r="AH11" s="925"/>
      <c r="AI11" s="925"/>
      <c r="AJ11" s="925"/>
      <c r="AK11" s="924"/>
      <c r="AL11" s="924"/>
      <c r="AM11" s="924"/>
      <c r="AN11" s="924"/>
      <c r="AO11" s="924"/>
      <c r="AP11" s="924"/>
      <c r="AQ11" s="924"/>
      <c r="AR11" s="924"/>
      <c r="AS11" s="924"/>
    </row>
    <row r="12" spans="2:45" ht="9" customHeight="1" x14ac:dyDescent="0.2">
      <c r="B12" s="1091"/>
      <c r="C12" s="1094" t="str">
        <f>B11&amp;"."&amp;C11</f>
        <v>Wheat Standalone (Starch).Riverina</v>
      </c>
      <c r="D12" s="1092"/>
      <c r="E12" s="1089"/>
      <c r="F12" s="964"/>
      <c r="G12" s="1090"/>
      <c r="H12" s="1084"/>
      <c r="I12" s="970"/>
      <c r="J12" s="1092"/>
      <c r="K12" s="1092"/>
      <c r="L12" s="1092"/>
      <c r="M12" s="1092"/>
      <c r="N12" s="1092"/>
      <c r="O12" s="1092"/>
      <c r="U12" s="1550"/>
      <c r="V12" s="924"/>
      <c r="W12" s="924"/>
      <c r="X12" s="924"/>
      <c r="Y12" s="924"/>
      <c r="Z12" s="924"/>
      <c r="AA12" s="924"/>
      <c r="AB12" s="924"/>
      <c r="AC12" s="925"/>
      <c r="AD12" s="925"/>
      <c r="AE12" s="925"/>
      <c r="AF12" s="925"/>
      <c r="AG12" s="925"/>
      <c r="AH12" s="925"/>
      <c r="AI12" s="925"/>
      <c r="AJ12" s="925"/>
      <c r="AK12" s="924"/>
      <c r="AL12" s="924"/>
      <c r="AM12" s="924"/>
      <c r="AN12" s="924"/>
      <c r="AO12" s="924"/>
      <c r="AP12" s="924"/>
      <c r="AQ12" s="924"/>
      <c r="AR12" s="924"/>
      <c r="AS12" s="924"/>
    </row>
    <row r="13" spans="2:45" ht="18" customHeight="1" x14ac:dyDescent="0.2">
      <c r="B13" s="1091" t="str">
        <f>'Costs per L'!E38</f>
        <v>Wheat Integrated (Starch)</v>
      </c>
      <c r="C13" s="869" t="s">
        <v>1035</v>
      </c>
      <c r="D13" s="1092"/>
      <c r="E13" s="1532" t="s">
        <v>1018</v>
      </c>
      <c r="F13" s="1093">
        <f>IF(C47&gt;0,C47,IF(C7='Feedstock Locations'!$F$4,
INDEX('Feedstock Locations'!$F:$F,MATCH(C14,'Feedstock Locations'!$B:$B,0)),
INDEX('Feedstock Locations'!#REF!,MATCH(C14,'Feedstock Locations'!$B:$B,0))))</f>
        <v>700</v>
      </c>
      <c r="G13" s="1090"/>
      <c r="H13" s="1084"/>
      <c r="I13" s="970" t="s">
        <v>1003</v>
      </c>
      <c r="J13" s="872">
        <v>0.05</v>
      </c>
      <c r="K13" s="970" t="s">
        <v>878</v>
      </c>
      <c r="L13" s="1096">
        <f>N40</f>
        <v>2</v>
      </c>
      <c r="M13" s="1600" t="s">
        <v>881</v>
      </c>
      <c r="N13" s="1600"/>
      <c r="O13" s="1600"/>
      <c r="U13" s="1550"/>
      <c r="V13" s="924"/>
      <c r="W13" s="924"/>
      <c r="X13" s="924"/>
      <c r="Y13" s="924"/>
      <c r="Z13" s="924"/>
      <c r="AA13" s="924"/>
      <c r="AB13" s="924"/>
      <c r="AC13" s="925"/>
      <c r="AD13" s="925"/>
      <c r="AE13" s="925"/>
      <c r="AF13" s="925"/>
      <c r="AG13" s="925"/>
      <c r="AH13" s="925"/>
      <c r="AI13" s="925"/>
      <c r="AJ13" s="925"/>
      <c r="AK13" s="924"/>
      <c r="AL13" s="924"/>
      <c r="AM13" s="924"/>
      <c r="AN13" s="924"/>
      <c r="AO13" s="924"/>
      <c r="AP13" s="924"/>
      <c r="AQ13" s="924"/>
      <c r="AR13" s="924"/>
      <c r="AS13" s="924"/>
    </row>
    <row r="14" spans="2:45" ht="8.85" customHeight="1" x14ac:dyDescent="0.2">
      <c r="B14" s="1091"/>
      <c r="C14" s="1094" t="str">
        <f>B13&amp;"."&amp;C13</f>
        <v>Wheat Integrated (Starch).Riverina</v>
      </c>
      <c r="D14" s="1092"/>
      <c r="E14" s="1089"/>
      <c r="F14" s="1095"/>
      <c r="G14" s="1090"/>
      <c r="H14" s="1084"/>
      <c r="I14" s="970"/>
      <c r="J14" s="1092"/>
      <c r="K14" s="970"/>
      <c r="L14" s="1092"/>
      <c r="M14" s="1600"/>
      <c r="N14" s="1600"/>
      <c r="O14" s="1600"/>
      <c r="P14" s="924"/>
      <c r="Q14" s="924"/>
      <c r="R14" s="924"/>
      <c r="S14" s="924"/>
      <c r="T14" s="924"/>
      <c r="U14" s="924"/>
      <c r="V14" s="924"/>
      <c r="W14" s="924"/>
      <c r="X14" s="924"/>
      <c r="Y14" s="924"/>
      <c r="Z14" s="924"/>
      <c r="AA14" s="924"/>
      <c r="AB14" s="924"/>
      <c r="AC14" s="925"/>
      <c r="AD14" s="925"/>
      <c r="AE14" s="925"/>
      <c r="AF14" s="925"/>
      <c r="AG14" s="925"/>
      <c r="AH14" s="925"/>
      <c r="AI14" s="925"/>
      <c r="AJ14" s="925"/>
      <c r="AK14" s="924"/>
      <c r="AL14" s="924"/>
      <c r="AM14" s="924"/>
      <c r="AN14" s="924"/>
      <c r="AO14" s="924"/>
      <c r="AP14" s="924"/>
      <c r="AQ14" s="924"/>
      <c r="AR14" s="924"/>
      <c r="AS14" s="924"/>
    </row>
    <row r="15" spans="2:45" ht="18" customHeight="1" x14ac:dyDescent="0.2">
      <c r="B15" s="1091" t="str">
        <f>'Costs per L'!E154</f>
        <v>Imported Starch</v>
      </c>
      <c r="C15" s="869" t="s">
        <v>481</v>
      </c>
      <c r="D15" s="1092"/>
      <c r="E15" s="1532" t="s">
        <v>1018</v>
      </c>
      <c r="F15" s="1093">
        <f>IF(C49&gt;0,C49,IF(C7='Feedstock Locations'!$F$4,
INDEX('Feedstock Locations'!$F:$F,MATCH(C16,'Feedstock Locations'!$B:$B,0)),
INDEX('Feedstock Locations'!#REF!,MATCH(C16,'Feedstock Locations'!$B:$B,0))))</f>
        <v>161</v>
      </c>
      <c r="G15" s="1090"/>
      <c r="H15" s="1084"/>
      <c r="I15" s="970" t="s">
        <v>689</v>
      </c>
      <c r="J15" s="869">
        <v>28</v>
      </c>
      <c r="K15" s="970" t="s">
        <v>879</v>
      </c>
      <c r="L15" s="1096">
        <f>SUM(J15,L13)</f>
        <v>30</v>
      </c>
      <c r="M15" s="1097"/>
      <c r="N15" s="1097"/>
      <c r="O15" s="1097"/>
      <c r="P15" s="924"/>
      <c r="Q15" s="924"/>
      <c r="R15" s="924"/>
      <c r="S15" s="924"/>
      <c r="T15" s="924"/>
      <c r="U15" s="924"/>
      <c r="V15" s="924"/>
      <c r="W15" s="924"/>
      <c r="X15" s="924"/>
      <c r="Y15" s="924"/>
      <c r="Z15" s="924"/>
      <c r="AA15" s="924"/>
      <c r="AB15" s="924"/>
      <c r="AC15" s="925"/>
      <c r="AD15" s="925"/>
      <c r="AE15" s="925"/>
      <c r="AF15" s="925"/>
      <c r="AG15" s="925"/>
      <c r="AH15" s="925"/>
      <c r="AI15" s="925"/>
      <c r="AJ15" s="925"/>
      <c r="AK15" s="924"/>
      <c r="AL15" s="924"/>
      <c r="AM15" s="924"/>
      <c r="AN15" s="924"/>
      <c r="AO15" s="924"/>
      <c r="AP15" s="924"/>
      <c r="AQ15" s="924"/>
      <c r="AR15" s="924"/>
      <c r="AS15" s="924"/>
    </row>
    <row r="16" spans="2:45" ht="8.85" customHeight="1" x14ac:dyDescent="0.2">
      <c r="B16" s="1091"/>
      <c r="C16" s="1094" t="str">
        <f>B15&amp;"."&amp;C15</f>
        <v>Imported Starch.Newcastle</v>
      </c>
      <c r="D16" s="1092"/>
      <c r="E16" s="1089"/>
      <c r="F16" s="1095"/>
      <c r="G16" s="1090"/>
      <c r="H16" s="1084"/>
      <c r="I16" s="1092"/>
      <c r="J16" s="1092"/>
      <c r="K16" s="969"/>
      <c r="L16" s="969"/>
      <c r="M16" s="969"/>
      <c r="N16" s="969"/>
      <c r="O16" s="969"/>
      <c r="P16" s="924"/>
      <c r="Q16" s="924"/>
      <c r="R16" s="924"/>
      <c r="S16" s="924"/>
      <c r="T16" s="924"/>
      <c r="U16" s="924"/>
      <c r="V16" s="924"/>
      <c r="W16" s="924"/>
      <c r="X16" s="924"/>
      <c r="Y16" s="924"/>
      <c r="Z16" s="924"/>
      <c r="AA16" s="924"/>
      <c r="AB16" s="924"/>
      <c r="AC16" s="925"/>
      <c r="AD16" s="925"/>
      <c r="AE16" s="925"/>
      <c r="AF16" s="925"/>
      <c r="AG16" s="925"/>
      <c r="AH16" s="925"/>
      <c r="AI16" s="925"/>
      <c r="AJ16" s="925"/>
      <c r="AK16" s="924"/>
      <c r="AL16" s="924"/>
      <c r="AM16" s="924"/>
      <c r="AN16" s="924"/>
      <c r="AO16" s="924"/>
      <c r="AP16" s="924"/>
      <c r="AQ16" s="924"/>
      <c r="AR16" s="924"/>
      <c r="AS16" s="924"/>
    </row>
    <row r="17" spans="2:45" ht="18" customHeight="1" x14ac:dyDescent="0.2">
      <c r="B17" s="1091" t="str">
        <f>'Costs per L'!E96</f>
        <v>Sorghum (Starch)</v>
      </c>
      <c r="C17" s="869" t="s">
        <v>1037</v>
      </c>
      <c r="D17" s="1092"/>
      <c r="E17" s="1532" t="s">
        <v>1018</v>
      </c>
      <c r="F17" s="1093">
        <f>IF(C51&gt;0,C51,IF(C7='Feedstock Locations'!$F$4,
INDEX('Feedstock Locations'!$F:$F,MATCH(C18,'Feedstock Locations'!$B:$B,0)),
INDEX('Feedstock Locations'!#REF!,MATCH(C18,'Feedstock Locations'!$B:$B,0))))</f>
        <v>983</v>
      </c>
      <c r="G17" s="1090"/>
      <c r="H17" s="941"/>
      <c r="I17" s="954" t="s">
        <v>884</v>
      </c>
      <c r="J17" s="1081"/>
      <c r="K17" s="1081"/>
      <c r="L17" s="1098"/>
      <c r="M17" s="1081"/>
      <c r="N17" s="1081"/>
      <c r="O17" s="1081"/>
      <c r="W17" s="924"/>
      <c r="X17" s="924"/>
      <c r="Y17" s="924"/>
      <c r="Z17" s="924"/>
      <c r="AA17" s="924"/>
      <c r="AB17" s="924"/>
      <c r="AC17" s="925"/>
      <c r="AD17" s="925"/>
      <c r="AE17" s="925"/>
      <c r="AF17" s="925"/>
      <c r="AG17" s="925"/>
      <c r="AH17" s="925"/>
      <c r="AI17" s="925"/>
      <c r="AJ17" s="925"/>
      <c r="AK17" s="924"/>
      <c r="AL17" s="924"/>
      <c r="AM17" s="924"/>
      <c r="AN17" s="924"/>
      <c r="AO17" s="924"/>
      <c r="AP17" s="924"/>
      <c r="AQ17" s="924"/>
      <c r="AR17" s="924"/>
      <c r="AS17" s="924"/>
    </row>
    <row r="18" spans="2:45" ht="9" customHeight="1" x14ac:dyDescent="0.2">
      <c r="B18" s="1091"/>
      <c r="C18" s="1094" t="str">
        <f>B17&amp;"."&amp;C17</f>
        <v>Sorghum (Starch).Darling Downs</v>
      </c>
      <c r="D18" s="1092"/>
      <c r="E18" s="1089"/>
      <c r="F18" s="964"/>
      <c r="G18" s="1090"/>
      <c r="H18" s="941"/>
      <c r="I18" s="1099"/>
      <c r="J18" s="1100"/>
      <c r="K18" s="1101"/>
      <c r="L18" s="1100"/>
      <c r="M18" s="1100"/>
      <c r="N18" s="1100"/>
      <c r="O18" s="1102"/>
      <c r="W18" s="924"/>
      <c r="X18" s="924"/>
      <c r="Y18" s="924"/>
      <c r="Z18" s="924"/>
      <c r="AA18" s="924"/>
      <c r="AB18" s="924"/>
      <c r="AC18" s="925"/>
      <c r="AD18" s="925"/>
      <c r="AE18" s="925"/>
      <c r="AF18" s="925"/>
      <c r="AG18" s="925"/>
      <c r="AH18" s="925"/>
      <c r="AI18" s="925"/>
      <c r="AJ18" s="925"/>
      <c r="AK18" s="924"/>
      <c r="AL18" s="924"/>
      <c r="AM18" s="924"/>
      <c r="AN18" s="924"/>
      <c r="AO18" s="924"/>
      <c r="AP18" s="924"/>
      <c r="AQ18" s="924"/>
      <c r="AR18" s="924"/>
      <c r="AS18" s="924"/>
    </row>
    <row r="19" spans="2:45" ht="18" customHeight="1" x14ac:dyDescent="0.2">
      <c r="B19" s="1091" t="str">
        <f>'Costs per L'!E10</f>
        <v>C-Syrup (Sucrosic)</v>
      </c>
      <c r="C19" s="869" t="s">
        <v>664</v>
      </c>
      <c r="D19" s="1092"/>
      <c r="E19" s="1532" t="s">
        <v>1018</v>
      </c>
      <c r="F19" s="1093">
        <f>IF(F46&gt;0,F46,IF(C7='Feedstock Locations'!$F$4,
INDEX('Feedstock Locations'!$F:$F,MATCH(C20,'Feedstock Locations'!$B:$B,0)),
INDEX('Feedstock Locations'!#REF!,MATCH(C20,'Feedstock Locations'!$B:$B,0))))</f>
        <v>2056</v>
      </c>
      <c r="G19" s="1090"/>
      <c r="H19" s="941"/>
      <c r="I19" s="1103" t="s">
        <v>1002</v>
      </c>
      <c r="J19" s="903">
        <v>2017</v>
      </c>
      <c r="K19" s="1104"/>
      <c r="L19" s="1104"/>
      <c r="M19" s="1104"/>
      <c r="N19" s="1104"/>
      <c r="O19" s="1102"/>
      <c r="W19" s="924"/>
      <c r="X19" s="924"/>
      <c r="Y19" s="924"/>
      <c r="Z19" s="924"/>
      <c r="AA19" s="924"/>
      <c r="AB19" s="924"/>
      <c r="AC19" s="925"/>
      <c r="AD19" s="925"/>
      <c r="AE19" s="925"/>
      <c r="AF19" s="925"/>
      <c r="AG19" s="925"/>
      <c r="AH19" s="925"/>
      <c r="AI19" s="925"/>
      <c r="AJ19" s="925"/>
      <c r="AK19" s="924"/>
      <c r="AL19" s="924"/>
      <c r="AM19" s="924"/>
      <c r="AN19" s="924"/>
      <c r="AO19" s="924"/>
      <c r="AP19" s="924"/>
      <c r="AQ19" s="924"/>
      <c r="AR19" s="924"/>
      <c r="AS19" s="924"/>
    </row>
    <row r="20" spans="2:45" ht="9" customHeight="1" x14ac:dyDescent="0.2">
      <c r="B20" s="1091"/>
      <c r="C20" s="1094" t="str">
        <f>B19&amp;"."&amp;C19</f>
        <v>C-Syrup (Sucrosic).Burdekin</v>
      </c>
      <c r="D20" s="1092"/>
      <c r="E20" s="1089"/>
      <c r="F20" s="964"/>
      <c r="G20" s="1090"/>
      <c r="H20" s="941"/>
      <c r="I20" s="1103"/>
      <c r="J20" s="1104"/>
      <c r="K20" s="1104"/>
      <c r="L20" s="1104"/>
      <c r="M20" s="1104"/>
      <c r="N20" s="1104"/>
      <c r="O20" s="1102"/>
      <c r="W20" s="924"/>
      <c r="X20" s="924"/>
      <c r="Y20" s="924"/>
      <c r="Z20" s="924"/>
      <c r="AA20" s="924"/>
      <c r="AB20" s="924"/>
      <c r="AC20" s="925"/>
      <c r="AD20" s="925"/>
      <c r="AE20" s="925"/>
      <c r="AF20" s="925"/>
      <c r="AG20" s="925"/>
      <c r="AH20" s="925"/>
      <c r="AI20" s="925"/>
      <c r="AJ20" s="925"/>
      <c r="AK20" s="924"/>
      <c r="AL20" s="924"/>
      <c r="AM20" s="924"/>
      <c r="AN20" s="924"/>
      <c r="AO20" s="924"/>
      <c r="AP20" s="924"/>
      <c r="AQ20" s="924"/>
      <c r="AR20" s="924"/>
      <c r="AS20" s="924"/>
    </row>
    <row r="21" spans="2:45" ht="18" customHeight="1" x14ac:dyDescent="0.2">
      <c r="B21" s="1091" t="str">
        <f>'Costs per L'!E66</f>
        <v>B-Syrup (Sucrosic)</v>
      </c>
      <c r="C21" s="869" t="s">
        <v>664</v>
      </c>
      <c r="D21" s="1092"/>
      <c r="E21" s="1532" t="s">
        <v>1018</v>
      </c>
      <c r="F21" s="1093">
        <f>IF(F47&gt;0,F47,IF(C7='Feedstock Locations'!$F$4,
INDEX('Feedstock Locations'!$F:$F,MATCH(C22,'Feedstock Locations'!$B:$B,0)),
INDEX('Feedstock Locations'!#REF!,MATCH(C22,'Feedstock Locations'!$B:$B,0))))</f>
        <v>2056</v>
      </c>
      <c r="G21" s="1090"/>
      <c r="H21" s="941"/>
      <c r="I21" s="1105" t="s">
        <v>894</v>
      </c>
      <c r="J21" s="913">
        <v>2.4E-2</v>
      </c>
      <c r="K21" s="1106"/>
      <c r="L21" s="1106"/>
      <c r="M21" s="1106"/>
      <c r="N21" s="1106"/>
      <c r="O21" s="1107"/>
      <c r="W21" s="924"/>
      <c r="X21" s="924"/>
      <c r="Y21" s="924"/>
      <c r="Z21" s="924"/>
      <c r="AA21" s="924"/>
      <c r="AB21" s="924"/>
      <c r="AC21" s="925"/>
      <c r="AD21" s="925"/>
      <c r="AE21" s="925"/>
      <c r="AF21" s="925"/>
      <c r="AG21" s="925"/>
      <c r="AH21" s="925"/>
      <c r="AI21" s="925"/>
      <c r="AJ21" s="925"/>
      <c r="AK21" s="924"/>
      <c r="AL21" s="924"/>
      <c r="AM21" s="924"/>
      <c r="AN21" s="924"/>
      <c r="AO21" s="924"/>
      <c r="AP21" s="924"/>
      <c r="AQ21" s="924"/>
      <c r="AR21" s="924"/>
      <c r="AS21" s="924"/>
    </row>
    <row r="22" spans="2:45" ht="9" customHeight="1" x14ac:dyDescent="0.2">
      <c r="B22" s="1091"/>
      <c r="C22" s="1094" t="str">
        <f>B21&amp;"."&amp;C21</f>
        <v>B-Syrup (Sucrosic).Burdekin</v>
      </c>
      <c r="D22" s="1092"/>
      <c r="E22" s="1089"/>
      <c r="F22" s="964"/>
      <c r="G22" s="1090"/>
      <c r="H22" s="941"/>
      <c r="I22" s="1105"/>
      <c r="J22" s="1106"/>
      <c r="K22" s="1106"/>
      <c r="L22" s="1106"/>
      <c r="M22" s="1106"/>
      <c r="N22" s="1106"/>
      <c r="O22" s="1107"/>
      <c r="W22" s="924"/>
      <c r="X22" s="924"/>
      <c r="Y22" s="924"/>
      <c r="Z22" s="924"/>
      <c r="AA22" s="924"/>
      <c r="AB22" s="924"/>
      <c r="AC22" s="925"/>
      <c r="AD22" s="925"/>
      <c r="AE22" s="925"/>
      <c r="AF22" s="925"/>
      <c r="AG22" s="925"/>
      <c r="AH22" s="925"/>
      <c r="AI22" s="925"/>
      <c r="AJ22" s="925"/>
      <c r="AK22" s="924"/>
      <c r="AL22" s="924"/>
      <c r="AM22" s="924"/>
      <c r="AN22" s="924"/>
      <c r="AO22" s="924"/>
      <c r="AP22" s="924"/>
      <c r="AQ22" s="924"/>
      <c r="AR22" s="924"/>
      <c r="AS22" s="924"/>
    </row>
    <row r="23" spans="2:45" ht="18" customHeight="1" x14ac:dyDescent="0.2">
      <c r="B23" s="1091" t="str">
        <f>'Costs per L'!E213</f>
        <v>Cane trash (Cellulosic)</v>
      </c>
      <c r="C23" s="869" t="s">
        <v>664</v>
      </c>
      <c r="D23" s="1092"/>
      <c r="E23" s="1532" t="s">
        <v>1018</v>
      </c>
      <c r="F23" s="1093">
        <f>IF(F49&gt;0,F49,IF(C7='Feedstock Locations'!$F$4,
INDEX('Feedstock Locations'!$F:$F,MATCH(C24,'Feedstock Locations'!$B:$B,0)),
INDEX('Feedstock Locations'!#REF!,MATCH(C24,'Feedstock Locations'!$B:$B,0))))</f>
        <v>2056</v>
      </c>
      <c r="G23" s="1090"/>
      <c r="H23" s="941"/>
      <c r="I23" s="1601" t="s">
        <v>1019</v>
      </c>
      <c r="J23" s="914">
        <v>30</v>
      </c>
      <c r="K23" s="1106"/>
      <c r="L23" s="1105" t="s">
        <v>895</v>
      </c>
      <c r="M23" s="1108">
        <f>J23</f>
        <v>30</v>
      </c>
      <c r="N23" s="1106"/>
      <c r="O23" s="1107"/>
      <c r="W23" s="924"/>
      <c r="X23" s="924"/>
      <c r="Y23" s="924"/>
      <c r="Z23" s="924"/>
      <c r="AA23" s="924"/>
      <c r="AB23" s="924"/>
      <c r="AC23" s="925"/>
      <c r="AD23" s="925"/>
      <c r="AE23" s="925"/>
      <c r="AF23" s="925"/>
      <c r="AG23" s="925"/>
      <c r="AH23" s="925"/>
      <c r="AI23" s="925"/>
      <c r="AJ23" s="925"/>
      <c r="AK23" s="924"/>
      <c r="AL23" s="924"/>
      <c r="AM23" s="924"/>
      <c r="AN23" s="924"/>
      <c r="AO23" s="924"/>
      <c r="AP23" s="924"/>
      <c r="AQ23" s="924"/>
      <c r="AR23" s="924"/>
      <c r="AS23" s="924"/>
    </row>
    <row r="24" spans="2:45" ht="9" customHeight="1" x14ac:dyDescent="0.2">
      <c r="B24" s="1091"/>
      <c r="C24" s="1094" t="str">
        <f>B23&amp;"."&amp;C23</f>
        <v>Cane trash (Cellulosic).Burdekin</v>
      </c>
      <c r="D24" s="1092"/>
      <c r="E24" s="1089"/>
      <c r="F24" s="964"/>
      <c r="G24" s="1090"/>
      <c r="H24" s="941"/>
      <c r="I24" s="1601"/>
      <c r="J24" s="1106"/>
      <c r="K24" s="1106"/>
      <c r="L24" s="1106"/>
      <c r="M24" s="1106"/>
      <c r="N24" s="1106"/>
      <c r="O24" s="1107"/>
      <c r="W24" s="924"/>
      <c r="X24" s="924"/>
      <c r="Y24" s="924"/>
      <c r="Z24" s="924"/>
      <c r="AA24" s="924"/>
      <c r="AB24" s="924"/>
      <c r="AC24" s="925"/>
      <c r="AD24" s="925"/>
      <c r="AE24" s="925"/>
      <c r="AF24" s="925"/>
      <c r="AG24" s="925"/>
      <c r="AH24" s="925"/>
      <c r="AI24" s="925"/>
      <c r="AJ24" s="925"/>
      <c r="AK24" s="924"/>
      <c r="AL24" s="924"/>
      <c r="AM24" s="924"/>
      <c r="AN24" s="924"/>
      <c r="AO24" s="924"/>
      <c r="AP24" s="924"/>
      <c r="AQ24" s="924"/>
      <c r="AR24" s="924"/>
      <c r="AS24" s="924"/>
    </row>
    <row r="25" spans="2:45" ht="18" customHeight="1" x14ac:dyDescent="0.2">
      <c r="B25" s="1091" t="str">
        <f>'Costs per L'!E125</f>
        <v>Forest Residues (Cellulosic)</v>
      </c>
      <c r="C25" s="869" t="s">
        <v>672</v>
      </c>
      <c r="D25" s="1092"/>
      <c r="E25" s="1532" t="s">
        <v>1018</v>
      </c>
      <c r="F25" s="1093">
        <f>IF(F51&gt;0,F51,IF(C7='Feedstock Locations'!$F$4,
INDEX('Feedstock Locations'!$F:$F,MATCH(C26,'Feedstock Locations'!$B:$B,0)),
INDEX('Feedstock Locations'!#REF!,MATCH(C26,'Feedstock Locations'!$B:$B,0))))</f>
        <v>412</v>
      </c>
      <c r="G25" s="1090"/>
      <c r="H25" s="941"/>
      <c r="I25" s="1103" t="s">
        <v>476</v>
      </c>
      <c r="J25" s="869">
        <v>0.75</v>
      </c>
      <c r="K25" s="1106"/>
      <c r="L25" s="1106"/>
      <c r="M25" s="1106"/>
      <c r="N25" s="1106"/>
      <c r="O25" s="1107"/>
      <c r="W25" s="924"/>
      <c r="X25" s="924"/>
      <c r="Y25" s="924"/>
      <c r="Z25" s="924"/>
      <c r="AA25" s="924"/>
      <c r="AB25" s="924"/>
      <c r="AC25" s="925"/>
      <c r="AD25" s="925"/>
      <c r="AE25" s="925"/>
      <c r="AF25" s="925"/>
      <c r="AG25" s="925"/>
      <c r="AH25" s="925"/>
      <c r="AI25" s="925"/>
      <c r="AJ25" s="925"/>
      <c r="AK25" s="924"/>
      <c r="AL25" s="924"/>
      <c r="AM25" s="924"/>
      <c r="AN25" s="924"/>
      <c r="AO25" s="924"/>
      <c r="AP25" s="924"/>
      <c r="AQ25" s="924"/>
      <c r="AR25" s="924"/>
      <c r="AS25" s="924"/>
    </row>
    <row r="26" spans="2:45" ht="3.75" customHeight="1" x14ac:dyDescent="0.2">
      <c r="B26" s="1109"/>
      <c r="C26" s="1110" t="str">
        <f>B25&amp;"."&amp;C25</f>
        <v>Forest Residues (Cellulosic).Tumut</v>
      </c>
      <c r="D26" s="1109"/>
      <c r="E26" s="1109"/>
      <c r="F26" s="1109"/>
      <c r="G26" s="1109"/>
      <c r="H26" s="941"/>
      <c r="I26" s="1104"/>
      <c r="J26" s="1104"/>
      <c r="K26" s="1104"/>
      <c r="L26" s="1104"/>
      <c r="M26" s="1104"/>
      <c r="N26" s="1104"/>
      <c r="O26" s="1102"/>
      <c r="W26" s="924"/>
      <c r="X26" s="924"/>
      <c r="Y26" s="924"/>
      <c r="Z26" s="924"/>
      <c r="AA26" s="924"/>
      <c r="AB26" s="924"/>
      <c r="AC26" s="925"/>
      <c r="AD26" s="925"/>
      <c r="AE26" s="925"/>
      <c r="AF26" s="925"/>
      <c r="AG26" s="925"/>
      <c r="AH26" s="925"/>
      <c r="AI26" s="925"/>
      <c r="AJ26" s="925"/>
      <c r="AK26" s="924"/>
      <c r="AL26" s="924"/>
      <c r="AM26" s="924"/>
      <c r="AN26" s="924"/>
      <c r="AO26" s="924"/>
      <c r="AP26" s="924"/>
      <c r="AQ26" s="924"/>
      <c r="AR26" s="924"/>
      <c r="AS26" s="924"/>
    </row>
    <row r="27" spans="2:45" ht="10.5" customHeight="1" x14ac:dyDescent="0.2">
      <c r="B27" s="1598" t="str">
        <f>IF(SUM(D46:D51,H46:H51)&lt;&gt;0,"Feedstock location or delivery city different in Interactive tab","")</f>
        <v/>
      </c>
      <c r="C27" s="1598"/>
      <c r="D27" s="1598"/>
      <c r="E27" s="1598"/>
      <c r="F27" s="1598"/>
      <c r="G27" s="1598"/>
      <c r="H27" s="941"/>
      <c r="I27" s="1103"/>
      <c r="J27" s="1104"/>
      <c r="K27" s="1104"/>
      <c r="L27" s="1104"/>
      <c r="M27" s="1104"/>
      <c r="N27" s="1104"/>
      <c r="O27" s="1102"/>
      <c r="W27" s="924"/>
      <c r="X27" s="924"/>
      <c r="Y27" s="924"/>
      <c r="Z27" s="924"/>
      <c r="AA27" s="924"/>
      <c r="AB27" s="924"/>
      <c r="AC27" s="925"/>
      <c r="AD27" s="925"/>
      <c r="AE27" s="925"/>
      <c r="AF27" s="925"/>
      <c r="AG27" s="925"/>
      <c r="AH27" s="925"/>
      <c r="AI27" s="925"/>
      <c r="AJ27" s="925"/>
      <c r="AK27" s="924"/>
      <c r="AL27" s="924"/>
      <c r="AM27" s="924"/>
      <c r="AN27" s="924"/>
      <c r="AO27" s="924"/>
      <c r="AP27" s="924"/>
      <c r="AQ27" s="924"/>
      <c r="AR27" s="924"/>
      <c r="AS27" s="924"/>
    </row>
    <row r="28" spans="2:45" ht="18" customHeight="1" x14ac:dyDescent="0.2">
      <c r="B28" s="954" t="s">
        <v>880</v>
      </c>
      <c r="C28" s="1081"/>
      <c r="D28" s="1081"/>
      <c r="E28" s="1081"/>
      <c r="F28" s="1081"/>
      <c r="G28" s="1081"/>
      <c r="I28" s="1103" t="s">
        <v>889</v>
      </c>
      <c r="J28" s="871">
        <v>0.1</v>
      </c>
      <c r="K28" s="1114" t="s">
        <v>1001</v>
      </c>
      <c r="L28" s="1104"/>
      <c r="M28" s="1104"/>
      <c r="N28" s="1104"/>
      <c r="O28" s="1102"/>
      <c r="W28" s="924"/>
      <c r="X28" s="924"/>
      <c r="Y28" s="924"/>
      <c r="Z28" s="924"/>
      <c r="AA28" s="924"/>
      <c r="AB28" s="924"/>
      <c r="AC28" s="925"/>
      <c r="AD28" s="925"/>
      <c r="AE28" s="925"/>
      <c r="AF28" s="925"/>
      <c r="AG28" s="925"/>
      <c r="AH28" s="925"/>
      <c r="AI28" s="925"/>
      <c r="AJ28" s="925"/>
      <c r="AK28" s="924"/>
      <c r="AL28" s="924"/>
      <c r="AM28" s="924"/>
      <c r="AN28" s="924"/>
      <c r="AO28" s="924"/>
      <c r="AP28" s="924"/>
      <c r="AQ28" s="924"/>
      <c r="AR28" s="924"/>
      <c r="AS28" s="924"/>
    </row>
    <row r="29" spans="2:45" ht="9" customHeight="1" x14ac:dyDescent="0.2">
      <c r="B29" s="1107"/>
      <c r="C29" s="1111"/>
      <c r="D29" s="1111"/>
      <c r="E29" s="1111"/>
      <c r="F29" s="1107"/>
      <c r="G29" s="1107"/>
      <c r="I29" s="1116"/>
      <c r="J29" s="1104"/>
      <c r="K29" s="1104"/>
      <c r="L29" s="1104"/>
      <c r="M29" s="1104"/>
      <c r="N29" s="1104"/>
      <c r="O29" s="1102"/>
      <c r="W29" s="924"/>
      <c r="X29" s="924"/>
      <c r="Y29" s="924"/>
      <c r="Z29" s="924"/>
      <c r="AA29" s="924"/>
      <c r="AB29" s="924"/>
      <c r="AC29" s="925"/>
      <c r="AD29" s="925"/>
      <c r="AE29" s="925"/>
      <c r="AF29" s="925"/>
      <c r="AG29" s="925"/>
      <c r="AH29" s="925"/>
      <c r="AI29" s="925"/>
      <c r="AJ29" s="925"/>
      <c r="AK29" s="924"/>
      <c r="AL29" s="924"/>
      <c r="AM29" s="924"/>
      <c r="AN29" s="924"/>
      <c r="AO29" s="924"/>
      <c r="AP29" s="924"/>
      <c r="AQ29" s="924"/>
      <c r="AR29" s="924"/>
      <c r="AS29" s="924"/>
    </row>
    <row r="30" spans="2:45" ht="18" customHeight="1" x14ac:dyDescent="0.2">
      <c r="B30" s="1103" t="s">
        <v>875</v>
      </c>
      <c r="C30" s="1603" t="s">
        <v>846</v>
      </c>
      <c r="D30" s="1604"/>
      <c r="E30" s="1112"/>
      <c r="F30" s="1113"/>
      <c r="G30" s="1113"/>
      <c r="H30" s="942"/>
      <c r="I30" s="1103" t="s">
        <v>540</v>
      </c>
      <c r="J30" s="915">
        <v>0.9</v>
      </c>
      <c r="K30" s="1104"/>
      <c r="L30" s="1104"/>
      <c r="M30" s="1104"/>
      <c r="N30" s="1104"/>
      <c r="O30" s="1102"/>
      <c r="W30" s="924"/>
      <c r="X30" s="924"/>
      <c r="Y30" s="924"/>
      <c r="Z30" s="924"/>
      <c r="AA30" s="924"/>
      <c r="AB30" s="924"/>
      <c r="AC30" s="925"/>
      <c r="AD30" s="925"/>
      <c r="AE30" s="925"/>
      <c r="AF30" s="925"/>
      <c r="AG30" s="925"/>
      <c r="AH30" s="925"/>
      <c r="AI30" s="925"/>
      <c r="AJ30" s="925"/>
      <c r="AK30" s="924"/>
      <c r="AL30" s="924"/>
      <c r="AM30" s="924"/>
      <c r="AN30" s="924"/>
      <c r="AO30" s="924"/>
      <c r="AP30" s="924"/>
      <c r="AQ30" s="924"/>
      <c r="AR30" s="924"/>
      <c r="AS30" s="924"/>
    </row>
    <row r="31" spans="2:45" ht="8.1" customHeight="1" x14ac:dyDescent="0.2">
      <c r="B31" s="1103"/>
      <c r="C31" s="900"/>
      <c r="D31" s="1115"/>
      <c r="E31" s="1100"/>
      <c r="F31" s="1100"/>
      <c r="G31" s="1100"/>
      <c r="H31" s="941"/>
      <c r="I31" s="1119"/>
      <c r="J31" s="1120"/>
      <c r="K31" s="1120"/>
      <c r="L31" s="1120"/>
      <c r="M31" s="1120"/>
      <c r="N31" s="1120"/>
      <c r="O31" s="1102"/>
      <c r="W31" s="924"/>
      <c r="X31" s="924"/>
      <c r="Y31" s="924"/>
      <c r="Z31" s="924"/>
      <c r="AA31" s="924"/>
      <c r="AB31" s="924"/>
      <c r="AC31" s="925"/>
      <c r="AD31" s="925"/>
      <c r="AE31" s="925"/>
      <c r="AF31" s="925"/>
      <c r="AG31" s="925"/>
      <c r="AH31" s="925"/>
      <c r="AI31" s="925"/>
      <c r="AJ31" s="925"/>
      <c r="AK31" s="924"/>
      <c r="AL31" s="924"/>
      <c r="AM31" s="924"/>
      <c r="AN31" s="924"/>
      <c r="AO31" s="924"/>
      <c r="AP31" s="924"/>
      <c r="AQ31" s="924"/>
      <c r="AR31" s="924"/>
      <c r="AS31" s="924"/>
    </row>
    <row r="32" spans="2:45" ht="18" customHeight="1" x14ac:dyDescent="0.2">
      <c r="B32" s="1103" t="s">
        <v>923</v>
      </c>
      <c r="C32" s="870">
        <v>6.9000000000000006E-2</v>
      </c>
      <c r="D32" s="1107"/>
      <c r="E32" s="1103" t="s">
        <v>1023</v>
      </c>
      <c r="F32" s="1540">
        <v>4.2000000000000003E-2</v>
      </c>
      <c r="G32" s="1118"/>
      <c r="H32" s="941"/>
      <c r="I32" s="1103" t="s">
        <v>885</v>
      </c>
      <c r="J32" s="903">
        <v>100</v>
      </c>
      <c r="K32" s="1114" t="s">
        <v>887</v>
      </c>
      <c r="L32" s="1104"/>
      <c r="M32" s="1103" t="s">
        <v>993</v>
      </c>
      <c r="N32" s="917">
        <v>0.66</v>
      </c>
      <c r="O32" s="1102"/>
      <c r="W32" s="924"/>
      <c r="X32" s="924"/>
      <c r="Y32" s="924"/>
      <c r="Z32" s="924"/>
      <c r="AA32" s="924"/>
      <c r="AB32" s="924"/>
      <c r="AC32" s="925"/>
      <c r="AD32" s="925"/>
      <c r="AE32" s="925"/>
      <c r="AF32" s="925"/>
      <c r="AG32" s="925"/>
      <c r="AH32" s="925"/>
      <c r="AI32" s="925"/>
      <c r="AJ32" s="925"/>
      <c r="AK32" s="924"/>
      <c r="AL32" s="924"/>
      <c r="AM32" s="924"/>
      <c r="AN32" s="924"/>
      <c r="AO32" s="924"/>
      <c r="AP32" s="924"/>
      <c r="AQ32" s="924"/>
      <c r="AR32" s="924"/>
      <c r="AS32" s="924"/>
    </row>
    <row r="33" spans="1:63" ht="8.85" customHeight="1" x14ac:dyDescent="0.2">
      <c r="B33" s="1107"/>
      <c r="C33" s="1107"/>
      <c r="D33" s="1107"/>
      <c r="E33" s="1107"/>
      <c r="F33" s="1107"/>
      <c r="G33" s="1107"/>
      <c r="H33" s="941"/>
      <c r="I33" s="1103"/>
      <c r="J33" s="1104"/>
      <c r="K33" s="1104"/>
      <c r="L33" s="1104"/>
      <c r="M33" s="1104"/>
      <c r="N33" s="1104"/>
      <c r="O33" s="1107"/>
      <c r="W33" s="924"/>
      <c r="X33" s="924"/>
      <c r="Y33" s="924"/>
      <c r="Z33" s="924"/>
      <c r="AA33" s="924"/>
      <c r="AB33" s="924"/>
      <c r="AC33" s="925"/>
      <c r="AD33" s="925"/>
      <c r="AE33" s="925"/>
      <c r="AF33" s="925"/>
      <c r="AG33" s="925"/>
      <c r="AH33" s="925"/>
      <c r="AI33" s="925"/>
      <c r="AJ33" s="925"/>
      <c r="AK33" s="924"/>
      <c r="AL33" s="924"/>
      <c r="AM33" s="924"/>
      <c r="AN33" s="924"/>
      <c r="AO33" s="924"/>
      <c r="AP33" s="924"/>
      <c r="AQ33" s="924"/>
      <c r="AR33" s="924"/>
      <c r="AS33" s="924"/>
    </row>
    <row r="34" spans="1:63" ht="18" customHeight="1" x14ac:dyDescent="0.2">
      <c r="B34" s="1605" t="s">
        <v>1020</v>
      </c>
      <c r="C34" s="1605"/>
      <c r="D34" s="1605"/>
      <c r="E34" s="1117" t="s">
        <v>873</v>
      </c>
      <c r="F34" s="897">
        <f>IF(C30=AH106,J28,0)</f>
        <v>0</v>
      </c>
      <c r="G34" s="1539"/>
      <c r="H34" s="941"/>
      <c r="I34" s="1103" t="s">
        <v>886</v>
      </c>
      <c r="J34" s="916">
        <v>0.125</v>
      </c>
      <c r="K34" s="1114" t="s">
        <v>888</v>
      </c>
      <c r="L34" s="1104"/>
      <c r="M34" s="1104"/>
      <c r="N34" s="1104"/>
      <c r="O34" s="1107"/>
      <c r="W34" s="924"/>
      <c r="X34" s="924"/>
      <c r="Y34" s="924"/>
      <c r="Z34" s="924"/>
      <c r="AA34" s="924"/>
      <c r="AB34" s="924"/>
      <c r="AC34" s="925"/>
      <c r="AD34" s="925"/>
      <c r="AE34" s="925"/>
      <c r="AF34" s="925"/>
      <c r="AG34" s="925"/>
      <c r="AH34" s="925"/>
      <c r="AI34" s="925"/>
      <c r="AJ34" s="925"/>
      <c r="AK34" s="924"/>
      <c r="AL34" s="924"/>
      <c r="AM34" s="924"/>
      <c r="AN34" s="924"/>
      <c r="AO34" s="924"/>
      <c r="AP34" s="924"/>
      <c r="AQ34" s="924"/>
      <c r="AR34" s="924"/>
      <c r="AS34" s="924"/>
    </row>
    <row r="35" spans="1:63" ht="8.85" customHeight="1" x14ac:dyDescent="0.2">
      <c r="B35" s="1107"/>
      <c r="C35" s="1107"/>
      <c r="D35" s="1107"/>
      <c r="E35" s="1107"/>
      <c r="F35" s="1107"/>
      <c r="G35" s="1107"/>
      <c r="H35" s="941"/>
      <c r="I35" s="1103"/>
      <c r="J35" s="1104"/>
      <c r="K35" s="1104"/>
      <c r="L35" s="1104"/>
      <c r="M35" s="1104"/>
      <c r="N35" s="1104"/>
      <c r="O35" s="1102"/>
      <c r="W35" s="924"/>
      <c r="X35" s="924"/>
      <c r="Y35" s="924"/>
      <c r="Z35" s="924"/>
      <c r="AA35" s="924"/>
      <c r="AB35" s="924"/>
      <c r="AC35" s="925"/>
      <c r="AD35" s="925"/>
      <c r="AE35" s="925"/>
      <c r="AF35" s="925"/>
      <c r="AG35" s="925"/>
      <c r="AH35" s="925"/>
      <c r="AI35" s="925"/>
      <c r="AJ35" s="925"/>
      <c r="AK35" s="924"/>
      <c r="AL35" s="924"/>
      <c r="AM35" s="924"/>
      <c r="AN35" s="924"/>
      <c r="AO35" s="924"/>
      <c r="AP35" s="924"/>
      <c r="AQ35" s="924"/>
      <c r="AR35" s="924"/>
      <c r="AS35" s="924"/>
    </row>
    <row r="36" spans="1:63" ht="18" customHeight="1" x14ac:dyDescent="0.2">
      <c r="B36" s="954" t="s">
        <v>892</v>
      </c>
      <c r="C36" s="955"/>
      <c r="D36" s="955"/>
      <c r="E36" s="955"/>
      <c r="F36" s="955"/>
      <c r="G36" s="955"/>
      <c r="H36" s="941"/>
      <c r="I36" s="1103" t="s">
        <v>368</v>
      </c>
      <c r="J36" s="916">
        <v>0.1</v>
      </c>
      <c r="K36" s="1114" t="s">
        <v>888</v>
      </c>
      <c r="L36" s="1104"/>
      <c r="M36" s="1104"/>
      <c r="N36" s="1104"/>
      <c r="O36" s="1102"/>
      <c r="W36" s="924"/>
      <c r="X36" s="924"/>
      <c r="Y36" s="924"/>
      <c r="Z36" s="924"/>
      <c r="AA36" s="924"/>
      <c r="AB36" s="924"/>
      <c r="AC36" s="925"/>
      <c r="AD36" s="925"/>
      <c r="AE36" s="925"/>
      <c r="AF36" s="925"/>
      <c r="AG36" s="925"/>
      <c r="AH36" s="925"/>
      <c r="AI36" s="925"/>
      <c r="AJ36" s="925"/>
      <c r="AK36" s="924"/>
      <c r="AL36" s="924"/>
      <c r="AM36" s="924"/>
      <c r="AN36" s="924"/>
      <c r="AO36" s="924"/>
      <c r="AP36" s="924"/>
      <c r="AQ36" s="924"/>
      <c r="AR36" s="924"/>
      <c r="AS36" s="924"/>
    </row>
    <row r="37" spans="1:63" ht="8.85" customHeight="1" x14ac:dyDescent="0.2">
      <c r="B37" s="1121"/>
      <c r="C37" s="1121"/>
      <c r="D37" s="1121"/>
      <c r="E37" s="1121"/>
      <c r="F37" s="1121"/>
      <c r="G37" s="1121"/>
      <c r="H37" s="941"/>
      <c r="I37" s="1103"/>
      <c r="J37" s="1104"/>
      <c r="K37" s="1114"/>
      <c r="L37" s="1104"/>
      <c r="M37" s="1104"/>
      <c r="N37" s="1104"/>
      <c r="O37" s="1102"/>
      <c r="W37" s="924"/>
      <c r="X37" s="924"/>
      <c r="Y37" s="924"/>
      <c r="Z37" s="924"/>
      <c r="AA37" s="924"/>
      <c r="AB37" s="924"/>
      <c r="AC37" s="925"/>
      <c r="AD37" s="925"/>
      <c r="AE37" s="925"/>
      <c r="AF37" s="925"/>
      <c r="AG37" s="925"/>
      <c r="AH37" s="925"/>
      <c r="AI37" s="925"/>
      <c r="AJ37" s="925"/>
      <c r="AK37" s="924"/>
      <c r="AL37" s="924"/>
      <c r="AM37" s="924"/>
      <c r="AN37" s="924"/>
      <c r="AO37" s="924"/>
      <c r="AP37" s="924"/>
      <c r="AQ37" s="924"/>
      <c r="AR37" s="924"/>
      <c r="AS37" s="924"/>
    </row>
    <row r="38" spans="1:63" ht="18" customHeight="1" x14ac:dyDescent="0.2">
      <c r="B38" s="1122" t="s">
        <v>871</v>
      </c>
      <c r="C38" s="1123">
        <f>Interactive!C10</f>
        <v>100</v>
      </c>
      <c r="D38" s="1124"/>
      <c r="E38" s="1124"/>
      <c r="F38" s="1124"/>
      <c r="G38" s="1121"/>
      <c r="H38" s="942"/>
      <c r="I38" s="1103" t="s">
        <v>299</v>
      </c>
      <c r="J38" s="916">
        <v>0.1</v>
      </c>
      <c r="K38" s="1114" t="s">
        <v>888</v>
      </c>
      <c r="L38" s="1104"/>
      <c r="M38" s="1104"/>
      <c r="N38" s="1104"/>
      <c r="O38" s="1102"/>
      <c r="W38" s="924"/>
      <c r="X38" s="924"/>
      <c r="Y38" s="924"/>
      <c r="Z38" s="924"/>
      <c r="AA38" s="924"/>
      <c r="AB38" s="924"/>
      <c r="AC38" s="925"/>
      <c r="AD38" s="925"/>
      <c r="AE38" s="925"/>
      <c r="AF38" s="925"/>
      <c r="AG38" s="925"/>
      <c r="AH38" s="925"/>
      <c r="AI38" s="925"/>
      <c r="AJ38" s="925"/>
      <c r="AK38" s="924"/>
      <c r="AL38" s="924"/>
      <c r="AM38" s="924"/>
      <c r="AN38" s="924"/>
      <c r="AO38" s="924"/>
      <c r="AP38" s="924"/>
      <c r="AQ38" s="924"/>
      <c r="AR38" s="924"/>
      <c r="AS38" s="924"/>
    </row>
    <row r="39" spans="1:63" ht="8.85" customHeight="1" x14ac:dyDescent="0.2">
      <c r="B39" s="1125"/>
      <c r="C39" s="1124"/>
      <c r="D39" s="1124"/>
      <c r="E39" s="1124"/>
      <c r="F39" s="1124"/>
      <c r="G39" s="1121"/>
      <c r="H39" s="942"/>
      <c r="I39" s="1103"/>
      <c r="J39" s="1104"/>
      <c r="K39" s="1114"/>
      <c r="L39" s="1104"/>
      <c r="M39" s="1104"/>
      <c r="N39" s="1104"/>
      <c r="O39" s="1102"/>
      <c r="W39" s="924"/>
      <c r="X39" s="924"/>
      <c r="Y39" s="924"/>
      <c r="Z39" s="924"/>
      <c r="AA39" s="924"/>
      <c r="AB39" s="924"/>
      <c r="AC39" s="925"/>
      <c r="AD39" s="925"/>
      <c r="AE39" s="925"/>
      <c r="AF39" s="925"/>
      <c r="AG39" s="925"/>
      <c r="AH39" s="925"/>
      <c r="AI39" s="925"/>
      <c r="AJ39" s="925"/>
      <c r="AK39" s="924"/>
      <c r="AL39" s="924"/>
      <c r="AM39" s="924"/>
      <c r="AN39" s="924"/>
      <c r="AO39" s="924"/>
      <c r="AP39" s="924"/>
      <c r="AQ39" s="924"/>
      <c r="AR39" s="924"/>
      <c r="AS39" s="924"/>
    </row>
    <row r="40" spans="1:63" ht="18" customHeight="1" x14ac:dyDescent="0.2">
      <c r="B40" s="1126" t="str">
        <f>Interactive!C5</f>
        <v>Wheat Integrated (Starch)</v>
      </c>
      <c r="C40" s="1127" t="str">
        <f>Interactive!C12</f>
        <v>Riverina</v>
      </c>
      <c r="D40" s="1124"/>
      <c r="E40" s="1122" t="s">
        <v>891</v>
      </c>
      <c r="F40" s="1128">
        <f>Interactive!F14</f>
        <v>700</v>
      </c>
      <c r="G40" s="1121"/>
      <c r="H40" s="942"/>
      <c r="I40" s="1103" t="s">
        <v>345</v>
      </c>
      <c r="J40" s="903">
        <v>2017</v>
      </c>
      <c r="K40" s="1104"/>
      <c r="L40" s="1106"/>
      <c r="M40" s="1103" t="s">
        <v>890</v>
      </c>
      <c r="N40" s="917">
        <f>J42-J40</f>
        <v>2</v>
      </c>
      <c r="O40" s="1102"/>
      <c r="W40" s="924"/>
      <c r="X40" s="924"/>
      <c r="Y40" s="924"/>
      <c r="Z40" s="924"/>
      <c r="AA40" s="924"/>
      <c r="AB40" s="924"/>
      <c r="AC40" s="925"/>
      <c r="AD40" s="925"/>
      <c r="AE40" s="925"/>
      <c r="AF40" s="925"/>
      <c r="AG40" s="925"/>
      <c r="AH40" s="925"/>
      <c r="AI40" s="925"/>
      <c r="AJ40" s="925"/>
      <c r="AK40" s="924"/>
      <c r="AL40" s="924"/>
      <c r="AM40" s="924"/>
      <c r="AN40" s="924"/>
      <c r="AO40" s="924"/>
      <c r="AP40" s="924"/>
      <c r="AQ40" s="924"/>
      <c r="AR40" s="924"/>
      <c r="AS40" s="924"/>
    </row>
    <row r="41" spans="1:63" ht="8.25" customHeight="1" x14ac:dyDescent="0.2">
      <c r="B41" s="1121"/>
      <c r="C41" s="1121"/>
      <c r="D41" s="1121"/>
      <c r="E41" s="1121"/>
      <c r="F41" s="1121"/>
      <c r="G41" s="1121"/>
      <c r="H41" s="942"/>
      <c r="I41" s="1103"/>
      <c r="J41" s="1104"/>
      <c r="K41" s="1104"/>
      <c r="L41" s="1104"/>
      <c r="M41" s="1104"/>
      <c r="N41" s="1104"/>
      <c r="O41" s="1102"/>
      <c r="W41" s="924"/>
      <c r="X41" s="924"/>
      <c r="Y41" s="924"/>
      <c r="Z41" s="924"/>
      <c r="AA41" s="924"/>
      <c r="AB41" s="924"/>
      <c r="AC41" s="925"/>
      <c r="AD41" s="925"/>
      <c r="AE41" s="925"/>
      <c r="AF41" s="925"/>
      <c r="AG41" s="925"/>
      <c r="AH41" s="925"/>
      <c r="AI41" s="925"/>
      <c r="AJ41" s="925"/>
      <c r="AK41" s="924"/>
      <c r="AL41" s="924"/>
      <c r="AM41" s="924"/>
      <c r="AN41" s="924"/>
      <c r="AO41" s="924"/>
      <c r="AP41" s="924"/>
      <c r="AQ41" s="924"/>
      <c r="AR41" s="924"/>
      <c r="AS41" s="924"/>
    </row>
    <row r="42" spans="1:63" ht="18" customHeight="1" x14ac:dyDescent="0.2">
      <c r="B42" s="1597" t="s">
        <v>893</v>
      </c>
      <c r="C42" s="1597"/>
      <c r="D42" s="1597"/>
      <c r="E42" s="1597"/>
      <c r="F42" s="1597"/>
      <c r="G42" s="1597"/>
      <c r="H42" s="941"/>
      <c r="I42" s="1103" t="s">
        <v>344</v>
      </c>
      <c r="J42" s="903">
        <v>2019</v>
      </c>
      <c r="K42" s="1104"/>
      <c r="L42" s="1104"/>
      <c r="M42" s="1104"/>
      <c r="N42" s="1104"/>
      <c r="O42" s="1102"/>
      <c r="W42" s="924"/>
      <c r="X42" s="924"/>
      <c r="Y42" s="924"/>
      <c r="Z42" s="924"/>
      <c r="AA42" s="924"/>
      <c r="AB42" s="924"/>
      <c r="AC42" s="925"/>
      <c r="AD42" s="925"/>
      <c r="AE42" s="925"/>
      <c r="AF42" s="925"/>
      <c r="AG42" s="925"/>
      <c r="AH42" s="925"/>
      <c r="AI42" s="925"/>
      <c r="AJ42" s="925"/>
      <c r="AK42" s="924"/>
      <c r="AL42" s="924"/>
      <c r="AM42" s="924"/>
      <c r="AN42" s="924"/>
      <c r="AO42" s="924"/>
      <c r="AP42" s="924"/>
      <c r="AQ42" s="924"/>
      <c r="AR42" s="924"/>
      <c r="AS42" s="924"/>
    </row>
    <row r="43" spans="1:63" ht="8.85" customHeight="1" x14ac:dyDescent="0.2">
      <c r="B43" s="1121"/>
      <c r="C43" s="1121"/>
      <c r="D43" s="1121"/>
      <c r="E43" s="1121"/>
      <c r="F43" s="1121"/>
      <c r="G43" s="1121"/>
      <c r="I43" s="1107"/>
      <c r="J43" s="1107"/>
      <c r="K43" s="1107"/>
      <c r="L43" s="1107"/>
      <c r="M43" s="1107"/>
      <c r="N43" s="1107"/>
      <c r="O43" s="1107"/>
      <c r="W43" s="924"/>
      <c r="X43" s="924"/>
      <c r="Y43" s="924"/>
      <c r="Z43" s="924"/>
      <c r="AA43" s="924"/>
      <c r="AB43" s="924"/>
      <c r="AC43" s="925"/>
      <c r="AD43" s="925"/>
      <c r="AE43" s="925"/>
      <c r="AF43" s="925"/>
      <c r="AG43" s="925"/>
      <c r="AH43" s="925"/>
      <c r="AI43" s="925"/>
      <c r="AJ43" s="925"/>
      <c r="AK43" s="924"/>
      <c r="AL43" s="924"/>
      <c r="AM43" s="924"/>
      <c r="AN43" s="924"/>
      <c r="AO43" s="924"/>
      <c r="AP43" s="924"/>
      <c r="AQ43" s="924"/>
      <c r="AR43" s="924"/>
      <c r="AS43" s="924"/>
    </row>
    <row r="44" spans="1:63" ht="18" customHeight="1" x14ac:dyDescent="0.2">
      <c r="H44" s="941"/>
      <c r="P44" s="923"/>
      <c r="Q44" s="923"/>
      <c r="R44" s="923"/>
      <c r="S44" s="923"/>
      <c r="T44" s="923"/>
      <c r="U44" s="924"/>
      <c r="V44" s="924"/>
      <c r="W44" s="924"/>
      <c r="X44" s="924"/>
      <c r="Y44" s="924"/>
      <c r="Z44" s="924"/>
      <c r="AA44" s="924"/>
      <c r="AB44" s="924"/>
      <c r="AC44" s="925"/>
      <c r="AD44" s="925"/>
      <c r="AE44" s="925"/>
      <c r="AF44" s="925"/>
      <c r="AG44" s="925"/>
      <c r="AH44" s="925"/>
      <c r="AI44" s="925"/>
      <c r="AJ44" s="925"/>
      <c r="AK44" s="924"/>
      <c r="AL44" s="924"/>
      <c r="AM44" s="924"/>
      <c r="AN44" s="924"/>
      <c r="AO44" s="924"/>
      <c r="AP44" s="924"/>
      <c r="AQ44" s="924"/>
      <c r="AR44" s="924"/>
      <c r="AS44" s="924"/>
    </row>
    <row r="45" spans="1:63" ht="9" customHeight="1" x14ac:dyDescent="0.2">
      <c r="H45" s="941"/>
      <c r="P45" s="923"/>
      <c r="Q45" s="923"/>
      <c r="R45" s="923"/>
      <c r="S45" s="923"/>
      <c r="T45" s="923"/>
      <c r="U45" s="924"/>
      <c r="V45" s="924"/>
      <c r="W45" s="924"/>
      <c r="X45" s="924"/>
      <c r="Y45" s="924"/>
      <c r="Z45" s="924"/>
      <c r="AA45" s="924"/>
      <c r="AB45" s="924"/>
      <c r="AC45" s="925"/>
      <c r="AD45" s="925"/>
      <c r="AE45" s="925"/>
      <c r="AF45" s="925"/>
      <c r="AG45" s="925"/>
      <c r="AH45" s="925"/>
      <c r="AI45" s="925"/>
      <c r="AJ45" s="925"/>
      <c r="AK45" s="924"/>
      <c r="AL45" s="924"/>
      <c r="AM45" s="924"/>
      <c r="AN45" s="924"/>
      <c r="AO45" s="924"/>
      <c r="AP45" s="924"/>
      <c r="AQ45" s="924"/>
      <c r="AR45" s="924"/>
      <c r="AS45" s="924"/>
    </row>
    <row r="46" spans="1:63" ht="15" customHeight="1" x14ac:dyDescent="0.2">
      <c r="A46" s="939"/>
      <c r="B46" s="906" t="str">
        <f>B11</f>
        <v>Wheat Standalone (Starch)</v>
      </c>
      <c r="C46" s="918">
        <f>IF(AND(B11=Interactive!$C$5,Interactive!$F$14&gt;0),Interactive!$F$14,0)</f>
        <v>0</v>
      </c>
      <c r="D46" s="919">
        <f>IF(C46=0,0,(IF(C7='Feedstock Locations'!$F$4,
INDEX('Feedstock Locations'!$F:$F,MATCH(C12,'Feedstock Locations'!$B:$B,0)),
INDEX('Feedstock Locations'!#REF!,MATCH(C12,'Feedstock Locations'!$B:$B,0))))-C46)</f>
        <v>0</v>
      </c>
      <c r="E46" s="920" t="str">
        <f>B19</f>
        <v>C-Syrup (Sucrosic)</v>
      </c>
      <c r="F46" s="918">
        <f>IF(AND(E46=Interactive!$C$5,Interactive!$F$14&gt;0),Interactive!$F$14,0)</f>
        <v>0</v>
      </c>
      <c r="G46" s="906"/>
      <c r="H46" s="921">
        <f>IF(F46=0,0,(IF(C7='Feedstock Locations'!$F$4,
INDEX('Feedstock Locations'!$F:$F,MATCH(C20,'Feedstock Locations'!$B:$B,0)),
INDEX('Feedstock Locations'!#REF!,MATCH(C20,'Feedstock Locations'!$B:$B,0))))-F46)</f>
        <v>0</v>
      </c>
      <c r="I46" s="921"/>
      <c r="J46" s="921"/>
      <c r="K46" s="921"/>
      <c r="L46" s="921"/>
      <c r="M46" s="921"/>
      <c r="N46" s="921"/>
      <c r="O46" s="921"/>
      <c r="P46" s="928"/>
      <c r="Q46" s="923"/>
      <c r="R46" s="923"/>
      <c r="S46" s="923"/>
      <c r="T46" s="923"/>
      <c r="U46" s="924"/>
      <c r="V46" s="924"/>
      <c r="W46" s="924"/>
      <c r="X46" s="924"/>
      <c r="Y46" s="924"/>
      <c r="Z46" s="924"/>
      <c r="AA46" s="924"/>
      <c r="AB46" s="924"/>
      <c r="AC46" s="925"/>
      <c r="AD46" s="925"/>
      <c r="AE46" s="925"/>
      <c r="AF46" s="925"/>
      <c r="AG46" s="925"/>
      <c r="AH46" s="925"/>
      <c r="AI46" s="925"/>
      <c r="AJ46" s="925"/>
      <c r="AK46" s="924"/>
      <c r="AL46" s="924"/>
      <c r="AM46" s="924"/>
      <c r="AN46" s="924"/>
      <c r="AO46" s="924"/>
      <c r="AP46" s="924"/>
      <c r="AQ46" s="924"/>
      <c r="AR46" s="924"/>
      <c r="AS46" s="924"/>
    </row>
    <row r="47" spans="1:63" ht="23.25" customHeight="1" x14ac:dyDescent="0.2">
      <c r="A47" s="939"/>
      <c r="B47" s="906" t="str">
        <f>B13</f>
        <v>Wheat Integrated (Starch)</v>
      </c>
      <c r="C47" s="918">
        <f>IF(AND(B13=Interactive!$C$5,Interactive!$F$14&gt;0),Interactive!$F$14,0)</f>
        <v>700</v>
      </c>
      <c r="D47" s="906">
        <f>IF(C47=0,0,(IF(C7='Feedstock Locations'!$F$4,
INDEX('Feedstock Locations'!$F:$F,MATCH(C14,'Feedstock Locations'!$B:$B,0)),
INDEX('Feedstock Locations'!#REF!,MATCH(C14,'Feedstock Locations'!$B:$B,0))))-C47)</f>
        <v>0</v>
      </c>
      <c r="E47" s="906" t="str">
        <f>B21</f>
        <v>B-Syrup (Sucrosic)</v>
      </c>
      <c r="F47" s="918">
        <f>IF(AND(B21=Interactive!$C$5,Interactive!$F$14&gt;0),Interactive!$F$14,0)</f>
        <v>0</v>
      </c>
      <c r="G47" s="906"/>
      <c r="H47" s="921">
        <f>IF(F47=0,0,(IF(C7='Feedstock Locations'!$F$4,
INDEX('Feedstock Locations'!$F:$F,MATCH(C22,'Feedstock Locations'!$B:$B,0)),
INDEX('Feedstock Locations'!#REF!,MATCH(C22,'Feedstock Locations'!$B:$B,0))))-F47)</f>
        <v>0</v>
      </c>
      <c r="I47" s="927"/>
      <c r="J47" s="927"/>
      <c r="K47" s="927"/>
      <c r="L47" s="927"/>
      <c r="M47" s="927"/>
      <c r="N47" s="927"/>
      <c r="O47" s="927"/>
      <c r="P47" s="928"/>
      <c r="Q47" s="928"/>
      <c r="R47" s="928"/>
      <c r="S47" s="928"/>
      <c r="T47" s="928"/>
      <c r="U47" s="929"/>
      <c r="V47" s="1535"/>
      <c r="W47" s="1535"/>
      <c r="X47" s="1535"/>
      <c r="Y47" s="1535"/>
      <c r="Z47" s="1535"/>
      <c r="AA47" s="1535"/>
      <c r="AB47" s="1535"/>
      <c r="AC47" s="1535"/>
      <c r="AD47" s="1535"/>
      <c r="AE47" s="1535"/>
      <c r="AF47" s="1535"/>
      <c r="AG47" s="1535"/>
      <c r="AH47" s="1535"/>
      <c r="AI47" s="1535"/>
      <c r="AJ47" s="1535"/>
      <c r="AK47" s="1535"/>
      <c r="AL47" s="1535"/>
      <c r="AM47" s="1535"/>
      <c r="AN47" s="1535"/>
      <c r="AO47" s="1535"/>
      <c r="AP47" s="1535"/>
      <c r="AQ47" s="1535"/>
      <c r="AR47" s="1535"/>
      <c r="AS47" s="1535"/>
      <c r="AT47" s="1536"/>
      <c r="AU47" s="1536"/>
      <c r="AV47" s="1536"/>
      <c r="AW47" s="1536"/>
      <c r="AX47" s="1536"/>
      <c r="AY47" s="1536"/>
      <c r="AZ47" s="1536"/>
      <c r="BA47" s="1536"/>
      <c r="BB47" s="1536"/>
      <c r="BC47" s="1536"/>
      <c r="BD47" s="1536"/>
      <c r="BE47" s="1536"/>
      <c r="BF47" s="1536"/>
      <c r="BG47" s="1536"/>
      <c r="BH47" s="1536"/>
      <c r="BI47" s="1536"/>
      <c r="BJ47" s="1536"/>
      <c r="BK47" s="1536"/>
    </row>
    <row r="48" spans="1:63" ht="15" customHeight="1" x14ac:dyDescent="0.2">
      <c r="A48" s="939"/>
      <c r="B48" s="906"/>
      <c r="C48" s="906"/>
      <c r="D48" s="906"/>
      <c r="E48" s="906"/>
      <c r="F48" s="906"/>
      <c r="G48" s="930"/>
      <c r="H48" s="921"/>
      <c r="I48" s="927"/>
      <c r="J48" s="927"/>
      <c r="K48" s="927"/>
      <c r="L48" s="927"/>
      <c r="M48" s="927"/>
      <c r="N48" s="927"/>
      <c r="O48" s="927"/>
      <c r="P48" s="928"/>
      <c r="Q48" s="928"/>
      <c r="R48" s="928"/>
      <c r="S48" s="928"/>
      <c r="T48" s="928"/>
      <c r="U48" s="929"/>
      <c r="V48" s="1535"/>
      <c r="W48" s="1535"/>
      <c r="X48" s="1535"/>
      <c r="Y48" s="1535"/>
      <c r="Z48" s="1535"/>
      <c r="AA48" s="1535"/>
      <c r="AB48" s="1535"/>
      <c r="AC48" s="1535"/>
      <c r="AD48" s="1535"/>
      <c r="AE48" s="1535"/>
      <c r="AF48" s="1535"/>
      <c r="AG48" s="1535"/>
      <c r="AH48" s="1535"/>
      <c r="AI48" s="1535"/>
      <c r="AJ48" s="1535"/>
      <c r="AK48" s="1535"/>
      <c r="AL48" s="1535"/>
      <c r="AM48" s="1535"/>
      <c r="AN48" s="1535"/>
      <c r="AO48" s="1535"/>
      <c r="AP48" s="1535"/>
      <c r="AQ48" s="1535"/>
      <c r="AR48" s="1535"/>
      <c r="AS48" s="1535"/>
      <c r="AT48" s="1536"/>
      <c r="AU48" s="1536"/>
      <c r="AV48" s="1536"/>
      <c r="AW48" s="1536"/>
      <c r="AX48" s="1536"/>
      <c r="AY48" s="1536"/>
      <c r="AZ48" s="1536"/>
      <c r="BA48" s="1536"/>
      <c r="BB48" s="1536"/>
      <c r="BC48" s="1536"/>
      <c r="BD48" s="1536"/>
      <c r="BE48" s="1536"/>
      <c r="BF48" s="1536"/>
      <c r="BG48" s="1536"/>
      <c r="BH48" s="1536"/>
      <c r="BI48" s="1536"/>
      <c r="BJ48" s="1536"/>
      <c r="BK48" s="1536"/>
    </row>
    <row r="49" spans="1:63" ht="14.25" customHeight="1" x14ac:dyDescent="0.2">
      <c r="A49" s="939"/>
      <c r="B49" s="906" t="str">
        <f>B15</f>
        <v>Imported Starch</v>
      </c>
      <c r="C49" s="918">
        <f>IF(AND(B15=Interactive!$C$5,Interactive!$F$14&gt;0),Interactive!$F$14,0)</f>
        <v>0</v>
      </c>
      <c r="D49" s="906">
        <f>IF(C49=0,0,(IF(C7='Feedstock Locations'!$F$4,
INDEX('Feedstock Locations'!$F:$F,MATCH(C16,'Feedstock Locations'!$B:$B,0)),
INDEX('Feedstock Locations'!#REF!,MATCH(C16,'Feedstock Locations'!$B:$B,0))))-C49)</f>
        <v>0</v>
      </c>
      <c r="E49" s="906" t="str">
        <f>B23</f>
        <v>Cane trash (Cellulosic)</v>
      </c>
      <c r="F49" s="918">
        <f>IF(AND(B23=Interactive!$C$5,Interactive!$F$14&gt;0),Interactive!$F$14,0)</f>
        <v>0</v>
      </c>
      <c r="G49" s="930"/>
      <c r="H49" s="921">
        <f>IF(F49=0,F49,(IF(C7='Feedstock Locations'!$F$4,
INDEX('Feedstock Locations'!$F:$F,MATCH(C24,'Feedstock Locations'!$B:$B,0)),
INDEX('Feedstock Locations'!#REF!,MATCH(C24,'Feedstock Locations'!$B:$B,0))))-F49)</f>
        <v>0</v>
      </c>
      <c r="I49" s="906"/>
      <c r="J49" s="906"/>
      <c r="K49" s="906"/>
      <c r="L49" s="906"/>
      <c r="M49" s="906"/>
      <c r="N49" s="906"/>
      <c r="O49" s="906"/>
      <c r="P49" s="918"/>
      <c r="Q49" s="918"/>
      <c r="R49" s="918"/>
      <c r="S49" s="918"/>
      <c r="T49" s="918"/>
      <c r="U49" s="918"/>
      <c r="V49" s="1535"/>
      <c r="W49" s="1535"/>
      <c r="X49" s="1535"/>
      <c r="Y49" s="1535"/>
      <c r="Z49" s="1535"/>
      <c r="AA49" s="1535"/>
      <c r="AB49" s="1535"/>
      <c r="AC49" s="1535"/>
      <c r="AD49" s="1535"/>
      <c r="AE49" s="1535"/>
      <c r="AF49" s="1535"/>
      <c r="AG49" s="1535"/>
      <c r="AH49" s="1535"/>
      <c r="AI49" s="1535"/>
      <c r="AJ49" s="1535"/>
      <c r="AK49" s="1535"/>
      <c r="AL49" s="1535"/>
      <c r="AM49" s="1535"/>
      <c r="AN49" s="1535"/>
      <c r="AO49" s="1535"/>
      <c r="AP49" s="1535"/>
      <c r="AQ49" s="1535"/>
      <c r="AR49" s="1535"/>
      <c r="AS49" s="1535"/>
      <c r="AT49" s="1536"/>
      <c r="AU49" s="1536"/>
      <c r="AV49" s="1536"/>
      <c r="AW49" s="1536"/>
      <c r="AX49" s="1536"/>
      <c r="AY49" s="1536"/>
      <c r="AZ49" s="1536"/>
      <c r="BA49" s="1536"/>
      <c r="BB49" s="1536"/>
      <c r="BC49" s="1536"/>
      <c r="BD49" s="1536"/>
      <c r="BE49" s="1536"/>
      <c r="BF49" s="1536"/>
      <c r="BG49" s="1536"/>
      <c r="BH49" s="1536"/>
      <c r="BI49" s="1536"/>
      <c r="BJ49" s="1536"/>
      <c r="BK49" s="1536"/>
    </row>
    <row r="50" spans="1:63" ht="15" customHeight="1" x14ac:dyDescent="0.2">
      <c r="A50" s="939"/>
      <c r="B50" s="906"/>
      <c r="C50" s="906"/>
      <c r="D50" s="906"/>
      <c r="E50" s="906"/>
      <c r="F50" s="906"/>
      <c r="G50" s="930"/>
      <c r="H50" s="921"/>
      <c r="I50" s="906"/>
      <c r="J50" s="906"/>
      <c r="K50" s="906"/>
      <c r="L50" s="906"/>
      <c r="M50" s="906"/>
      <c r="N50" s="906"/>
      <c r="O50" s="906"/>
      <c r="P50" s="918"/>
      <c r="Q50" s="918"/>
      <c r="R50" s="918"/>
      <c r="S50" s="918"/>
      <c r="T50" s="918"/>
      <c r="U50" s="918"/>
      <c r="V50" s="1535"/>
      <c r="W50" s="1535"/>
      <c r="X50" s="1535"/>
      <c r="Y50" s="1535"/>
      <c r="Z50" s="1535"/>
      <c r="AA50" s="1535"/>
      <c r="AB50" s="1535"/>
      <c r="AC50" s="1535"/>
      <c r="AD50" s="1535"/>
      <c r="AE50" s="1535"/>
      <c r="AF50" s="1535"/>
      <c r="AG50" s="1535"/>
      <c r="AH50" s="1535"/>
      <c r="AI50" s="1535"/>
      <c r="AJ50" s="1535"/>
      <c r="AK50" s="1535"/>
      <c r="AL50" s="1535"/>
      <c r="AM50" s="1535"/>
      <c r="AN50" s="1535"/>
      <c r="AO50" s="1535"/>
      <c r="AP50" s="1535"/>
      <c r="AQ50" s="1535"/>
      <c r="AR50" s="1535"/>
      <c r="AS50" s="1535"/>
      <c r="AT50" s="1536"/>
      <c r="AU50" s="1536"/>
      <c r="AV50" s="1536"/>
      <c r="AW50" s="1536"/>
      <c r="AX50" s="1536"/>
      <c r="AY50" s="1536"/>
      <c r="AZ50" s="1536"/>
      <c r="BA50" s="1536"/>
      <c r="BB50" s="1536"/>
      <c r="BC50" s="1536"/>
      <c r="BD50" s="1536"/>
      <c r="BE50" s="1536"/>
      <c r="BF50" s="1536"/>
      <c r="BG50" s="1536"/>
      <c r="BH50" s="1536"/>
      <c r="BI50" s="1536"/>
      <c r="BJ50" s="1536"/>
      <c r="BK50" s="1536"/>
    </row>
    <row r="51" spans="1:63" ht="15" customHeight="1" x14ac:dyDescent="0.2">
      <c r="A51" s="939"/>
      <c r="B51" s="906" t="str">
        <f>B17</f>
        <v>Sorghum (Starch)</v>
      </c>
      <c r="C51" s="918">
        <f>IF(AND(B17=Interactive!$C$5,Interactive!$F$14&gt;0),Interactive!$F$14,0)</f>
        <v>0</v>
      </c>
      <c r="D51" s="906">
        <f>IF(C51=0,0,(IF(C7='Feedstock Locations'!$F$4,
INDEX('Feedstock Locations'!$F:$F,MATCH(C18,'Feedstock Locations'!$B:$B,0)),
INDEX('Feedstock Locations'!#REF!,MATCH(C18,'Feedstock Locations'!$B:$B,0))))-C51)</f>
        <v>0</v>
      </c>
      <c r="E51" s="906" t="str">
        <f>B25</f>
        <v>Forest Residues (Cellulosic)</v>
      </c>
      <c r="F51" s="918">
        <f>IF(AND(B25=Interactive!$C$5,Interactive!$F$14&gt;0),Interactive!$F$14,0)</f>
        <v>0</v>
      </c>
      <c r="G51" s="930"/>
      <c r="H51" s="921">
        <f>IF(F51=0,F51,(IF(C7='Feedstock Locations'!$F$4,
INDEX('Feedstock Locations'!$F:$F,MATCH(C26,'Feedstock Locations'!$B:$B,0)),
INDEX('Feedstock Locations'!#REF!,MATCH(C26,'Feedstock Locations'!$B:$B,0))))-F51)</f>
        <v>0</v>
      </c>
      <c r="I51" s="931" t="s">
        <v>289</v>
      </c>
      <c r="J51" s="932"/>
      <c r="K51" s="932"/>
      <c r="L51" s="932"/>
      <c r="M51" s="932"/>
      <c r="N51" s="932"/>
      <c r="O51" s="932"/>
      <c r="P51" s="918"/>
      <c r="Q51" s="918"/>
      <c r="R51" s="918"/>
      <c r="S51" s="918"/>
      <c r="T51" s="918"/>
      <c r="U51" s="918"/>
      <c r="V51" s="1535"/>
      <c r="W51" s="1535"/>
      <c r="X51" s="1535"/>
      <c r="Y51" s="1535"/>
      <c r="Z51" s="1535"/>
      <c r="AA51" s="1535"/>
      <c r="AB51" s="1535"/>
      <c r="AC51" s="1535"/>
      <c r="AD51" s="1535"/>
      <c r="AE51" s="1535"/>
      <c r="AF51" s="1535"/>
      <c r="AG51" s="1535"/>
      <c r="AH51" s="1535"/>
      <c r="AI51" s="1535"/>
      <c r="AJ51" s="1535"/>
      <c r="AK51" s="1535"/>
      <c r="AL51" s="1535"/>
      <c r="AM51" s="1535"/>
      <c r="AN51" s="1535"/>
      <c r="AO51" s="1535"/>
      <c r="AP51" s="1535"/>
      <c r="AQ51" s="1535"/>
      <c r="AR51" s="1535"/>
      <c r="AS51" s="1535"/>
      <c r="AT51" s="1536"/>
      <c r="AU51" s="1536"/>
      <c r="AV51" s="1536"/>
      <c r="AW51" s="1536"/>
      <c r="AX51" s="1536"/>
      <c r="AY51" s="1536"/>
      <c r="AZ51" s="1536"/>
      <c r="BA51" s="1536"/>
      <c r="BB51" s="1536"/>
      <c r="BC51" s="1536"/>
      <c r="BD51" s="1536"/>
      <c r="BE51" s="1536"/>
      <c r="BF51" s="1536"/>
      <c r="BG51" s="1536"/>
      <c r="BH51" s="1536"/>
      <c r="BI51" s="1536"/>
      <c r="BJ51" s="1536"/>
      <c r="BK51" s="1536"/>
    </row>
    <row r="52" spans="1:63" ht="15" customHeight="1" x14ac:dyDescent="0.2">
      <c r="A52" s="939"/>
      <c r="B52" s="930"/>
      <c r="C52" s="930"/>
      <c r="D52" s="930"/>
      <c r="E52" s="930"/>
      <c r="F52" s="930"/>
      <c r="G52" s="930"/>
      <c r="H52" s="921"/>
      <c r="I52" s="933"/>
      <c r="J52" s="930"/>
      <c r="K52" s="930"/>
      <c r="L52" s="906"/>
      <c r="M52" s="930"/>
      <c r="N52" s="930"/>
      <c r="O52" s="930"/>
      <c r="P52" s="918"/>
      <c r="Q52" s="918"/>
      <c r="R52" s="918"/>
      <c r="S52" s="918"/>
      <c r="T52" s="918"/>
      <c r="U52" s="918"/>
      <c r="V52" s="1535"/>
      <c r="W52" s="1535"/>
      <c r="X52" s="1535"/>
      <c r="Y52" s="1535"/>
      <c r="Z52" s="1535"/>
      <c r="AA52" s="1535"/>
      <c r="AB52" s="1535"/>
      <c r="AC52" s="1535"/>
      <c r="AD52" s="1535"/>
      <c r="AE52" s="1535"/>
      <c r="AF52" s="1535"/>
      <c r="AG52" s="1535"/>
      <c r="AH52" s="1535"/>
      <c r="AI52" s="1535"/>
      <c r="AJ52" s="1535"/>
      <c r="AK52" s="1535"/>
      <c r="AL52" s="1535"/>
      <c r="AM52" s="1535"/>
      <c r="AN52" s="1535"/>
      <c r="AO52" s="1535"/>
      <c r="AP52" s="1535"/>
      <c r="AQ52" s="1535"/>
      <c r="AR52" s="1535"/>
      <c r="AS52" s="1535"/>
      <c r="AT52" s="1536"/>
      <c r="AU52" s="1536"/>
      <c r="AV52" s="1536"/>
      <c r="AW52" s="1536"/>
      <c r="AX52" s="1536"/>
      <c r="AY52" s="1536"/>
      <c r="AZ52" s="1536"/>
      <c r="BA52" s="1536"/>
      <c r="BB52" s="1536"/>
      <c r="BC52" s="1536"/>
      <c r="BD52" s="1536"/>
      <c r="BE52" s="1536"/>
      <c r="BF52" s="1536"/>
      <c r="BG52" s="1536"/>
      <c r="BH52" s="1536"/>
      <c r="BI52" s="1536"/>
      <c r="BJ52" s="1536"/>
      <c r="BK52" s="1536"/>
    </row>
    <row r="53" spans="1:63" ht="15" customHeight="1" x14ac:dyDescent="0.2">
      <c r="A53" s="939"/>
      <c r="B53" s="927" t="s">
        <v>326</v>
      </c>
      <c r="C53" s="927"/>
      <c r="D53" s="927"/>
      <c r="E53" s="927"/>
      <c r="F53" s="927"/>
      <c r="G53" s="927"/>
      <c r="H53" s="921"/>
      <c r="I53" s="934" t="s">
        <v>473</v>
      </c>
      <c r="J53" s="899" t="s">
        <v>318</v>
      </c>
      <c r="K53" s="934" t="s">
        <v>876</v>
      </c>
      <c r="L53" s="904">
        <f>J23</f>
        <v>30</v>
      </c>
      <c r="M53" s="934" t="s">
        <v>882</v>
      </c>
      <c r="N53" s="935">
        <f>1/L53</f>
        <v>3.3333333333333333E-2</v>
      </c>
      <c r="O53" s="930"/>
      <c r="P53" s="918"/>
      <c r="Q53" s="918"/>
      <c r="R53" s="918"/>
      <c r="S53" s="918"/>
      <c r="T53" s="918"/>
      <c r="U53" s="918"/>
      <c r="V53" s="1535"/>
      <c r="W53" s="1535"/>
      <c r="X53" s="1535"/>
      <c r="Y53" s="1535"/>
      <c r="Z53" s="1535"/>
      <c r="AA53" s="1535"/>
      <c r="AB53" s="1535"/>
      <c r="AC53" s="1535"/>
      <c r="AD53" s="1535"/>
      <c r="AE53" s="1535"/>
      <c r="AF53" s="1535"/>
      <c r="AG53" s="1535"/>
      <c r="AH53" s="1535"/>
      <c r="AI53" s="1535"/>
      <c r="AJ53" s="1535"/>
      <c r="AK53" s="1535"/>
      <c r="AL53" s="1535"/>
      <c r="AM53" s="1535"/>
      <c r="AN53" s="1535"/>
      <c r="AO53" s="1535"/>
      <c r="AP53" s="1535"/>
      <c r="AQ53" s="1535"/>
      <c r="AR53" s="1535"/>
      <c r="AS53" s="1535"/>
      <c r="AT53" s="1536"/>
      <c r="AU53" s="1536"/>
      <c r="AV53" s="1536"/>
      <c r="AW53" s="1536"/>
      <c r="AX53" s="1536"/>
      <c r="AY53" s="1536"/>
      <c r="AZ53" s="1536"/>
      <c r="BA53" s="1536"/>
      <c r="BB53" s="1536"/>
      <c r="BC53" s="1536"/>
      <c r="BD53" s="1536"/>
      <c r="BE53" s="1536"/>
      <c r="BF53" s="1536"/>
      <c r="BG53" s="1536"/>
      <c r="BH53" s="1536"/>
      <c r="BI53" s="1536"/>
      <c r="BJ53" s="1536"/>
      <c r="BK53" s="1536"/>
    </row>
    <row r="54" spans="1:63" ht="15" customHeight="1" x14ac:dyDescent="0.2">
      <c r="A54" s="939"/>
      <c r="B54" s="927" t="s">
        <v>327</v>
      </c>
      <c r="C54" s="927"/>
      <c r="D54" s="927"/>
      <c r="E54" s="927"/>
      <c r="F54" s="927"/>
      <c r="G54" s="927"/>
      <c r="H54" s="921"/>
      <c r="I54" s="932"/>
      <c r="J54" s="932"/>
      <c r="K54" s="932"/>
      <c r="L54" s="899"/>
      <c r="M54" s="932"/>
      <c r="N54" s="899"/>
      <c r="O54" s="930"/>
      <c r="P54" s="918"/>
      <c r="Q54" s="918"/>
      <c r="R54" s="918"/>
      <c r="S54" s="918"/>
      <c r="T54" s="918"/>
      <c r="U54" s="918"/>
      <c r="V54" s="1535"/>
      <c r="W54" s="1535"/>
      <c r="X54" s="1535"/>
      <c r="Y54" s="1535"/>
      <c r="Z54" s="1535"/>
      <c r="AA54" s="1535"/>
      <c r="AB54" s="1535"/>
      <c r="AC54" s="1535"/>
      <c r="AD54" s="1535"/>
      <c r="AE54" s="1535"/>
      <c r="AF54" s="1535"/>
      <c r="AG54" s="1535"/>
      <c r="AH54" s="1535"/>
      <c r="AI54" s="1535"/>
      <c r="AJ54" s="1535"/>
      <c r="AK54" s="1535"/>
      <c r="AL54" s="1535"/>
      <c r="AM54" s="1535"/>
      <c r="AN54" s="1535"/>
      <c r="AO54" s="1535"/>
      <c r="AP54" s="1535"/>
      <c r="AQ54" s="1535"/>
      <c r="AR54" s="1535"/>
      <c r="AS54" s="1535"/>
      <c r="AT54" s="1536"/>
      <c r="AU54" s="1536"/>
      <c r="AV54" s="1536"/>
      <c r="AW54" s="1536"/>
      <c r="AX54" s="1536"/>
      <c r="AY54" s="1536"/>
      <c r="AZ54" s="1536"/>
      <c r="BA54" s="1536"/>
      <c r="BB54" s="1536"/>
      <c r="BC54" s="1536"/>
      <c r="BD54" s="1536"/>
      <c r="BE54" s="1536"/>
      <c r="BF54" s="1536"/>
      <c r="BG54" s="1536"/>
      <c r="BH54" s="1536"/>
      <c r="BI54" s="1536"/>
      <c r="BJ54" s="1536"/>
      <c r="BK54" s="1536"/>
    </row>
    <row r="55" spans="1:63" ht="15" customHeight="1" x14ac:dyDescent="0.2">
      <c r="A55" s="939"/>
      <c r="B55" s="927"/>
      <c r="C55" s="927"/>
      <c r="D55" s="927"/>
      <c r="E55" s="927"/>
      <c r="F55" s="927"/>
      <c r="G55" s="927"/>
      <c r="H55" s="921"/>
      <c r="I55" s="936"/>
      <c r="J55" s="932"/>
      <c r="K55" s="937" t="s">
        <v>475</v>
      </c>
      <c r="L55" s="905">
        <v>0.2</v>
      </c>
      <c r="M55" s="932" t="s">
        <v>883</v>
      </c>
      <c r="N55" s="938">
        <f>L55</f>
        <v>0.2</v>
      </c>
      <c r="O55" s="930"/>
      <c r="P55" s="918"/>
      <c r="Q55" s="918"/>
      <c r="R55" s="918"/>
      <c r="S55" s="918"/>
      <c r="T55" s="918"/>
      <c r="U55" s="918"/>
      <c r="V55" s="1535"/>
      <c r="W55" s="1535"/>
      <c r="X55" s="1535"/>
      <c r="Y55" s="1535"/>
      <c r="Z55" s="1535"/>
      <c r="AA55" s="1535"/>
      <c r="AB55" s="1535"/>
      <c r="AC55" s="1535"/>
      <c r="AD55" s="1535"/>
      <c r="AE55" s="1535"/>
      <c r="AF55" s="1535"/>
      <c r="AG55" s="1535"/>
      <c r="AH55" s="1535"/>
      <c r="AI55" s="1535"/>
      <c r="AJ55" s="1535"/>
      <c r="AK55" s="1535"/>
      <c r="AL55" s="1535"/>
      <c r="AM55" s="1535"/>
      <c r="AN55" s="1535"/>
      <c r="AO55" s="1535"/>
      <c r="AP55" s="1535"/>
      <c r="AQ55" s="1535"/>
      <c r="AR55" s="1535"/>
      <c r="AS55" s="1535"/>
      <c r="AT55" s="1536"/>
      <c r="AU55" s="1536"/>
      <c r="AV55" s="1536"/>
      <c r="AW55" s="1536"/>
      <c r="AX55" s="1536"/>
      <c r="AY55" s="1536"/>
      <c r="AZ55" s="1536"/>
      <c r="BA55" s="1536"/>
      <c r="BB55" s="1536"/>
      <c r="BC55" s="1536"/>
      <c r="BD55" s="1536"/>
      <c r="BE55" s="1536"/>
      <c r="BF55" s="1536"/>
      <c r="BG55" s="1536"/>
      <c r="BH55" s="1536"/>
      <c r="BI55" s="1536"/>
      <c r="BJ55" s="1536"/>
      <c r="BK55" s="1536"/>
    </row>
    <row r="56" spans="1:63" ht="15" customHeight="1" x14ac:dyDescent="0.2">
      <c r="A56" s="939"/>
      <c r="B56" s="927"/>
      <c r="C56" s="927"/>
      <c r="D56" s="927"/>
      <c r="E56" s="927"/>
      <c r="F56" s="927"/>
      <c r="G56" s="927"/>
      <c r="H56" s="921"/>
      <c r="I56" s="906"/>
      <c r="J56" s="906"/>
      <c r="K56" s="906"/>
      <c r="L56" s="906"/>
      <c r="M56" s="906"/>
      <c r="N56" s="906"/>
      <c r="O56" s="906"/>
      <c r="P56" s="918"/>
      <c r="Q56" s="918"/>
      <c r="R56" s="918"/>
      <c r="S56" s="918"/>
      <c r="T56" s="918"/>
      <c r="U56" s="918"/>
      <c r="V56" s="1535"/>
      <c r="W56" s="1535"/>
      <c r="X56" s="1535"/>
      <c r="Y56" s="1535"/>
      <c r="Z56" s="1535"/>
      <c r="AA56" s="1535"/>
      <c r="AB56" s="1535"/>
      <c r="AC56" s="1535"/>
      <c r="AD56" s="1535"/>
      <c r="AE56" s="1535"/>
      <c r="AF56" s="1535"/>
      <c r="AG56" s="1535"/>
      <c r="AH56" s="1535"/>
      <c r="AI56" s="1535"/>
      <c r="AJ56" s="1535"/>
      <c r="AK56" s="1535"/>
      <c r="AL56" s="1535"/>
      <c r="AM56" s="1535"/>
      <c r="AN56" s="1535"/>
      <c r="AO56" s="1535"/>
      <c r="AP56" s="1535"/>
      <c r="AQ56" s="1535"/>
      <c r="AR56" s="1535"/>
      <c r="AS56" s="1535"/>
      <c r="AT56" s="1536"/>
      <c r="AU56" s="1536"/>
      <c r="AV56" s="1536"/>
      <c r="AW56" s="1536"/>
      <c r="AX56" s="1536"/>
      <c r="AY56" s="1536"/>
      <c r="AZ56" s="1536"/>
      <c r="BA56" s="1536"/>
      <c r="BB56" s="1536"/>
      <c r="BC56" s="1536"/>
      <c r="BD56" s="1536"/>
      <c r="BE56" s="1536"/>
      <c r="BF56" s="1536"/>
      <c r="BG56" s="1536"/>
      <c r="BH56" s="1536"/>
      <c r="BI56" s="1536"/>
      <c r="BJ56" s="1536"/>
      <c r="BK56" s="1536"/>
    </row>
    <row r="57" spans="1:63" ht="15" customHeight="1" x14ac:dyDescent="0.2">
      <c r="A57" s="939"/>
      <c r="B57" s="927"/>
      <c r="C57" s="927"/>
      <c r="D57" s="927"/>
      <c r="E57" s="927"/>
      <c r="F57" s="927"/>
      <c r="G57" s="927"/>
      <c r="H57" s="921"/>
      <c r="I57" s="906"/>
      <c r="J57" s="906"/>
      <c r="K57" s="906"/>
      <c r="L57" s="906"/>
      <c r="M57" s="906"/>
      <c r="N57" s="906"/>
      <c r="O57" s="930"/>
      <c r="P57" s="918"/>
      <c r="Q57" s="918"/>
      <c r="R57" s="918"/>
      <c r="S57" s="918"/>
      <c r="T57" s="918"/>
      <c r="U57" s="918"/>
      <c r="V57" s="1535"/>
      <c r="W57" s="1535"/>
      <c r="X57" s="1535"/>
      <c r="Y57" s="1535"/>
      <c r="Z57" s="1535"/>
      <c r="AA57" s="1535"/>
      <c r="AB57" s="1535"/>
      <c r="AC57" s="1535"/>
      <c r="AD57" s="1535"/>
      <c r="AE57" s="1535"/>
      <c r="AF57" s="1535"/>
      <c r="AG57" s="1535"/>
      <c r="AH57" s="1535"/>
      <c r="AI57" s="1535"/>
      <c r="AJ57" s="1535"/>
      <c r="AK57" s="1535"/>
      <c r="AL57" s="1535"/>
      <c r="AM57" s="1535"/>
      <c r="AN57" s="1535"/>
      <c r="AO57" s="1535"/>
      <c r="AP57" s="1535"/>
      <c r="AQ57" s="1535"/>
      <c r="AR57" s="1535"/>
      <c r="AS57" s="1535"/>
      <c r="AT57" s="1536"/>
      <c r="AU57" s="1536"/>
      <c r="AV57" s="1536"/>
      <c r="AW57" s="1536"/>
      <c r="AX57" s="1536"/>
      <c r="AY57" s="1536"/>
      <c r="AZ57" s="1536"/>
      <c r="BA57" s="1536"/>
      <c r="BB57" s="1536"/>
      <c r="BC57" s="1536"/>
      <c r="BD57" s="1536"/>
      <c r="BE57" s="1536"/>
      <c r="BF57" s="1536"/>
      <c r="BG57" s="1536"/>
      <c r="BH57" s="1536"/>
      <c r="BI57" s="1536"/>
      <c r="BJ57" s="1536"/>
      <c r="BK57" s="1536"/>
    </row>
    <row r="58" spans="1:63" ht="15" customHeight="1" x14ac:dyDescent="0.2">
      <c r="A58" s="939"/>
      <c r="B58" s="927"/>
      <c r="C58" s="927"/>
      <c r="D58" s="927"/>
      <c r="E58" s="927"/>
      <c r="F58" s="927"/>
      <c r="G58" s="927"/>
      <c r="H58" s="921"/>
      <c r="I58" s="906"/>
      <c r="J58" s="906"/>
      <c r="K58" s="906"/>
      <c r="L58" s="906"/>
      <c r="M58" s="906"/>
      <c r="N58" s="906"/>
      <c r="O58" s="930"/>
      <c r="P58" s="918"/>
      <c r="Q58" s="918"/>
      <c r="R58" s="918"/>
      <c r="S58" s="918"/>
      <c r="T58" s="918"/>
      <c r="U58" s="918"/>
      <c r="V58" s="1535"/>
      <c r="W58" s="1535"/>
      <c r="X58" s="1535"/>
      <c r="Y58" s="1535"/>
      <c r="Z58" s="1535"/>
      <c r="AA58" s="1535"/>
      <c r="AB58" s="1535"/>
      <c r="AC58" s="1535"/>
      <c r="AD58" s="1535"/>
      <c r="AE58" s="1535"/>
      <c r="AF58" s="1535"/>
      <c r="AG58" s="1535"/>
      <c r="AH58" s="1535"/>
      <c r="AI58" s="1535"/>
      <c r="AJ58" s="1535"/>
      <c r="AK58" s="1535"/>
      <c r="AL58" s="1535"/>
      <c r="AM58" s="1535"/>
      <c r="AN58" s="1535"/>
      <c r="AO58" s="1535"/>
      <c r="AP58" s="1535"/>
      <c r="AQ58" s="1535"/>
      <c r="AR58" s="1535"/>
      <c r="AS58" s="1535"/>
      <c r="AT58" s="1536"/>
      <c r="AU58" s="1536"/>
      <c r="AV58" s="1536"/>
      <c r="AW58" s="1536"/>
      <c r="AX58" s="1536"/>
      <c r="AY58" s="1536"/>
      <c r="AZ58" s="1536"/>
      <c r="BA58" s="1536"/>
      <c r="BB58" s="1536"/>
      <c r="BC58" s="1536"/>
      <c r="BD58" s="1536"/>
      <c r="BE58" s="1536"/>
      <c r="BF58" s="1536"/>
      <c r="BG58" s="1536"/>
      <c r="BH58" s="1536"/>
      <c r="BI58" s="1536"/>
      <c r="BJ58" s="1536"/>
      <c r="BK58" s="1536"/>
    </row>
    <row r="59" spans="1:63" ht="15" customHeight="1" x14ac:dyDescent="0.2">
      <c r="A59" s="939"/>
      <c r="H59" s="941"/>
      <c r="I59" s="975"/>
      <c r="J59" s="975"/>
      <c r="K59" s="975"/>
      <c r="L59" s="975"/>
      <c r="M59" s="975"/>
      <c r="N59" s="975"/>
      <c r="O59" s="1527"/>
      <c r="P59" s="1525"/>
      <c r="Q59" s="918"/>
      <c r="R59" s="918"/>
      <c r="S59" s="918"/>
      <c r="T59" s="918"/>
      <c r="U59" s="918"/>
      <c r="V59" s="1535"/>
      <c r="W59" s="1535"/>
      <c r="X59" s="1535"/>
      <c r="Y59" s="1535"/>
      <c r="Z59" s="1535"/>
      <c r="AA59" s="1535"/>
      <c r="AB59" s="1535"/>
      <c r="AC59" s="1535"/>
      <c r="AD59" s="1535"/>
      <c r="AE59" s="1535"/>
      <c r="AF59" s="1535"/>
      <c r="AG59" s="1535"/>
      <c r="AH59" s="1535"/>
      <c r="AI59" s="1535"/>
      <c r="AJ59" s="1535"/>
      <c r="AK59" s="1535"/>
      <c r="AL59" s="1535"/>
      <c r="AM59" s="1535"/>
      <c r="AN59" s="1535"/>
      <c r="AO59" s="1535"/>
      <c r="AP59" s="1535"/>
      <c r="AQ59" s="1535"/>
      <c r="AR59" s="1535"/>
      <c r="AS59" s="1535"/>
      <c r="AT59" s="1536"/>
      <c r="AU59" s="1536"/>
      <c r="AV59" s="1536"/>
      <c r="AW59" s="1536"/>
      <c r="AX59" s="1536"/>
      <c r="AY59" s="1536"/>
      <c r="AZ59" s="1536"/>
      <c r="BA59" s="1536"/>
      <c r="BB59" s="1536"/>
      <c r="BC59" s="1536"/>
      <c r="BD59" s="1536"/>
      <c r="BE59" s="1536"/>
      <c r="BF59" s="1536"/>
      <c r="BG59" s="1536"/>
      <c r="BH59" s="1536"/>
      <c r="BI59" s="1536"/>
      <c r="BJ59" s="1536"/>
      <c r="BK59" s="1536"/>
    </row>
    <row r="60" spans="1:63" ht="15" customHeight="1" x14ac:dyDescent="0.2">
      <c r="A60" s="939"/>
      <c r="H60" s="941"/>
      <c r="I60" s="939"/>
      <c r="J60" s="939"/>
      <c r="K60" s="939"/>
      <c r="L60" s="939"/>
      <c r="M60" s="939"/>
      <c r="N60" s="939"/>
      <c r="O60" s="1527"/>
      <c r="P60" s="1526"/>
      <c r="Q60" s="923"/>
      <c r="R60" s="923"/>
      <c r="S60" s="923"/>
      <c r="T60" s="923"/>
      <c r="U60" s="924"/>
      <c r="V60" s="1535"/>
      <c r="W60" s="1535"/>
      <c r="X60" s="1535"/>
      <c r="Y60" s="1535"/>
      <c r="Z60" s="1535"/>
      <c r="AA60" s="1535"/>
      <c r="AB60" s="1535"/>
      <c r="AC60" s="1535"/>
      <c r="AD60" s="1535"/>
      <c r="AE60" s="1535"/>
      <c r="AF60" s="1535"/>
      <c r="AG60" s="1535"/>
      <c r="AH60" s="1535"/>
      <c r="AI60" s="1535"/>
      <c r="AJ60" s="1535"/>
      <c r="AK60" s="1535"/>
      <c r="AL60" s="1535"/>
      <c r="AM60" s="1535"/>
      <c r="AN60" s="1535"/>
      <c r="AO60" s="1535"/>
      <c r="AP60" s="1535"/>
      <c r="AQ60" s="1535"/>
      <c r="AR60" s="1535"/>
      <c r="AS60" s="1535"/>
      <c r="AT60" s="1536"/>
      <c r="AU60" s="1536"/>
      <c r="AV60" s="1536"/>
      <c r="AW60" s="1536"/>
      <c r="AX60" s="1536"/>
      <c r="AY60" s="1536"/>
      <c r="AZ60" s="1536"/>
      <c r="BA60" s="1536"/>
      <c r="BB60" s="1536"/>
      <c r="BC60" s="1536"/>
      <c r="BD60" s="1536"/>
      <c r="BE60" s="1536"/>
      <c r="BF60" s="1536"/>
      <c r="BG60" s="1536"/>
      <c r="BH60" s="1536"/>
      <c r="BI60" s="1536"/>
      <c r="BJ60" s="1536"/>
      <c r="BK60" s="1536"/>
    </row>
    <row r="61" spans="1:63" ht="15" customHeight="1" x14ac:dyDescent="0.2">
      <c r="A61" s="939"/>
      <c r="H61" s="940"/>
      <c r="I61" s="940"/>
      <c r="J61" s="939"/>
      <c r="K61" s="939"/>
      <c r="L61" s="939"/>
      <c r="M61" s="939"/>
      <c r="N61" s="939"/>
      <c r="O61" s="1527"/>
      <c r="P61" s="1526"/>
      <c r="Q61" s="923"/>
      <c r="R61" s="923"/>
      <c r="S61" s="923"/>
      <c r="T61" s="923"/>
      <c r="U61" s="924"/>
      <c r="V61" s="1535"/>
      <c r="W61" s="1535"/>
      <c r="X61" s="1535"/>
      <c r="Y61" s="1535"/>
      <c r="Z61" s="1535"/>
      <c r="AA61" s="1535"/>
      <c r="AB61" s="1535"/>
      <c r="AC61" s="1535"/>
      <c r="AD61" s="1535"/>
      <c r="AE61" s="1535"/>
      <c r="AF61" s="1535"/>
      <c r="AG61" s="1535"/>
      <c r="AH61" s="1535"/>
      <c r="AI61" s="1535"/>
      <c r="AJ61" s="1535"/>
      <c r="AK61" s="1535"/>
      <c r="AL61" s="1535"/>
      <c r="AM61" s="1535"/>
      <c r="AN61" s="1535"/>
      <c r="AO61" s="1535"/>
      <c r="AP61" s="1535"/>
      <c r="AQ61" s="1535"/>
      <c r="AR61" s="1535"/>
      <c r="AS61" s="1535"/>
      <c r="AT61" s="1536"/>
      <c r="AU61" s="1536"/>
      <c r="AV61" s="1536"/>
      <c r="AW61" s="1536"/>
      <c r="AX61" s="1536"/>
      <c r="AY61" s="1536"/>
      <c r="AZ61" s="1536"/>
      <c r="BA61" s="1536"/>
      <c r="BB61" s="1536"/>
      <c r="BC61" s="1536"/>
      <c r="BD61" s="1536"/>
      <c r="BE61" s="1536"/>
      <c r="BF61" s="1536"/>
      <c r="BG61" s="1536"/>
      <c r="BH61" s="1536"/>
      <c r="BI61" s="1536"/>
      <c r="BJ61" s="1536"/>
      <c r="BK61" s="1536"/>
    </row>
    <row r="62" spans="1:63" ht="15" customHeight="1" x14ac:dyDescent="0.2">
      <c r="H62" s="941"/>
      <c r="I62" s="940"/>
      <c r="J62" s="939"/>
      <c r="K62" s="939"/>
      <c r="L62" s="939"/>
      <c r="M62" s="939"/>
      <c r="N62" s="939"/>
      <c r="O62" s="942"/>
      <c r="P62" s="923"/>
      <c r="Q62" s="923"/>
      <c r="R62" s="923"/>
      <c r="S62" s="923"/>
      <c r="T62" s="923"/>
      <c r="U62" s="924"/>
      <c r="V62" s="1535"/>
      <c r="W62" s="1535"/>
      <c r="X62" s="1535"/>
      <c r="Y62" s="1535"/>
      <c r="Z62" s="1535"/>
      <c r="AA62" s="1535"/>
      <c r="AB62" s="1535"/>
      <c r="AC62" s="1535"/>
      <c r="AD62" s="1535"/>
      <c r="AE62" s="1535"/>
      <c r="AF62" s="1535"/>
      <c r="AG62" s="1535"/>
      <c r="AH62" s="1535"/>
      <c r="AI62" s="1535"/>
      <c r="AJ62" s="1535"/>
      <c r="AK62" s="1535"/>
      <c r="AL62" s="1535"/>
      <c r="AM62" s="1535"/>
      <c r="AN62" s="1535"/>
      <c r="AO62" s="1535"/>
      <c r="AP62" s="1535"/>
      <c r="AQ62" s="1535"/>
      <c r="AR62" s="1535"/>
      <c r="AS62" s="1535"/>
      <c r="AT62" s="1536"/>
      <c r="AU62" s="1536"/>
      <c r="AV62" s="1536"/>
      <c r="AW62" s="1536"/>
      <c r="AX62" s="1536"/>
      <c r="AY62" s="1536"/>
      <c r="AZ62" s="1536"/>
      <c r="BA62" s="1536"/>
      <c r="BB62" s="1536"/>
      <c r="BC62" s="1536"/>
      <c r="BD62" s="1536"/>
      <c r="BE62" s="1536"/>
      <c r="BF62" s="1536"/>
      <c r="BG62" s="1536"/>
      <c r="BH62" s="1536"/>
      <c r="BI62" s="1536"/>
      <c r="BJ62" s="1536"/>
      <c r="BK62" s="1536"/>
    </row>
    <row r="63" spans="1:63" ht="15" customHeight="1" x14ac:dyDescent="0.2">
      <c r="H63" s="941"/>
      <c r="I63" s="940"/>
      <c r="J63" s="939"/>
      <c r="K63" s="939"/>
      <c r="L63" s="939"/>
      <c r="M63" s="939"/>
      <c r="N63" s="939"/>
      <c r="O63" s="942"/>
      <c r="P63" s="923"/>
      <c r="Q63" s="923"/>
      <c r="R63" s="923"/>
      <c r="S63" s="923"/>
      <c r="T63" s="923"/>
      <c r="U63" s="924"/>
      <c r="V63" s="1535"/>
      <c r="W63" s="1535"/>
      <c r="X63" s="1535"/>
      <c r="Y63" s="1535"/>
      <c r="Z63" s="1535"/>
      <c r="AA63" s="1535"/>
      <c r="AB63" s="1535"/>
      <c r="AC63" s="1535"/>
      <c r="AD63" s="1535"/>
      <c r="AE63" s="1535"/>
      <c r="AF63" s="1535"/>
      <c r="AG63" s="1535"/>
      <c r="AH63" s="1535"/>
      <c r="AI63" s="1535"/>
      <c r="AJ63" s="1535"/>
      <c r="AK63" s="1535"/>
      <c r="AL63" s="1535"/>
      <c r="AM63" s="1535"/>
      <c r="AN63" s="1535"/>
      <c r="AO63" s="1535"/>
      <c r="AP63" s="1535"/>
      <c r="AQ63" s="1535"/>
      <c r="AR63" s="1535"/>
      <c r="AS63" s="1535"/>
      <c r="AT63" s="1536"/>
      <c r="AU63" s="1536"/>
      <c r="AV63" s="1536"/>
      <c r="AW63" s="1536"/>
      <c r="AX63" s="1536"/>
      <c r="AY63" s="1536"/>
      <c r="AZ63" s="1536"/>
      <c r="BA63" s="1536"/>
      <c r="BB63" s="1536"/>
      <c r="BC63" s="1536"/>
      <c r="BD63" s="1536"/>
      <c r="BE63" s="1536"/>
      <c r="BF63" s="1536"/>
      <c r="BG63" s="1536"/>
      <c r="BH63" s="1536"/>
      <c r="BI63" s="1536"/>
      <c r="BJ63" s="1536"/>
      <c r="BK63" s="1536"/>
    </row>
    <row r="64" spans="1:63" ht="15" customHeight="1" x14ac:dyDescent="0.2">
      <c r="I64" s="943"/>
      <c r="O64" s="942"/>
      <c r="P64" s="923"/>
      <c r="Q64" s="923"/>
      <c r="R64" s="923"/>
      <c r="S64" s="923"/>
      <c r="T64" s="923"/>
      <c r="U64" s="924"/>
      <c r="V64" s="1535"/>
      <c r="W64" s="1535"/>
      <c r="X64" s="1535"/>
      <c r="Y64" s="1535"/>
      <c r="Z64" s="1535"/>
      <c r="AA64" s="1535"/>
      <c r="AB64" s="1535"/>
      <c r="AC64" s="1535"/>
      <c r="AD64" s="1535"/>
      <c r="AE64" s="1535"/>
      <c r="AF64" s="1535"/>
      <c r="AG64" s="1535"/>
      <c r="AH64" s="1535"/>
      <c r="AI64" s="1535"/>
      <c r="AJ64" s="1535"/>
      <c r="AK64" s="1535"/>
      <c r="AL64" s="1535"/>
      <c r="AM64" s="1535"/>
      <c r="AN64" s="1535"/>
      <c r="AO64" s="1535"/>
      <c r="AP64" s="1535"/>
      <c r="AQ64" s="1535"/>
      <c r="AR64" s="1535"/>
      <c r="AS64" s="1535"/>
      <c r="AT64" s="1536"/>
      <c r="AU64" s="1536"/>
      <c r="AV64" s="1536"/>
      <c r="AW64" s="1536"/>
      <c r="AX64" s="1536"/>
      <c r="AY64" s="1536"/>
      <c r="AZ64" s="1536"/>
      <c r="BA64" s="1536"/>
      <c r="BB64" s="1536"/>
      <c r="BC64" s="1536"/>
      <c r="BD64" s="1536"/>
      <c r="BE64" s="1536"/>
      <c r="BF64" s="1536"/>
      <c r="BG64" s="1536"/>
      <c r="BH64" s="1536"/>
      <c r="BI64" s="1536"/>
      <c r="BJ64" s="1536"/>
      <c r="BK64" s="1536"/>
    </row>
    <row r="65" spans="1:63" ht="15" customHeight="1" x14ac:dyDescent="0.2">
      <c r="I65" s="943"/>
      <c r="O65" s="942"/>
      <c r="P65" s="923"/>
      <c r="Q65" s="923"/>
      <c r="R65" s="923"/>
      <c r="S65" s="923"/>
      <c r="T65" s="923"/>
      <c r="U65" s="924"/>
      <c r="V65" s="1535"/>
      <c r="W65" s="1535"/>
      <c r="X65" s="1535"/>
      <c r="Y65" s="1535"/>
      <c r="Z65" s="1535"/>
      <c r="AA65" s="1535"/>
      <c r="AB65" s="1535"/>
      <c r="AC65" s="1535"/>
      <c r="AD65" s="1535"/>
      <c r="AE65" s="1535"/>
      <c r="AF65" s="1535"/>
      <c r="AG65" s="1535"/>
      <c r="AH65" s="1535"/>
      <c r="AI65" s="1535"/>
      <c r="AJ65" s="1535"/>
      <c r="AK65" s="1535"/>
      <c r="AL65" s="1535"/>
      <c r="AM65" s="1535"/>
      <c r="AN65" s="1535"/>
      <c r="AO65" s="1535"/>
      <c r="AP65" s="1535"/>
      <c r="AQ65" s="1535"/>
      <c r="AR65" s="1535"/>
      <c r="AS65" s="1535"/>
      <c r="AT65" s="1536"/>
      <c r="AU65" s="1536"/>
      <c r="AV65" s="1536"/>
      <c r="AW65" s="1536"/>
      <c r="AX65" s="1536"/>
      <c r="AY65" s="1536"/>
      <c r="AZ65" s="1536"/>
      <c r="BA65" s="1536"/>
      <c r="BB65" s="1536"/>
      <c r="BC65" s="1536"/>
      <c r="BD65" s="1536"/>
      <c r="BE65" s="1536"/>
      <c r="BF65" s="1536"/>
      <c r="BG65" s="1536"/>
      <c r="BH65" s="1536"/>
      <c r="BI65" s="1536"/>
      <c r="BJ65" s="1536"/>
      <c r="BK65" s="1536"/>
    </row>
    <row r="66" spans="1:63" ht="15" customHeight="1" x14ac:dyDescent="0.2">
      <c r="I66" s="944"/>
      <c r="J66" s="942"/>
      <c r="K66" s="942"/>
      <c r="L66" s="942"/>
      <c r="M66" s="942"/>
      <c r="N66" s="942"/>
      <c r="O66" s="942"/>
      <c r="P66" s="923"/>
      <c r="Q66" s="923"/>
      <c r="R66" s="923"/>
      <c r="S66" s="923"/>
      <c r="T66" s="923"/>
      <c r="U66" s="924"/>
      <c r="V66" s="1535"/>
      <c r="W66" s="1535"/>
      <c r="X66" s="1535"/>
      <c r="Y66" s="1535"/>
      <c r="Z66" s="1535"/>
      <c r="AA66" s="1535"/>
      <c r="AB66" s="1535"/>
      <c r="AC66" s="1535"/>
      <c r="AD66" s="1535"/>
      <c r="AE66" s="1535"/>
      <c r="AF66" s="1535"/>
      <c r="AG66" s="1535"/>
      <c r="AH66" s="1535"/>
      <c r="AI66" s="1535"/>
      <c r="AJ66" s="1535"/>
      <c r="AK66" s="1535"/>
      <c r="AL66" s="1535"/>
      <c r="AM66" s="1535"/>
      <c r="AN66" s="1535"/>
      <c r="AO66" s="1535"/>
      <c r="AP66" s="1535"/>
      <c r="AQ66" s="1535"/>
      <c r="AR66" s="1535"/>
      <c r="AS66" s="1535"/>
      <c r="AT66" s="1536"/>
      <c r="AU66" s="1536"/>
      <c r="AV66" s="1536"/>
      <c r="AW66" s="1536"/>
      <c r="AX66" s="1536"/>
      <c r="AY66" s="1536"/>
      <c r="AZ66" s="1536"/>
      <c r="BA66" s="1536"/>
      <c r="BB66" s="1536"/>
      <c r="BC66" s="1536"/>
      <c r="BD66" s="1536"/>
      <c r="BE66" s="1536"/>
      <c r="BF66" s="1536"/>
      <c r="BG66" s="1536"/>
      <c r="BH66" s="1536"/>
      <c r="BI66" s="1536"/>
      <c r="BJ66" s="1536"/>
      <c r="BK66" s="1536"/>
    </row>
    <row r="67" spans="1:63" ht="15" customHeight="1" x14ac:dyDescent="0.2">
      <c r="I67" s="944"/>
      <c r="J67" s="942"/>
      <c r="K67" s="942"/>
      <c r="L67" s="942"/>
      <c r="M67" s="942"/>
      <c r="N67" s="942"/>
      <c r="O67" s="942"/>
      <c r="P67" s="923"/>
      <c r="Q67" s="923"/>
      <c r="R67" s="923"/>
      <c r="S67" s="923"/>
      <c r="T67" s="923"/>
      <c r="U67" s="924"/>
      <c r="V67" s="1535"/>
      <c r="W67" s="1535"/>
      <c r="X67" s="1535"/>
      <c r="Y67" s="1535"/>
      <c r="Z67" s="1535"/>
      <c r="AA67" s="1535"/>
      <c r="AB67" s="1535"/>
      <c r="AC67" s="1535"/>
      <c r="AD67" s="1535"/>
      <c r="AE67" s="1535"/>
      <c r="AF67" s="1535"/>
      <c r="AG67" s="1535"/>
      <c r="AH67" s="1535"/>
      <c r="AI67" s="1535"/>
      <c r="AJ67" s="1535"/>
      <c r="AK67" s="1535"/>
      <c r="AL67" s="1535"/>
      <c r="AM67" s="1535"/>
      <c r="AN67" s="1535"/>
      <c r="AO67" s="1535"/>
      <c r="AP67" s="1535"/>
      <c r="AQ67" s="1535"/>
      <c r="AR67" s="1535"/>
      <c r="AS67" s="1535"/>
      <c r="AT67" s="1536"/>
      <c r="AU67" s="1536"/>
      <c r="AV67" s="1536"/>
      <c r="AW67" s="1536"/>
      <c r="AX67" s="1536"/>
      <c r="AY67" s="1536"/>
      <c r="AZ67" s="1536"/>
      <c r="BA67" s="1536"/>
      <c r="BB67" s="1536"/>
      <c r="BC67" s="1536"/>
      <c r="BD67" s="1536"/>
      <c r="BE67" s="1536"/>
      <c r="BF67" s="1536"/>
      <c r="BG67" s="1536"/>
      <c r="BH67" s="1536"/>
      <c r="BI67" s="1536"/>
      <c r="BJ67" s="1536"/>
      <c r="BK67" s="1536"/>
    </row>
    <row r="68" spans="1:63" ht="15" customHeight="1" x14ac:dyDescent="0.2">
      <c r="I68" s="944"/>
      <c r="J68" s="942"/>
      <c r="K68" s="942"/>
      <c r="L68" s="942"/>
      <c r="M68" s="942"/>
      <c r="N68" s="942"/>
      <c r="O68" s="942"/>
      <c r="P68" s="923"/>
      <c r="Q68" s="923"/>
      <c r="R68" s="923"/>
      <c r="S68" s="923"/>
      <c r="T68" s="923"/>
      <c r="U68" s="924"/>
      <c r="V68" s="1535"/>
      <c r="W68" s="1535"/>
      <c r="X68" s="1535"/>
      <c r="Y68" s="1535"/>
      <c r="Z68" s="1535"/>
      <c r="AA68" s="1535"/>
      <c r="AB68" s="1535"/>
      <c r="AC68" s="1535"/>
      <c r="AD68" s="1535"/>
      <c r="AE68" s="1535"/>
      <c r="AF68" s="1535"/>
      <c r="AG68" s="1535"/>
      <c r="AH68" s="1535"/>
      <c r="AI68" s="1535"/>
      <c r="AJ68" s="1535"/>
      <c r="AK68" s="1535"/>
      <c r="AL68" s="1535"/>
      <c r="AM68" s="1535"/>
      <c r="AN68" s="1535"/>
      <c r="AO68" s="1535"/>
      <c r="AP68" s="1535"/>
      <c r="AQ68" s="1535"/>
      <c r="AR68" s="1535"/>
      <c r="AS68" s="1535"/>
      <c r="AT68" s="1536"/>
      <c r="AU68" s="1536"/>
      <c r="AV68" s="1536"/>
      <c r="AW68" s="1536"/>
      <c r="AX68" s="1536"/>
      <c r="AY68" s="1536"/>
      <c r="AZ68" s="1536"/>
      <c r="BA68" s="1536"/>
      <c r="BB68" s="1536"/>
      <c r="BC68" s="1536"/>
      <c r="BD68" s="1536"/>
      <c r="BE68" s="1536"/>
      <c r="BF68" s="1536"/>
      <c r="BG68" s="1536"/>
      <c r="BH68" s="1536"/>
      <c r="BI68" s="1536"/>
      <c r="BJ68" s="1536"/>
      <c r="BK68" s="1536"/>
    </row>
    <row r="69" spans="1:63" ht="15" customHeight="1" x14ac:dyDescent="0.2">
      <c r="H69" s="943"/>
      <c r="I69" s="944"/>
      <c r="J69" s="942"/>
      <c r="K69" s="942"/>
      <c r="L69" s="942"/>
      <c r="M69" s="942"/>
      <c r="N69" s="942"/>
      <c r="O69" s="942"/>
      <c r="P69" s="923"/>
      <c r="Q69" s="923"/>
      <c r="R69" s="923"/>
      <c r="S69" s="923"/>
      <c r="T69" s="923"/>
      <c r="U69" s="924"/>
      <c r="V69" s="1535"/>
      <c r="W69" s="1535"/>
      <c r="X69" s="1535"/>
      <c r="Y69" s="1535"/>
      <c r="Z69" s="1535"/>
      <c r="AA69" s="1535"/>
      <c r="AB69" s="1535"/>
      <c r="AC69" s="1535"/>
      <c r="AD69" s="1535"/>
      <c r="AE69" s="1535"/>
      <c r="AF69" s="1535"/>
      <c r="AG69" s="1535"/>
      <c r="AH69" s="1535"/>
      <c r="AI69" s="1535"/>
      <c r="AJ69" s="1535"/>
      <c r="AK69" s="1535"/>
      <c r="AL69" s="1535"/>
      <c r="AM69" s="1535"/>
      <c r="AN69" s="1535"/>
      <c r="AO69" s="1535"/>
      <c r="AP69" s="1535"/>
      <c r="AQ69" s="1535"/>
      <c r="AR69" s="1535"/>
      <c r="AS69" s="1535"/>
      <c r="AT69" s="1536"/>
      <c r="AU69" s="1536"/>
      <c r="AV69" s="1536"/>
      <c r="AW69" s="1536"/>
      <c r="AX69" s="1536"/>
      <c r="AY69" s="1536"/>
      <c r="AZ69" s="1536"/>
      <c r="BA69" s="1536"/>
      <c r="BB69" s="1536"/>
      <c r="BC69" s="1536"/>
      <c r="BD69" s="1536"/>
      <c r="BE69" s="1536"/>
      <c r="BF69" s="1536"/>
      <c r="BG69" s="1536"/>
      <c r="BH69" s="1536"/>
      <c r="BI69" s="1536"/>
      <c r="BJ69" s="1536"/>
      <c r="BK69" s="1536"/>
    </row>
    <row r="70" spans="1:63" ht="15" customHeight="1" x14ac:dyDescent="0.2">
      <c r="H70" s="943"/>
      <c r="I70" s="944"/>
      <c r="J70" s="942"/>
      <c r="K70" s="942"/>
      <c r="L70" s="942"/>
      <c r="M70" s="942"/>
      <c r="N70" s="942"/>
      <c r="O70" s="942"/>
      <c r="P70" s="923"/>
      <c r="Q70" s="923"/>
      <c r="R70" s="923"/>
      <c r="S70" s="923"/>
      <c r="T70" s="923"/>
      <c r="U70" s="924"/>
      <c r="V70" s="1535"/>
      <c r="W70" s="1535"/>
      <c r="X70" s="1535"/>
      <c r="Y70" s="1535"/>
      <c r="Z70" s="1535"/>
      <c r="AA70" s="1535"/>
      <c r="AB70" s="1535"/>
      <c r="AC70" s="1535"/>
      <c r="AD70" s="1535"/>
      <c r="AE70" s="1535"/>
      <c r="AF70" s="1535"/>
      <c r="AG70" s="1535"/>
      <c r="AH70" s="1535"/>
      <c r="AI70" s="1535"/>
      <c r="AJ70" s="1535"/>
      <c r="AK70" s="1535"/>
      <c r="AL70" s="1535"/>
      <c r="AM70" s="1535"/>
      <c r="AN70" s="1535"/>
      <c r="AO70" s="1535"/>
      <c r="AP70" s="1535"/>
      <c r="AQ70" s="1535"/>
      <c r="AR70" s="1535"/>
      <c r="AS70" s="1535"/>
      <c r="AT70" s="1536"/>
      <c r="AU70" s="1536"/>
      <c r="AV70" s="1536"/>
      <c r="AW70" s="1536"/>
      <c r="AX70" s="1536"/>
      <c r="AY70" s="1536"/>
      <c r="AZ70" s="1536"/>
      <c r="BA70" s="1536"/>
      <c r="BB70" s="1536"/>
      <c r="BC70" s="1536"/>
      <c r="BD70" s="1536"/>
      <c r="BE70" s="1536"/>
      <c r="BF70" s="1536"/>
      <c r="BG70" s="1536"/>
      <c r="BH70" s="1536"/>
      <c r="BI70" s="1536"/>
      <c r="BJ70" s="1536"/>
      <c r="BK70" s="1536"/>
    </row>
    <row r="71" spans="1:63" ht="15" customHeight="1" x14ac:dyDescent="0.2">
      <c r="H71" s="943"/>
      <c r="I71" s="944"/>
      <c r="J71" s="942"/>
      <c r="K71" s="942"/>
      <c r="L71" s="942"/>
      <c r="M71" s="942"/>
      <c r="N71" s="942"/>
      <c r="O71" s="942"/>
      <c r="P71" s="923"/>
      <c r="Q71" s="923"/>
      <c r="R71" s="923"/>
      <c r="S71" s="923"/>
      <c r="T71" s="923"/>
      <c r="U71" s="924"/>
      <c r="V71" s="1535"/>
      <c r="W71" s="1535"/>
      <c r="X71" s="1535"/>
      <c r="Y71" s="1535"/>
      <c r="Z71" s="1535"/>
      <c r="AA71" s="1535"/>
      <c r="AB71" s="1535"/>
      <c r="AC71" s="1535"/>
      <c r="AD71" s="1535"/>
      <c r="AE71" s="1535"/>
      <c r="AF71" s="1535"/>
      <c r="AG71" s="1535"/>
      <c r="AH71" s="1535"/>
      <c r="AI71" s="1535"/>
      <c r="AJ71" s="1535"/>
      <c r="AK71" s="1535"/>
      <c r="AL71" s="1535"/>
      <c r="AM71" s="1535"/>
      <c r="AN71" s="1535"/>
      <c r="AO71" s="1535"/>
      <c r="AP71" s="1535"/>
      <c r="AQ71" s="1535"/>
      <c r="AR71" s="1535"/>
      <c r="AS71" s="1535"/>
      <c r="AT71" s="1536"/>
      <c r="AU71" s="1536"/>
      <c r="AV71" s="1536"/>
      <c r="AW71" s="1536"/>
      <c r="AX71" s="1536"/>
      <c r="AY71" s="1536"/>
      <c r="AZ71" s="1536"/>
      <c r="BA71" s="1536"/>
      <c r="BB71" s="1536"/>
      <c r="BC71" s="1536"/>
      <c r="BD71" s="1536"/>
      <c r="BE71" s="1536"/>
      <c r="BF71" s="1536"/>
      <c r="BG71" s="1536"/>
      <c r="BH71" s="1536"/>
      <c r="BI71" s="1536"/>
      <c r="BJ71" s="1536"/>
      <c r="BK71" s="1536"/>
    </row>
    <row r="72" spans="1:63" ht="15" customHeight="1" x14ac:dyDescent="0.2">
      <c r="H72" s="943"/>
      <c r="I72" s="944"/>
      <c r="J72" s="942"/>
      <c r="K72" s="942"/>
      <c r="L72" s="942"/>
      <c r="M72" s="942"/>
      <c r="N72" s="942"/>
      <c r="O72" s="942"/>
      <c r="P72" s="923"/>
      <c r="Q72" s="923"/>
      <c r="R72" s="923"/>
      <c r="S72" s="923"/>
      <c r="T72" s="923"/>
      <c r="U72" s="924"/>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6"/>
      <c r="AU72" s="1536"/>
      <c r="AV72" s="1536"/>
      <c r="AW72" s="1536"/>
      <c r="AX72" s="1536"/>
      <c r="AY72" s="1536"/>
      <c r="AZ72" s="1536"/>
      <c r="BA72" s="1536"/>
      <c r="BB72" s="1536"/>
      <c r="BC72" s="1536"/>
      <c r="BD72" s="1536"/>
      <c r="BE72" s="1536"/>
      <c r="BF72" s="1536"/>
      <c r="BG72" s="1536"/>
      <c r="BH72" s="1536"/>
      <c r="BI72" s="1536"/>
      <c r="BJ72" s="1536"/>
      <c r="BK72" s="1536"/>
    </row>
    <row r="73" spans="1:63" ht="15" customHeight="1" x14ac:dyDescent="0.2">
      <c r="B73" s="942"/>
      <c r="C73" s="942"/>
      <c r="D73" s="942"/>
      <c r="E73" s="942"/>
      <c r="F73" s="942"/>
      <c r="G73" s="942"/>
      <c r="I73" s="945"/>
      <c r="J73" s="942"/>
      <c r="K73" s="942"/>
      <c r="L73" s="942"/>
      <c r="M73" s="942"/>
      <c r="N73" s="942"/>
      <c r="O73" s="942"/>
      <c r="P73" s="923"/>
      <c r="Q73" s="923"/>
      <c r="R73" s="923"/>
      <c r="S73" s="923"/>
      <c r="T73" s="923"/>
      <c r="U73" s="924"/>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6"/>
      <c r="AU73" s="1536"/>
      <c r="AV73" s="1536"/>
      <c r="AW73" s="1536"/>
      <c r="AX73" s="1536"/>
      <c r="AY73" s="1536"/>
      <c r="AZ73" s="1536"/>
      <c r="BA73" s="1536"/>
      <c r="BB73" s="1536"/>
      <c r="BC73" s="1536"/>
      <c r="BD73" s="1536"/>
      <c r="BE73" s="1536"/>
      <c r="BF73" s="1536"/>
      <c r="BG73" s="1536"/>
      <c r="BH73" s="1536"/>
      <c r="BI73" s="1536"/>
      <c r="BJ73" s="1536"/>
      <c r="BK73" s="1536"/>
    </row>
    <row r="74" spans="1:63" ht="15" customHeight="1" x14ac:dyDescent="0.2">
      <c r="B74" s="940"/>
      <c r="C74" s="940"/>
      <c r="D74" s="940"/>
      <c r="E74" s="940"/>
      <c r="F74" s="940"/>
      <c r="G74" s="940"/>
      <c r="I74" s="945"/>
      <c r="J74" s="942"/>
      <c r="K74" s="942"/>
      <c r="L74" s="942"/>
      <c r="M74" s="942"/>
      <c r="N74" s="942"/>
      <c r="O74" s="942"/>
      <c r="P74" s="923"/>
      <c r="Q74" s="923"/>
      <c r="R74" s="923"/>
      <c r="S74" s="923"/>
      <c r="T74" s="923"/>
      <c r="U74" s="924"/>
      <c r="V74" s="1535"/>
      <c r="W74" s="1535"/>
      <c r="X74" s="1535"/>
      <c r="Y74" s="1535"/>
      <c r="Z74" s="1535"/>
      <c r="AA74" s="1535"/>
      <c r="AB74" s="1535"/>
      <c r="AC74" s="1535"/>
      <c r="AD74" s="1535"/>
      <c r="AE74" s="1535"/>
      <c r="AF74" s="1535"/>
      <c r="AG74" s="1535"/>
      <c r="AH74" s="1535"/>
      <c r="AI74" s="1535"/>
      <c r="AJ74" s="1535"/>
      <c r="AK74" s="1535"/>
      <c r="AL74" s="1535"/>
      <c r="AM74" s="1535"/>
      <c r="AN74" s="1535"/>
      <c r="AO74" s="1535"/>
      <c r="AP74" s="1535"/>
      <c r="AQ74" s="1535"/>
      <c r="AR74" s="1535"/>
      <c r="AS74" s="1535"/>
      <c r="AT74" s="1536"/>
      <c r="AU74" s="1536"/>
      <c r="AV74" s="1536"/>
      <c r="AW74" s="1536"/>
      <c r="AX74" s="1536"/>
      <c r="AY74" s="1536"/>
      <c r="AZ74" s="1536"/>
      <c r="BA74" s="1536"/>
      <c r="BB74" s="1536"/>
      <c r="BC74" s="1536"/>
      <c r="BD74" s="1536"/>
      <c r="BE74" s="1536"/>
      <c r="BF74" s="1536"/>
      <c r="BG74" s="1536"/>
      <c r="BH74" s="1536"/>
      <c r="BI74" s="1536"/>
      <c r="BJ74" s="1536"/>
      <c r="BK74" s="1536"/>
    </row>
    <row r="75" spans="1:63" ht="15" customHeight="1" x14ac:dyDescent="0.2">
      <c r="B75" s="940"/>
      <c r="C75" s="940"/>
      <c r="D75" s="940"/>
      <c r="E75" s="940"/>
      <c r="F75" s="940"/>
      <c r="G75" s="940"/>
      <c r="I75" s="945"/>
      <c r="J75" s="942"/>
      <c r="K75" s="942"/>
      <c r="L75" s="942"/>
      <c r="M75" s="942"/>
      <c r="N75" s="942"/>
      <c r="O75" s="942"/>
      <c r="P75" s="923"/>
      <c r="Q75" s="923"/>
      <c r="R75" s="923"/>
      <c r="S75" s="923"/>
      <c r="T75" s="923"/>
      <c r="U75" s="924"/>
      <c r="V75" s="1535"/>
      <c r="W75" s="1535"/>
      <c r="X75" s="1535"/>
      <c r="Y75" s="1535"/>
      <c r="Z75" s="1535"/>
      <c r="AA75" s="1535"/>
      <c r="AB75" s="1535"/>
      <c r="AC75" s="1535"/>
      <c r="AD75" s="1535"/>
      <c r="AE75" s="1535"/>
      <c r="AF75" s="1535"/>
      <c r="AG75" s="1535"/>
      <c r="AH75" s="1535"/>
      <c r="AI75" s="1535"/>
      <c r="AJ75" s="1535"/>
      <c r="AK75" s="1535"/>
      <c r="AL75" s="1535"/>
      <c r="AM75" s="1535"/>
      <c r="AN75" s="1535"/>
      <c r="AO75" s="1535"/>
      <c r="AP75" s="1535"/>
      <c r="AQ75" s="1535"/>
      <c r="AR75" s="1535"/>
      <c r="AS75" s="1535"/>
      <c r="AT75" s="1536"/>
      <c r="AU75" s="1536"/>
      <c r="AV75" s="1536"/>
      <c r="AW75" s="1536"/>
      <c r="AX75" s="1536"/>
      <c r="AY75" s="1536"/>
      <c r="AZ75" s="1536"/>
      <c r="BA75" s="1536"/>
      <c r="BB75" s="1536"/>
      <c r="BC75" s="1536"/>
      <c r="BD75" s="1536"/>
      <c r="BE75" s="1536"/>
      <c r="BF75" s="1536"/>
      <c r="BG75" s="1536"/>
      <c r="BH75" s="1536"/>
      <c r="BI75" s="1536"/>
      <c r="BJ75" s="1536"/>
      <c r="BK75" s="1536"/>
    </row>
    <row r="76" spans="1:63" ht="15" customHeight="1" x14ac:dyDescent="0.2">
      <c r="A76" s="940"/>
      <c r="B76" s="940"/>
      <c r="C76" s="940"/>
      <c r="D76" s="940"/>
      <c r="E76" s="940"/>
      <c r="F76" s="940"/>
      <c r="G76" s="940"/>
      <c r="H76" s="940"/>
      <c r="I76" s="940"/>
      <c r="J76" s="940"/>
      <c r="K76" s="940"/>
      <c r="L76" s="940"/>
      <c r="M76" s="940"/>
      <c r="N76" s="940"/>
      <c r="O76" s="940"/>
      <c r="P76" s="940"/>
      <c r="Q76" s="940"/>
      <c r="R76" s="940"/>
      <c r="S76" s="940"/>
      <c r="T76" s="940"/>
      <c r="U76" s="924"/>
      <c r="V76" s="1535"/>
      <c r="W76" s="1535"/>
      <c r="X76" s="1535"/>
      <c r="Y76" s="1535"/>
      <c r="Z76" s="1535"/>
      <c r="AA76" s="1535"/>
      <c r="AB76" s="1535"/>
      <c r="AC76" s="1535"/>
      <c r="AD76" s="1535"/>
      <c r="AE76" s="1535"/>
      <c r="AF76" s="1535"/>
      <c r="AG76" s="1535"/>
      <c r="AH76" s="1535"/>
      <c r="AI76" s="1535"/>
      <c r="AJ76" s="1535"/>
      <c r="AK76" s="1535"/>
      <c r="AL76" s="1535"/>
      <c r="AM76" s="1535"/>
      <c r="AN76" s="1535"/>
      <c r="AO76" s="1535"/>
      <c r="AP76" s="1535"/>
      <c r="AQ76" s="1535"/>
      <c r="AR76" s="1535"/>
      <c r="AS76" s="1535"/>
      <c r="AT76" s="1536"/>
      <c r="AU76" s="1536"/>
      <c r="AV76" s="1536"/>
      <c r="AW76" s="1536"/>
      <c r="AX76" s="1536"/>
      <c r="AY76" s="1536"/>
      <c r="AZ76" s="1536"/>
      <c r="BA76" s="1536"/>
      <c r="BB76" s="1536"/>
      <c r="BC76" s="1536"/>
      <c r="BD76" s="1536"/>
      <c r="BE76" s="1536"/>
      <c r="BF76" s="1536"/>
      <c r="BG76" s="1536"/>
      <c r="BH76" s="1536"/>
      <c r="BI76" s="1536"/>
      <c r="BJ76" s="1536"/>
      <c r="BK76" s="1536"/>
    </row>
    <row r="77" spans="1:63" ht="15" customHeight="1" x14ac:dyDescent="0.2">
      <c r="A77" s="940"/>
      <c r="B77" s="940"/>
      <c r="C77" s="940"/>
      <c r="D77" s="940"/>
      <c r="E77" s="940"/>
      <c r="F77" s="940"/>
      <c r="G77" s="940"/>
      <c r="H77" s="940"/>
      <c r="I77" s="940"/>
      <c r="J77" s="940"/>
      <c r="K77" s="940"/>
      <c r="L77" s="940"/>
      <c r="M77" s="940"/>
      <c r="N77" s="940"/>
      <c r="O77" s="940"/>
      <c r="P77" s="940"/>
      <c r="Q77" s="940"/>
      <c r="R77" s="940"/>
      <c r="S77" s="940"/>
      <c r="T77" s="940"/>
      <c r="U77" s="924"/>
      <c r="V77" s="1535"/>
      <c r="W77" s="1535"/>
      <c r="X77" s="1535"/>
      <c r="Y77" s="1535"/>
      <c r="Z77" s="1535"/>
      <c r="AA77" s="1535"/>
      <c r="AB77" s="1535"/>
      <c r="AC77" s="1535"/>
      <c r="AD77" s="1535"/>
      <c r="AE77" s="1535"/>
      <c r="AF77" s="1535"/>
      <c r="AG77" s="1535"/>
      <c r="AH77" s="1535"/>
      <c r="AI77" s="1535"/>
      <c r="AJ77" s="1535"/>
      <c r="AK77" s="1535"/>
      <c r="AL77" s="1535"/>
      <c r="AM77" s="1535"/>
      <c r="AN77" s="1535"/>
      <c r="AO77" s="1535"/>
      <c r="AP77" s="1535"/>
      <c r="AQ77" s="1535"/>
      <c r="AR77" s="1535"/>
      <c r="AS77" s="1535"/>
      <c r="AT77" s="1536"/>
      <c r="AU77" s="1536"/>
      <c r="AV77" s="1536"/>
      <c r="AW77" s="1536"/>
      <c r="AX77" s="1536"/>
      <c r="AY77" s="1536"/>
      <c r="AZ77" s="1536"/>
      <c r="BA77" s="1536"/>
      <c r="BB77" s="1536"/>
      <c r="BC77" s="1536"/>
      <c r="BD77" s="1536"/>
      <c r="BE77" s="1536"/>
      <c r="BF77" s="1536"/>
      <c r="BG77" s="1536"/>
      <c r="BH77" s="1536"/>
      <c r="BI77" s="1536"/>
      <c r="BJ77" s="1536"/>
      <c r="BK77" s="1536"/>
    </row>
    <row r="78" spans="1:63" ht="15" customHeight="1" x14ac:dyDescent="0.2">
      <c r="A78" s="940"/>
      <c r="B78" s="940"/>
      <c r="C78" s="940"/>
      <c r="D78" s="940"/>
      <c r="E78" s="940"/>
      <c r="F78" s="940"/>
      <c r="G78" s="940"/>
      <c r="H78" s="940"/>
      <c r="I78" s="940"/>
      <c r="J78" s="940"/>
      <c r="K78" s="940"/>
      <c r="L78" s="940"/>
      <c r="M78" s="940"/>
      <c r="N78" s="940"/>
      <c r="O78" s="940"/>
      <c r="P78" s="940"/>
      <c r="Q78" s="940"/>
      <c r="R78" s="940"/>
      <c r="S78" s="940"/>
      <c r="T78" s="940"/>
      <c r="U78" s="924"/>
      <c r="V78" s="1535"/>
      <c r="W78" s="1535"/>
      <c r="X78" s="1535"/>
      <c r="Y78" s="1535"/>
      <c r="Z78" s="1535"/>
      <c r="AA78" s="1535"/>
      <c r="AB78" s="1535"/>
      <c r="AC78" s="1535"/>
      <c r="AD78" s="1535"/>
      <c r="AE78" s="1535"/>
      <c r="AF78" s="1535"/>
      <c r="AG78" s="1535"/>
      <c r="AH78" s="1535"/>
      <c r="AI78" s="1535"/>
      <c r="AJ78" s="1535"/>
      <c r="AK78" s="1535"/>
      <c r="AL78" s="1535"/>
      <c r="AM78" s="1535"/>
      <c r="AN78" s="1535"/>
      <c r="AO78" s="1535"/>
      <c r="AP78" s="1535"/>
      <c r="AQ78" s="1535"/>
      <c r="AR78" s="1535"/>
      <c r="AS78" s="1535"/>
      <c r="AT78" s="1536"/>
      <c r="AU78" s="1536"/>
      <c r="AV78" s="1536"/>
      <c r="AW78" s="1536"/>
      <c r="AX78" s="1536"/>
      <c r="AY78" s="1536"/>
      <c r="AZ78" s="1536"/>
      <c r="BA78" s="1536"/>
      <c r="BB78" s="1536"/>
      <c r="BC78" s="1536"/>
      <c r="BD78" s="1536"/>
      <c r="BE78" s="1536"/>
      <c r="BF78" s="1536"/>
      <c r="BG78" s="1536"/>
      <c r="BH78" s="1536"/>
      <c r="BI78" s="1536"/>
      <c r="BJ78" s="1536"/>
      <c r="BK78" s="1536"/>
    </row>
    <row r="79" spans="1:63" ht="15" customHeight="1" x14ac:dyDescent="0.2">
      <c r="A79" s="940"/>
      <c r="B79" s="940"/>
      <c r="C79" s="940"/>
      <c r="D79" s="940"/>
      <c r="E79" s="940"/>
      <c r="F79" s="940"/>
      <c r="G79" s="940"/>
      <c r="H79" s="940"/>
      <c r="I79" s="940"/>
      <c r="J79" s="940"/>
      <c r="K79" s="940"/>
      <c r="L79" s="940"/>
      <c r="M79" s="940"/>
      <c r="N79" s="940"/>
      <c r="O79" s="940"/>
      <c r="P79" s="940"/>
      <c r="Q79" s="940"/>
      <c r="R79" s="940"/>
      <c r="S79" s="940"/>
      <c r="T79" s="940"/>
      <c r="U79" s="924"/>
      <c r="V79" s="1535"/>
      <c r="W79" s="1535"/>
      <c r="X79" s="1535"/>
      <c r="Y79" s="1535"/>
      <c r="Z79" s="1535"/>
      <c r="AA79" s="1535"/>
      <c r="AB79" s="1535"/>
      <c r="AC79" s="1535"/>
      <c r="AD79" s="1535"/>
      <c r="AE79" s="1535"/>
      <c r="AF79" s="1535"/>
      <c r="AG79" s="1535"/>
      <c r="AH79" s="1535"/>
      <c r="AI79" s="1535"/>
      <c r="AJ79" s="1535"/>
      <c r="AK79" s="1535"/>
      <c r="AL79" s="1535"/>
      <c r="AM79" s="1535"/>
      <c r="AN79" s="1535"/>
      <c r="AO79" s="1535"/>
      <c r="AP79" s="1535"/>
      <c r="AQ79" s="1535"/>
      <c r="AR79" s="1535"/>
      <c r="AS79" s="1535"/>
      <c r="AT79" s="1536"/>
      <c r="AU79" s="1536"/>
      <c r="AV79" s="1536"/>
      <c r="AW79" s="1536"/>
      <c r="AX79" s="1536"/>
      <c r="AY79" s="1536"/>
      <c r="AZ79" s="1536"/>
      <c r="BA79" s="1536"/>
      <c r="BB79" s="1536"/>
      <c r="BC79" s="1536"/>
      <c r="BD79" s="1536"/>
      <c r="BE79" s="1536"/>
      <c r="BF79" s="1536"/>
      <c r="BG79" s="1536"/>
      <c r="BH79" s="1536"/>
      <c r="BI79" s="1536"/>
      <c r="BJ79" s="1536"/>
      <c r="BK79" s="1536"/>
    </row>
    <row r="80" spans="1:63" ht="15" customHeight="1" x14ac:dyDescent="0.2">
      <c r="A80" s="940"/>
      <c r="B80" s="940"/>
      <c r="C80" s="940"/>
      <c r="D80" s="940"/>
      <c r="E80" s="940"/>
      <c r="F80" s="940"/>
      <c r="G80" s="940"/>
      <c r="H80" s="940"/>
      <c r="I80" s="940"/>
      <c r="J80" s="940"/>
      <c r="K80" s="940"/>
      <c r="L80" s="940"/>
      <c r="M80" s="940"/>
      <c r="N80" s="940"/>
      <c r="O80" s="940"/>
      <c r="P80" s="940"/>
      <c r="Q80" s="940"/>
      <c r="R80" s="940"/>
      <c r="S80" s="940"/>
      <c r="T80" s="940"/>
      <c r="U80" s="924"/>
      <c r="V80" s="1535"/>
      <c r="W80" s="1535"/>
      <c r="X80" s="1535"/>
      <c r="Y80" s="1535"/>
      <c r="Z80" s="1535"/>
      <c r="AA80" s="1535"/>
      <c r="AB80" s="1535"/>
      <c r="AC80" s="1535"/>
      <c r="AD80" s="1535"/>
      <c r="AE80" s="1535"/>
      <c r="AF80" s="1535"/>
      <c r="AG80" s="1535"/>
      <c r="AH80" s="1535"/>
      <c r="AI80" s="1535"/>
      <c r="AJ80" s="1535"/>
      <c r="AK80" s="1535"/>
      <c r="AL80" s="1535"/>
      <c r="AM80" s="1535"/>
      <c r="AN80" s="1535"/>
      <c r="AO80" s="1535"/>
      <c r="AP80" s="1535"/>
      <c r="AQ80" s="1535"/>
      <c r="AR80" s="1535"/>
      <c r="AS80" s="1535"/>
      <c r="AT80" s="1536"/>
      <c r="AU80" s="1536"/>
      <c r="AV80" s="1536"/>
      <c r="AW80" s="1536"/>
      <c r="AX80" s="1536"/>
      <c r="AY80" s="1536"/>
      <c r="AZ80" s="1536"/>
      <c r="BA80" s="1536"/>
      <c r="BB80" s="1536"/>
      <c r="BC80" s="1536"/>
      <c r="BD80" s="1536"/>
      <c r="BE80" s="1536"/>
      <c r="BF80" s="1536"/>
      <c r="BG80" s="1536"/>
      <c r="BH80" s="1536"/>
      <c r="BI80" s="1536"/>
      <c r="BJ80" s="1536"/>
      <c r="BK80" s="1536"/>
    </row>
    <row r="81" spans="1:63" ht="12" customHeight="1" x14ac:dyDescent="0.2">
      <c r="A81" s="940"/>
      <c r="B81" s="940"/>
      <c r="C81" s="940"/>
      <c r="D81" s="940"/>
      <c r="E81" s="940"/>
      <c r="F81" s="940"/>
      <c r="G81" s="940"/>
      <c r="H81" s="940"/>
      <c r="I81" s="940"/>
      <c r="J81" s="940"/>
      <c r="K81" s="940"/>
      <c r="L81" s="940"/>
      <c r="M81" s="940"/>
      <c r="N81" s="940"/>
      <c r="O81" s="940"/>
      <c r="P81" s="940"/>
      <c r="Q81" s="940"/>
      <c r="R81" s="940"/>
      <c r="S81" s="940"/>
      <c r="T81" s="940"/>
      <c r="V81" s="1536"/>
      <c r="W81" s="1536"/>
      <c r="X81" s="1535"/>
      <c r="Y81" s="1535"/>
      <c r="Z81" s="1535"/>
      <c r="AA81" s="1535"/>
      <c r="AB81" s="1535"/>
      <c r="AC81" s="1535"/>
      <c r="AD81" s="1535"/>
      <c r="AE81" s="1537" t="s">
        <v>310</v>
      </c>
      <c r="AF81" s="1535"/>
      <c r="AG81" s="1535"/>
      <c r="AH81" s="1535" t="s">
        <v>318</v>
      </c>
      <c r="AI81" s="1536"/>
      <c r="AJ81" s="1535"/>
      <c r="AK81" s="1535"/>
      <c r="AL81" s="1535"/>
      <c r="AM81" s="1535"/>
      <c r="AN81" s="1535"/>
      <c r="AO81" s="1535"/>
      <c r="AP81" s="1535"/>
      <c r="AQ81" s="1535"/>
      <c r="AR81" s="1535"/>
      <c r="AS81" s="1535"/>
      <c r="AT81" s="1536"/>
      <c r="AU81" s="1536"/>
      <c r="AV81" s="1536"/>
      <c r="AW81" s="1536"/>
      <c r="AX81" s="1536"/>
      <c r="AY81" s="1536"/>
      <c r="AZ81" s="1536"/>
      <c r="BA81" s="1536"/>
      <c r="BB81" s="1536"/>
      <c r="BC81" s="1536"/>
      <c r="BD81" s="1536"/>
      <c r="BE81" s="1536"/>
      <c r="BF81" s="1536"/>
      <c r="BG81" s="1536"/>
      <c r="BH81" s="1536"/>
      <c r="BI81" s="1536"/>
      <c r="BJ81" s="1536"/>
      <c r="BK81" s="1536"/>
    </row>
    <row r="82" spans="1:63" ht="12" customHeight="1" x14ac:dyDescent="0.2">
      <c r="A82" s="940"/>
      <c r="B82" s="940"/>
      <c r="C82" s="940"/>
      <c r="D82" s="940"/>
      <c r="E82" s="940"/>
      <c r="F82" s="940"/>
      <c r="G82" s="940"/>
      <c r="H82" s="940"/>
      <c r="I82" s="940"/>
      <c r="J82" s="940"/>
      <c r="K82" s="940"/>
      <c r="L82" s="940"/>
      <c r="M82" s="940"/>
      <c r="N82" s="940"/>
      <c r="O82" s="940"/>
      <c r="P82" s="940"/>
      <c r="Q82" s="940"/>
      <c r="R82" s="940"/>
      <c r="S82" s="940"/>
      <c r="T82" s="940"/>
      <c r="V82" s="1536"/>
      <c r="W82" s="1536"/>
      <c r="X82" s="1535"/>
      <c r="Y82" s="1535"/>
      <c r="Z82" s="1535"/>
      <c r="AA82" s="1535"/>
      <c r="AB82" s="1535"/>
      <c r="AC82" s="1535"/>
      <c r="AD82" s="1535"/>
      <c r="AE82" s="1537"/>
      <c r="AF82" s="1536"/>
      <c r="AG82" s="1535"/>
      <c r="AH82" s="1535" t="s">
        <v>358</v>
      </c>
      <c r="AI82" s="1538"/>
      <c r="AJ82" s="1535"/>
      <c r="AK82" s="1535"/>
      <c r="AL82" s="1535"/>
      <c r="AM82" s="1535"/>
      <c r="AN82" s="1535"/>
      <c r="AO82" s="1535"/>
      <c r="AP82" s="1535"/>
      <c r="AQ82" s="1535"/>
      <c r="AR82" s="1535"/>
      <c r="AS82" s="1535"/>
      <c r="AT82" s="1536"/>
      <c r="AU82" s="1536"/>
      <c r="AV82" s="1536"/>
      <c r="AW82" s="1536"/>
      <c r="AX82" s="1536"/>
      <c r="AY82" s="1536"/>
      <c r="AZ82" s="1536"/>
      <c r="BA82" s="1536"/>
      <c r="BB82" s="1536"/>
      <c r="BC82" s="1536"/>
      <c r="BD82" s="1536"/>
      <c r="BE82" s="1536"/>
      <c r="BF82" s="1536"/>
      <c r="BG82" s="1536"/>
      <c r="BH82" s="1536"/>
      <c r="BI82" s="1536"/>
      <c r="BJ82" s="1536"/>
      <c r="BK82" s="1536"/>
    </row>
    <row r="83" spans="1:63" ht="12" customHeight="1" x14ac:dyDescent="0.2">
      <c r="A83" s="940"/>
      <c r="B83" s="940"/>
      <c r="C83" s="940"/>
      <c r="D83" s="940"/>
      <c r="E83" s="940"/>
      <c r="F83" s="940"/>
      <c r="G83" s="940"/>
      <c r="H83" s="940"/>
      <c r="I83" s="940"/>
      <c r="J83" s="940"/>
      <c r="K83" s="940"/>
      <c r="L83" s="940"/>
      <c r="M83" s="940"/>
      <c r="N83" s="940"/>
      <c r="O83" s="940"/>
      <c r="P83" s="940"/>
      <c r="Q83" s="940"/>
      <c r="R83" s="940"/>
      <c r="S83" s="940"/>
      <c r="T83" s="940"/>
      <c r="V83" s="1536"/>
      <c r="W83" s="1536"/>
      <c r="X83" s="1535"/>
      <c r="Y83" s="1535"/>
      <c r="Z83" s="1535"/>
      <c r="AA83" s="1535"/>
      <c r="AB83" s="1535"/>
      <c r="AC83" s="1535"/>
      <c r="AD83" s="1535"/>
      <c r="AE83" s="1537"/>
      <c r="AF83" s="1536"/>
      <c r="AG83" s="1535"/>
      <c r="AH83" s="1535"/>
      <c r="AI83" s="1538"/>
      <c r="AJ83" s="1535"/>
      <c r="AK83" s="1535"/>
      <c r="AL83" s="1535"/>
      <c r="AM83" s="1535"/>
      <c r="AN83" s="1535"/>
      <c r="AO83" s="1535"/>
      <c r="AP83" s="1535"/>
      <c r="AQ83" s="1535"/>
      <c r="AR83" s="1535"/>
      <c r="AS83" s="1535"/>
      <c r="AT83" s="1536"/>
      <c r="AU83" s="1536"/>
      <c r="AV83" s="1536"/>
      <c r="AW83" s="1536"/>
      <c r="AX83" s="1536"/>
      <c r="AY83" s="1536"/>
      <c r="AZ83" s="1536"/>
      <c r="BA83" s="1536"/>
      <c r="BB83" s="1536"/>
      <c r="BC83" s="1536"/>
      <c r="BD83" s="1536"/>
      <c r="BE83" s="1536"/>
      <c r="BF83" s="1536"/>
      <c r="BG83" s="1536"/>
      <c r="BH83" s="1536"/>
      <c r="BI83" s="1536"/>
      <c r="BJ83" s="1536"/>
      <c r="BK83" s="1536"/>
    </row>
    <row r="84" spans="1:63" ht="12" customHeight="1" x14ac:dyDescent="0.2">
      <c r="A84" s="940"/>
      <c r="B84" s="940"/>
      <c r="C84" s="940"/>
      <c r="D84" s="940"/>
      <c r="E84" s="940"/>
      <c r="F84" s="940"/>
      <c r="G84" s="940"/>
      <c r="H84" s="940"/>
      <c r="I84" s="940"/>
      <c r="J84" s="940"/>
      <c r="K84" s="940"/>
      <c r="L84" s="940"/>
      <c r="M84" s="940"/>
      <c r="N84" s="940"/>
      <c r="O84" s="940"/>
      <c r="P84" s="940"/>
      <c r="Q84" s="940"/>
      <c r="R84" s="940"/>
      <c r="S84" s="940"/>
      <c r="T84" s="940"/>
      <c r="V84" s="1536"/>
      <c r="W84" s="1536"/>
      <c r="X84" s="1535"/>
      <c r="Y84" s="1535"/>
      <c r="Z84" s="1535"/>
      <c r="AA84" s="1535"/>
      <c r="AB84" s="1535"/>
      <c r="AC84" s="1535"/>
      <c r="AD84" s="1535"/>
      <c r="AE84" s="1535"/>
      <c r="AF84" s="1535"/>
      <c r="AG84" s="1535"/>
      <c r="AH84" s="1535"/>
      <c r="AI84" s="1538" t="s">
        <v>478</v>
      </c>
      <c r="AJ84" s="1535" t="s">
        <v>479</v>
      </c>
      <c r="AK84" s="1535" t="s">
        <v>480</v>
      </c>
      <c r="AL84" s="1535"/>
      <c r="AM84" s="1535"/>
      <c r="AN84" s="1535"/>
      <c r="AO84" s="1535"/>
      <c r="AP84" s="1535"/>
      <c r="AQ84" s="1535"/>
      <c r="AR84" s="1535"/>
      <c r="AS84" s="1535"/>
      <c r="AT84" s="1536"/>
      <c r="AU84" s="1536"/>
      <c r="AV84" s="1536"/>
      <c r="AW84" s="1536"/>
      <c r="AX84" s="1536"/>
      <c r="AY84" s="1536"/>
      <c r="AZ84" s="1536"/>
      <c r="BA84" s="1536"/>
      <c r="BB84" s="1536"/>
      <c r="BC84" s="1536"/>
      <c r="BD84" s="1536"/>
      <c r="BE84" s="1536"/>
      <c r="BF84" s="1536"/>
      <c r="BG84" s="1536"/>
      <c r="BH84" s="1536"/>
      <c r="BI84" s="1536"/>
      <c r="BJ84" s="1536"/>
      <c r="BK84" s="1536"/>
    </row>
    <row r="85" spans="1:63" ht="12" customHeight="1" x14ac:dyDescent="0.2">
      <c r="A85" s="940"/>
      <c r="B85" s="940"/>
      <c r="C85" s="940"/>
      <c r="D85" s="940"/>
      <c r="E85" s="940"/>
      <c r="F85" s="940"/>
      <c r="G85" s="940"/>
      <c r="H85" s="940"/>
      <c r="I85" s="940"/>
      <c r="J85" s="940"/>
      <c r="K85" s="940"/>
      <c r="L85" s="940"/>
      <c r="M85" s="940"/>
      <c r="N85" s="940"/>
      <c r="O85" s="940"/>
      <c r="P85" s="940"/>
      <c r="Q85" s="940"/>
      <c r="R85" s="940"/>
      <c r="S85" s="940"/>
      <c r="T85" s="940"/>
      <c r="V85" s="1536"/>
      <c r="W85" s="1536"/>
      <c r="X85" s="1535"/>
      <c r="Y85" s="1535"/>
      <c r="Z85" s="1535"/>
      <c r="AA85" s="1535"/>
      <c r="AB85" s="1535"/>
      <c r="AC85" s="1535"/>
      <c r="AD85" s="1535"/>
      <c r="AE85" s="1537" t="s">
        <v>311</v>
      </c>
      <c r="AF85" s="1535"/>
      <c r="AG85" s="1535"/>
      <c r="AH85" s="1535" t="s">
        <v>319</v>
      </c>
      <c r="AI85" s="1538"/>
      <c r="AJ85" s="1535"/>
      <c r="AK85" s="1535"/>
      <c r="AL85" s="1535"/>
      <c r="AM85" s="1535"/>
      <c r="AN85" s="1535"/>
      <c r="AO85" s="1535"/>
      <c r="AP85" s="1535"/>
      <c r="AQ85" s="1535"/>
      <c r="AR85" s="1535"/>
      <c r="AS85" s="1535"/>
      <c r="AT85" s="1536"/>
      <c r="AU85" s="1536"/>
      <c r="AV85" s="1536"/>
      <c r="AW85" s="1536"/>
      <c r="AX85" s="1536"/>
      <c r="AY85" s="1536"/>
      <c r="AZ85" s="1536"/>
      <c r="BA85" s="1536"/>
      <c r="BB85" s="1536"/>
      <c r="BC85" s="1536"/>
      <c r="BD85" s="1536"/>
      <c r="BE85" s="1536"/>
      <c r="BF85" s="1536"/>
      <c r="BG85" s="1536"/>
      <c r="BH85" s="1536"/>
      <c r="BI85" s="1536"/>
      <c r="BJ85" s="1536"/>
      <c r="BK85" s="1536"/>
    </row>
    <row r="86" spans="1:63" ht="12" customHeight="1" x14ac:dyDescent="0.2">
      <c r="A86" s="940"/>
      <c r="B86" s="940"/>
      <c r="C86" s="940"/>
      <c r="D86" s="940"/>
      <c r="E86" s="940"/>
      <c r="F86" s="940"/>
      <c r="G86" s="940"/>
      <c r="H86" s="940"/>
      <c r="I86" s="940"/>
      <c r="J86" s="940"/>
      <c r="K86" s="940"/>
      <c r="L86" s="940"/>
      <c r="M86" s="940"/>
      <c r="N86" s="940"/>
      <c r="O86" s="940"/>
      <c r="P86" s="940"/>
      <c r="Q86" s="940"/>
      <c r="R86" s="940"/>
      <c r="S86" s="940"/>
      <c r="T86" s="940"/>
      <c r="V86" s="1536"/>
      <c r="W86" s="1536"/>
      <c r="X86" s="1535"/>
      <c r="Y86" s="1535"/>
      <c r="Z86" s="1535"/>
      <c r="AA86" s="1535"/>
      <c r="AB86" s="1535"/>
      <c r="AC86" s="1535"/>
      <c r="AD86" s="1535"/>
      <c r="AE86" s="1535"/>
      <c r="AF86" s="1536"/>
      <c r="AG86" s="1535"/>
      <c r="AH86" s="1535" t="s">
        <v>320</v>
      </c>
      <c r="AI86" s="1538"/>
      <c r="AJ86" s="1535"/>
      <c r="AK86" s="1535"/>
      <c r="AL86" s="1535"/>
      <c r="AM86" s="1535"/>
      <c r="AN86" s="1535"/>
      <c r="AO86" s="1535"/>
      <c r="AP86" s="1535"/>
      <c r="AQ86" s="1535"/>
      <c r="AR86" s="1535"/>
      <c r="AS86" s="1535"/>
      <c r="AT86" s="1536"/>
      <c r="AU86" s="1536"/>
      <c r="AV86" s="1536"/>
      <c r="AW86" s="1536"/>
      <c r="AX86" s="1536"/>
      <c r="AY86" s="1536"/>
      <c r="AZ86" s="1536"/>
      <c r="BA86" s="1536"/>
      <c r="BB86" s="1536"/>
      <c r="BC86" s="1536"/>
      <c r="BD86" s="1536"/>
      <c r="BE86" s="1536"/>
      <c r="BF86" s="1536"/>
      <c r="BG86" s="1536"/>
      <c r="BH86" s="1536"/>
      <c r="BI86" s="1536"/>
      <c r="BJ86" s="1536"/>
      <c r="BK86" s="1536"/>
    </row>
    <row r="87" spans="1:63" ht="12" customHeight="1" x14ac:dyDescent="0.2">
      <c r="A87" s="940"/>
      <c r="B87" s="940"/>
      <c r="C87" s="940"/>
      <c r="D87" s="940"/>
      <c r="E87" s="940"/>
      <c r="F87" s="940"/>
      <c r="G87" s="940"/>
      <c r="H87" s="940"/>
      <c r="I87" s="940"/>
      <c r="J87" s="940"/>
      <c r="K87" s="940"/>
      <c r="L87" s="940"/>
      <c r="M87" s="940"/>
      <c r="N87" s="940"/>
      <c r="O87" s="940"/>
      <c r="P87" s="940"/>
      <c r="Q87" s="940"/>
      <c r="R87" s="940"/>
      <c r="S87" s="940"/>
      <c r="T87" s="940"/>
      <c r="V87" s="1536"/>
      <c r="W87" s="1536"/>
      <c r="X87" s="1535"/>
      <c r="Y87" s="1535"/>
      <c r="Z87" s="1535"/>
      <c r="AA87" s="1535"/>
      <c r="AB87" s="1535"/>
      <c r="AC87" s="1535"/>
      <c r="AD87" s="1535"/>
      <c r="AE87" s="1535"/>
      <c r="AF87" s="1535"/>
      <c r="AG87" s="1535"/>
      <c r="AH87" s="1535" t="s">
        <v>321</v>
      </c>
      <c r="AI87" s="1538"/>
      <c r="AJ87" s="1535"/>
      <c r="AK87" s="1535"/>
      <c r="AL87" s="1535"/>
      <c r="AM87" s="1535"/>
      <c r="AN87" s="1535"/>
      <c r="AO87" s="1535"/>
      <c r="AP87" s="1535"/>
      <c r="AQ87" s="1535"/>
      <c r="AR87" s="1535"/>
      <c r="AS87" s="1535"/>
      <c r="AT87" s="1536"/>
      <c r="AU87" s="1536"/>
      <c r="AV87" s="1536"/>
      <c r="AW87" s="1536"/>
      <c r="AX87" s="1536"/>
      <c r="AY87" s="1536"/>
      <c r="AZ87" s="1536"/>
      <c r="BA87" s="1536"/>
      <c r="BB87" s="1536"/>
      <c r="BC87" s="1536"/>
      <c r="BD87" s="1536"/>
      <c r="BE87" s="1536"/>
      <c r="BF87" s="1536"/>
      <c r="BG87" s="1536"/>
      <c r="BH87" s="1536"/>
      <c r="BI87" s="1536"/>
      <c r="BJ87" s="1536"/>
      <c r="BK87" s="1536"/>
    </row>
    <row r="88" spans="1:63" ht="12" customHeight="1" x14ac:dyDescent="0.2">
      <c r="A88" s="940"/>
      <c r="B88" s="940"/>
      <c r="C88" s="940"/>
      <c r="D88" s="940"/>
      <c r="E88" s="940"/>
      <c r="F88" s="940"/>
      <c r="G88" s="940"/>
      <c r="H88" s="940"/>
      <c r="I88" s="940"/>
      <c r="J88" s="940"/>
      <c r="K88" s="940"/>
      <c r="L88" s="940"/>
      <c r="M88" s="940"/>
      <c r="N88" s="940"/>
      <c r="O88" s="940"/>
      <c r="P88" s="940"/>
      <c r="Q88" s="940"/>
      <c r="R88" s="940"/>
      <c r="S88" s="940"/>
      <c r="T88" s="940"/>
      <c r="V88" s="1536"/>
      <c r="W88" s="1536"/>
      <c r="X88" s="1535"/>
      <c r="Y88" s="1535"/>
      <c r="Z88" s="1535"/>
      <c r="AA88" s="1535"/>
      <c r="AB88" s="1535"/>
      <c r="AC88" s="1535"/>
      <c r="AD88" s="1535"/>
      <c r="AE88" s="1535"/>
      <c r="AF88" s="1535"/>
      <c r="AG88" s="1535"/>
      <c r="AH88" s="1535" t="s">
        <v>322</v>
      </c>
      <c r="AI88" s="1538"/>
      <c r="AJ88" s="1535"/>
      <c r="AK88" s="1535"/>
      <c r="AL88" s="1535"/>
      <c r="AM88" s="1535"/>
      <c r="AN88" s="1535"/>
      <c r="AO88" s="1535"/>
      <c r="AP88" s="1535"/>
      <c r="AQ88" s="1535"/>
      <c r="AR88" s="1535"/>
      <c r="AS88" s="1535"/>
      <c r="AT88" s="1536"/>
      <c r="AU88" s="1536"/>
      <c r="AV88" s="1536"/>
      <c r="AW88" s="1536"/>
      <c r="AX88" s="1536"/>
      <c r="AY88" s="1536"/>
      <c r="AZ88" s="1536"/>
      <c r="BA88" s="1536"/>
      <c r="BB88" s="1536"/>
      <c r="BC88" s="1536"/>
      <c r="BD88" s="1536"/>
      <c r="BE88" s="1536"/>
      <c r="BF88" s="1536"/>
      <c r="BG88" s="1536"/>
      <c r="BH88" s="1536"/>
      <c r="BI88" s="1536"/>
      <c r="BJ88" s="1536"/>
      <c r="BK88" s="1536"/>
    </row>
    <row r="89" spans="1:63" ht="12" customHeight="1" x14ac:dyDescent="0.2">
      <c r="A89" s="940"/>
      <c r="B89" s="940"/>
      <c r="C89" s="940"/>
      <c r="D89" s="940"/>
      <c r="E89" s="940"/>
      <c r="F89" s="940"/>
      <c r="G89" s="940"/>
      <c r="H89" s="940"/>
      <c r="I89" s="940"/>
      <c r="J89" s="940"/>
      <c r="K89" s="940"/>
      <c r="L89" s="940"/>
      <c r="M89" s="940"/>
      <c r="N89" s="940"/>
      <c r="O89" s="940"/>
      <c r="P89" s="940"/>
      <c r="Q89" s="940"/>
      <c r="R89" s="940"/>
      <c r="S89" s="940"/>
      <c r="T89" s="940"/>
      <c r="V89" s="1536"/>
      <c r="W89" s="1536"/>
      <c r="X89" s="1535"/>
      <c r="Y89" s="1535"/>
      <c r="Z89" s="1535"/>
      <c r="AA89" s="1535"/>
      <c r="AB89" s="1535"/>
      <c r="AC89" s="1535"/>
      <c r="AD89" s="1535"/>
      <c r="AE89" s="1535"/>
      <c r="AF89" s="1535"/>
      <c r="AG89" s="1535"/>
      <c r="AH89" s="1535" t="s">
        <v>323</v>
      </c>
      <c r="AI89" s="1538"/>
      <c r="AJ89" s="1535"/>
      <c r="AK89" s="1535"/>
      <c r="AL89" s="1535"/>
      <c r="AM89" s="1535"/>
      <c r="AN89" s="1535"/>
      <c r="AO89" s="1535"/>
      <c r="AP89" s="1535"/>
      <c r="AQ89" s="1535"/>
      <c r="AR89" s="1535"/>
      <c r="AS89" s="1535"/>
      <c r="AT89" s="1536"/>
      <c r="AU89" s="1536"/>
      <c r="AV89" s="1536"/>
      <c r="AW89" s="1536"/>
      <c r="AX89" s="1536"/>
      <c r="AY89" s="1536"/>
      <c r="AZ89" s="1536"/>
      <c r="BA89" s="1536"/>
      <c r="BB89" s="1536"/>
      <c r="BC89" s="1536"/>
      <c r="BD89" s="1536"/>
      <c r="BE89" s="1536"/>
      <c r="BF89" s="1536"/>
      <c r="BG89" s="1536"/>
      <c r="BH89" s="1536"/>
      <c r="BI89" s="1536"/>
      <c r="BJ89" s="1536"/>
      <c r="BK89" s="1536"/>
    </row>
    <row r="90" spans="1:63" ht="12" customHeight="1" x14ac:dyDescent="0.2">
      <c r="A90" s="940"/>
      <c r="B90" s="940"/>
      <c r="C90" s="940"/>
      <c r="D90" s="940"/>
      <c r="E90" s="940"/>
      <c r="F90" s="940"/>
      <c r="G90" s="940"/>
      <c r="H90" s="940"/>
      <c r="I90" s="940"/>
      <c r="J90" s="940"/>
      <c r="K90" s="940"/>
      <c r="L90" s="940"/>
      <c r="M90" s="940"/>
      <c r="N90" s="940"/>
      <c r="O90" s="940"/>
      <c r="P90" s="940"/>
      <c r="Q90" s="940"/>
      <c r="R90" s="940"/>
      <c r="S90" s="940"/>
      <c r="T90" s="940"/>
      <c r="V90" s="1536"/>
      <c r="W90" s="1536"/>
      <c r="X90" s="1535"/>
      <c r="Y90" s="1535"/>
      <c r="Z90" s="1535"/>
      <c r="AA90" s="1535"/>
      <c r="AB90" s="1535"/>
      <c r="AC90" s="1535"/>
      <c r="AD90" s="1535"/>
      <c r="AE90" s="1535"/>
      <c r="AF90" s="1535"/>
      <c r="AG90" s="1535"/>
      <c r="AH90" s="1535"/>
      <c r="AI90" s="1538"/>
      <c r="AJ90" s="1535"/>
      <c r="AK90" s="1535"/>
      <c r="AL90" s="1535"/>
      <c r="AM90" s="1535"/>
      <c r="AN90" s="1535"/>
      <c r="AO90" s="1535"/>
      <c r="AP90" s="1535"/>
      <c r="AQ90" s="1535"/>
      <c r="AR90" s="1535"/>
      <c r="AS90" s="1535"/>
      <c r="AT90" s="1536"/>
      <c r="AU90" s="1536"/>
      <c r="AV90" s="1536"/>
      <c r="AW90" s="1536"/>
      <c r="AX90" s="1536"/>
      <c r="AY90" s="1536"/>
      <c r="AZ90" s="1536"/>
      <c r="BA90" s="1536"/>
      <c r="BB90" s="1536"/>
      <c r="BC90" s="1536"/>
      <c r="BD90" s="1536"/>
      <c r="BE90" s="1536"/>
      <c r="BF90" s="1536"/>
      <c r="BG90" s="1536"/>
      <c r="BH90" s="1536"/>
      <c r="BI90" s="1536"/>
      <c r="BJ90" s="1536"/>
      <c r="BK90" s="1536"/>
    </row>
    <row r="91" spans="1:63" ht="12" customHeight="1" x14ac:dyDescent="0.2">
      <c r="A91" s="940"/>
      <c r="B91" s="940"/>
      <c r="C91" s="940"/>
      <c r="D91" s="940"/>
      <c r="E91" s="940"/>
      <c r="F91" s="940"/>
      <c r="G91" s="940"/>
      <c r="H91" s="940"/>
      <c r="I91" s="940"/>
      <c r="J91" s="940"/>
      <c r="K91" s="940"/>
      <c r="L91" s="940"/>
      <c r="M91" s="940"/>
      <c r="N91" s="940"/>
      <c r="O91" s="940"/>
      <c r="P91" s="940"/>
      <c r="Q91" s="940"/>
      <c r="R91" s="940"/>
      <c r="S91" s="940"/>
      <c r="T91" s="940"/>
      <c r="V91" s="1536"/>
      <c r="W91" s="1536"/>
      <c r="X91" s="1535"/>
      <c r="Y91" s="1535"/>
      <c r="Z91" s="1535"/>
      <c r="AA91" s="1535"/>
      <c r="AB91" s="1535"/>
      <c r="AC91" s="1535"/>
      <c r="AD91" s="1535"/>
      <c r="AE91" s="1535"/>
      <c r="AF91" s="1535"/>
      <c r="AG91" s="1535"/>
      <c r="AH91" s="1535"/>
      <c r="AI91" s="1538"/>
      <c r="AJ91" s="1535"/>
      <c r="AK91" s="1535"/>
      <c r="AL91" s="1535"/>
      <c r="AM91" s="1535"/>
      <c r="AN91" s="1535"/>
      <c r="AO91" s="1535"/>
      <c r="AP91" s="1535"/>
      <c r="AQ91" s="1535"/>
      <c r="AR91" s="1535"/>
      <c r="AS91" s="1535"/>
      <c r="AT91" s="1536"/>
      <c r="AU91" s="1536"/>
      <c r="AV91" s="1536"/>
      <c r="AW91" s="1536"/>
      <c r="AX91" s="1536"/>
      <c r="AY91" s="1536"/>
      <c r="AZ91" s="1536"/>
      <c r="BA91" s="1536"/>
      <c r="BB91" s="1536"/>
      <c r="BC91" s="1536"/>
      <c r="BD91" s="1536"/>
      <c r="BE91" s="1536"/>
      <c r="BF91" s="1536"/>
      <c r="BG91" s="1536"/>
      <c r="BH91" s="1536"/>
      <c r="BI91" s="1536"/>
      <c r="BJ91" s="1536"/>
      <c r="BK91" s="1536"/>
    </row>
    <row r="92" spans="1:63" ht="12" customHeight="1" x14ac:dyDescent="0.2">
      <c r="A92" s="940"/>
      <c r="B92" s="940"/>
      <c r="C92" s="940"/>
      <c r="D92" s="940"/>
      <c r="E92" s="940"/>
      <c r="F92" s="940"/>
      <c r="G92" s="940"/>
      <c r="H92" s="940"/>
      <c r="I92" s="940"/>
      <c r="J92" s="940"/>
      <c r="K92" s="940"/>
      <c r="L92" s="940"/>
      <c r="M92" s="940"/>
      <c r="N92" s="940"/>
      <c r="O92" s="940"/>
      <c r="P92" s="940"/>
      <c r="Q92" s="940"/>
      <c r="R92" s="940"/>
      <c r="S92" s="940"/>
      <c r="T92" s="940"/>
      <c r="V92" s="1536"/>
      <c r="W92" s="1536"/>
      <c r="X92" s="1535"/>
      <c r="Y92" s="1535"/>
      <c r="Z92" s="1535"/>
      <c r="AA92" s="1535"/>
      <c r="AB92" s="1535"/>
      <c r="AC92" s="1535"/>
      <c r="AD92" s="1535"/>
      <c r="AE92" s="1537" t="s">
        <v>312</v>
      </c>
      <c r="AF92" s="1535"/>
      <c r="AG92" s="1535"/>
      <c r="AH92" s="1535" t="s">
        <v>324</v>
      </c>
      <c r="AI92" s="1538"/>
      <c r="AJ92" s="1535"/>
      <c r="AK92" s="1535"/>
      <c r="AL92" s="1535"/>
      <c r="AM92" s="1535"/>
      <c r="AN92" s="1535"/>
      <c r="AO92" s="1535"/>
      <c r="AP92" s="1535"/>
      <c r="AQ92" s="1535"/>
      <c r="AR92" s="1535"/>
      <c r="AS92" s="1535"/>
      <c r="AT92" s="1536"/>
      <c r="AU92" s="1536"/>
      <c r="AV92" s="1536"/>
      <c r="AW92" s="1536"/>
      <c r="AX92" s="1536"/>
      <c r="AY92" s="1536"/>
      <c r="AZ92" s="1536"/>
      <c r="BA92" s="1536"/>
      <c r="BB92" s="1536"/>
      <c r="BC92" s="1536"/>
      <c r="BD92" s="1536"/>
      <c r="BE92" s="1536"/>
      <c r="BF92" s="1536"/>
      <c r="BG92" s="1536"/>
      <c r="BH92" s="1536"/>
      <c r="BI92" s="1536"/>
      <c r="BJ92" s="1536"/>
      <c r="BK92" s="1536"/>
    </row>
    <row r="93" spans="1:63" ht="12" customHeight="1" x14ac:dyDescent="0.2">
      <c r="A93" s="940"/>
      <c r="B93" s="940"/>
      <c r="C93" s="940"/>
      <c r="D93" s="940"/>
      <c r="E93" s="940"/>
      <c r="F93" s="940"/>
      <c r="G93" s="940"/>
      <c r="H93" s="940"/>
      <c r="I93" s="940"/>
      <c r="J93" s="940"/>
      <c r="K93" s="940"/>
      <c r="L93" s="940"/>
      <c r="M93" s="940"/>
      <c r="N93" s="940"/>
      <c r="O93" s="940"/>
      <c r="P93" s="940"/>
      <c r="Q93" s="940"/>
      <c r="R93" s="940"/>
      <c r="S93" s="940"/>
      <c r="T93" s="940"/>
      <c r="V93" s="1536"/>
      <c r="W93" s="1536"/>
      <c r="X93" s="1535"/>
      <c r="Y93" s="1535"/>
      <c r="Z93" s="1535"/>
      <c r="AA93" s="1535"/>
      <c r="AB93" s="1535"/>
      <c r="AC93" s="1535"/>
      <c r="AD93" s="1535"/>
      <c r="AE93" s="1537"/>
      <c r="AF93" s="1536"/>
      <c r="AG93" s="1535"/>
      <c r="AH93" s="1535" t="s">
        <v>325</v>
      </c>
      <c r="AI93" s="1538"/>
      <c r="AJ93" s="1535"/>
      <c r="AK93" s="1535"/>
      <c r="AL93" s="1535"/>
      <c r="AM93" s="1535"/>
      <c r="AN93" s="1535"/>
      <c r="AO93" s="1535"/>
      <c r="AP93" s="1535"/>
      <c r="AQ93" s="1535"/>
      <c r="AR93" s="1535"/>
      <c r="AS93" s="1535"/>
      <c r="AT93" s="1536"/>
      <c r="AU93" s="1536"/>
      <c r="AV93" s="1536"/>
      <c r="AW93" s="1536"/>
      <c r="AX93" s="1536"/>
      <c r="AY93" s="1536"/>
      <c r="AZ93" s="1536"/>
      <c r="BA93" s="1536"/>
      <c r="BB93" s="1536"/>
      <c r="BC93" s="1536"/>
      <c r="BD93" s="1536"/>
      <c r="BE93" s="1536"/>
      <c r="BF93" s="1536"/>
      <c r="BG93" s="1536"/>
      <c r="BH93" s="1536"/>
      <c r="BI93" s="1536"/>
      <c r="BJ93" s="1536"/>
      <c r="BK93" s="1536"/>
    </row>
    <row r="94" spans="1:63" ht="12" customHeight="1" x14ac:dyDescent="0.2">
      <c r="A94" s="940"/>
      <c r="B94" s="940"/>
      <c r="C94" s="940"/>
      <c r="D94" s="940"/>
      <c r="E94" s="940"/>
      <c r="F94" s="940"/>
      <c r="G94" s="940"/>
      <c r="H94" s="940"/>
      <c r="I94" s="940"/>
      <c r="J94" s="940"/>
      <c r="K94" s="940"/>
      <c r="L94" s="940"/>
      <c r="M94" s="940"/>
      <c r="N94" s="940"/>
      <c r="O94" s="940"/>
      <c r="P94" s="940"/>
      <c r="Q94" s="940"/>
      <c r="R94" s="940"/>
      <c r="S94" s="940"/>
      <c r="T94" s="940"/>
      <c r="V94" s="1536"/>
      <c r="W94" s="1536"/>
      <c r="X94" s="1535"/>
      <c r="Y94" s="1535"/>
      <c r="Z94" s="1535"/>
      <c r="AA94" s="1535"/>
      <c r="AB94" s="1535"/>
      <c r="AC94" s="1535"/>
      <c r="AD94" s="1535"/>
      <c r="AE94" s="1535"/>
      <c r="AF94" s="1535"/>
      <c r="AG94" s="1535"/>
      <c r="AH94" s="1536"/>
      <c r="AI94" s="1538"/>
      <c r="AJ94" s="1535"/>
      <c r="AK94" s="1535"/>
      <c r="AL94" s="1535"/>
      <c r="AM94" s="1535"/>
      <c r="AN94" s="1535"/>
      <c r="AO94" s="1535"/>
      <c r="AP94" s="1535"/>
      <c r="AQ94" s="1535"/>
      <c r="AR94" s="1535"/>
      <c r="AS94" s="1535"/>
      <c r="AT94" s="1536"/>
      <c r="AU94" s="1536"/>
      <c r="AV94" s="1536"/>
      <c r="AW94" s="1536"/>
      <c r="AX94" s="1536"/>
      <c r="AY94" s="1536"/>
      <c r="AZ94" s="1536"/>
      <c r="BA94" s="1536"/>
      <c r="BB94" s="1536"/>
      <c r="BC94" s="1536"/>
      <c r="BD94" s="1536"/>
      <c r="BE94" s="1536"/>
      <c r="BF94" s="1536"/>
      <c r="BG94" s="1536"/>
      <c r="BH94" s="1536"/>
      <c r="BI94" s="1536"/>
      <c r="BJ94" s="1536"/>
      <c r="BK94" s="1536"/>
    </row>
    <row r="95" spans="1:63" ht="12" customHeight="1" x14ac:dyDescent="0.2">
      <c r="A95" s="940"/>
      <c r="B95" s="940"/>
      <c r="C95" s="940"/>
      <c r="D95" s="940"/>
      <c r="E95" s="940"/>
      <c r="F95" s="940"/>
      <c r="G95" s="940"/>
      <c r="H95" s="940"/>
      <c r="I95" s="940"/>
      <c r="J95" s="940"/>
      <c r="K95" s="940"/>
      <c r="L95" s="940"/>
      <c r="M95" s="940"/>
      <c r="N95" s="940"/>
      <c r="O95" s="940"/>
      <c r="P95" s="940"/>
      <c r="Q95" s="940"/>
      <c r="R95" s="940"/>
      <c r="S95" s="940"/>
      <c r="T95" s="940"/>
      <c r="V95" s="1536"/>
      <c r="W95" s="1536"/>
      <c r="X95" s="1535"/>
      <c r="Y95" s="1535"/>
      <c r="Z95" s="1535"/>
      <c r="AA95" s="1535"/>
      <c r="AB95" s="1535"/>
      <c r="AC95" s="1535"/>
      <c r="AD95" s="1535"/>
      <c r="AE95" s="1537"/>
      <c r="AF95" s="1535"/>
      <c r="AG95" s="1537"/>
      <c r="AH95" s="1535"/>
      <c r="AI95" s="1538"/>
      <c r="AJ95" s="1535"/>
      <c r="AK95" s="1535"/>
      <c r="AL95" s="1535"/>
      <c r="AM95" s="1535"/>
      <c r="AN95" s="1535"/>
      <c r="AO95" s="1535"/>
      <c r="AP95" s="1535"/>
      <c r="AQ95" s="1535"/>
      <c r="AR95" s="1535"/>
      <c r="AS95" s="1535"/>
      <c r="AT95" s="1536"/>
      <c r="AU95" s="1536"/>
      <c r="AV95" s="1536"/>
      <c r="AW95" s="1536"/>
      <c r="AX95" s="1536"/>
      <c r="AY95" s="1536"/>
      <c r="AZ95" s="1536"/>
      <c r="BA95" s="1536"/>
      <c r="BB95" s="1536"/>
      <c r="BC95" s="1536"/>
      <c r="BD95" s="1536"/>
      <c r="BE95" s="1536"/>
      <c r="BF95" s="1536"/>
      <c r="BG95" s="1536"/>
      <c r="BH95" s="1536"/>
      <c r="BI95" s="1536"/>
      <c r="BJ95" s="1536"/>
      <c r="BK95" s="1536"/>
    </row>
    <row r="96" spans="1:63" ht="12" customHeight="1" x14ac:dyDescent="0.2">
      <c r="A96" s="940"/>
      <c r="B96" s="940"/>
      <c r="C96" s="940"/>
      <c r="D96" s="940"/>
      <c r="E96" s="940"/>
      <c r="F96" s="940"/>
      <c r="G96" s="940"/>
      <c r="H96" s="940"/>
      <c r="I96" s="940"/>
      <c r="J96" s="940"/>
      <c r="K96" s="940"/>
      <c r="L96" s="940"/>
      <c r="M96" s="940"/>
      <c r="N96" s="940"/>
      <c r="O96" s="940"/>
      <c r="P96" s="940"/>
      <c r="Q96" s="940"/>
      <c r="R96" s="940"/>
      <c r="S96" s="940"/>
      <c r="T96" s="940"/>
      <c r="V96" s="1536"/>
      <c r="W96" s="1536"/>
      <c r="X96" s="1535"/>
      <c r="Y96" s="1535"/>
      <c r="Z96" s="1535"/>
      <c r="AA96" s="1535"/>
      <c r="AB96" s="1535"/>
      <c r="AC96" s="1535"/>
      <c r="AD96" s="1535"/>
      <c r="AE96" s="1537" t="s">
        <v>316</v>
      </c>
      <c r="AF96" s="1535"/>
      <c r="AG96" s="1535"/>
      <c r="AH96" s="1535" t="s">
        <v>326</v>
      </c>
      <c r="AI96" s="1538"/>
      <c r="AJ96" s="1535"/>
      <c r="AK96" s="1535"/>
      <c r="AL96" s="1535"/>
      <c r="AM96" s="1535"/>
      <c r="AN96" s="1535"/>
      <c r="AO96" s="1535"/>
      <c r="AP96" s="1535"/>
      <c r="AQ96" s="1535"/>
      <c r="AR96" s="1535"/>
      <c r="AS96" s="1535"/>
      <c r="AT96" s="1536"/>
      <c r="AU96" s="1536"/>
      <c r="AV96" s="1536"/>
      <c r="AW96" s="1536"/>
      <c r="AX96" s="1536"/>
      <c r="AY96" s="1536"/>
      <c r="AZ96" s="1536"/>
      <c r="BA96" s="1536"/>
      <c r="BB96" s="1536"/>
      <c r="BC96" s="1536"/>
      <c r="BD96" s="1536"/>
      <c r="BE96" s="1536"/>
      <c r="BF96" s="1536"/>
      <c r="BG96" s="1536"/>
      <c r="BH96" s="1536"/>
      <c r="BI96" s="1536"/>
      <c r="BJ96" s="1536"/>
      <c r="BK96" s="1536"/>
    </row>
    <row r="97" spans="1:63" ht="12" customHeight="1" x14ac:dyDescent="0.2">
      <c r="A97" s="940"/>
      <c r="B97" s="940"/>
      <c r="C97" s="940"/>
      <c r="D97" s="940"/>
      <c r="E97" s="940"/>
      <c r="F97" s="940"/>
      <c r="G97" s="940"/>
      <c r="H97" s="940"/>
      <c r="I97" s="940"/>
      <c r="J97" s="940"/>
      <c r="K97" s="940"/>
      <c r="L97" s="940"/>
      <c r="M97" s="940"/>
      <c r="N97" s="940"/>
      <c r="O97" s="940"/>
      <c r="P97" s="940"/>
      <c r="Q97" s="940"/>
      <c r="R97" s="940"/>
      <c r="S97" s="940"/>
      <c r="T97" s="940"/>
      <c r="V97" s="1536"/>
      <c r="W97" s="1536"/>
      <c r="X97" s="1535"/>
      <c r="Y97" s="1535"/>
      <c r="Z97" s="1535"/>
      <c r="AA97" s="1535"/>
      <c r="AB97" s="1535"/>
      <c r="AC97" s="1535"/>
      <c r="AD97" s="1535"/>
      <c r="AE97" s="1535"/>
      <c r="AF97" s="1536"/>
      <c r="AG97" s="1535"/>
      <c r="AH97" s="1535" t="s">
        <v>327</v>
      </c>
      <c r="AI97" s="1538"/>
      <c r="AJ97" s="1535"/>
      <c r="AK97" s="1535"/>
      <c r="AL97" s="1535"/>
      <c r="AM97" s="1535"/>
      <c r="AN97" s="1535"/>
      <c r="AO97" s="1535"/>
      <c r="AP97" s="1535"/>
      <c r="AQ97" s="1535"/>
      <c r="AR97" s="1535"/>
      <c r="AS97" s="1535"/>
      <c r="AT97" s="1536"/>
      <c r="AU97" s="1536"/>
      <c r="AV97" s="1536"/>
      <c r="AW97" s="1536"/>
      <c r="AX97" s="1536"/>
      <c r="AY97" s="1536"/>
      <c r="AZ97" s="1536"/>
      <c r="BA97" s="1536"/>
      <c r="BB97" s="1536"/>
      <c r="BC97" s="1536"/>
      <c r="BD97" s="1536"/>
      <c r="BE97" s="1536"/>
      <c r="BF97" s="1536"/>
      <c r="BG97" s="1536"/>
      <c r="BH97" s="1536"/>
      <c r="BI97" s="1536"/>
      <c r="BJ97" s="1536"/>
      <c r="BK97" s="1536"/>
    </row>
    <row r="98" spans="1:63" ht="12" customHeight="1" x14ac:dyDescent="0.2">
      <c r="A98" s="940"/>
      <c r="B98" s="940"/>
      <c r="C98" s="940"/>
      <c r="D98" s="940"/>
      <c r="E98" s="940"/>
      <c r="F98" s="940"/>
      <c r="G98" s="940"/>
      <c r="H98" s="940"/>
      <c r="I98" s="940"/>
      <c r="J98" s="940"/>
      <c r="K98" s="940"/>
      <c r="L98" s="940"/>
      <c r="M98" s="940"/>
      <c r="N98" s="940"/>
      <c r="O98" s="940"/>
      <c r="P98" s="940"/>
      <c r="Q98" s="940"/>
      <c r="R98" s="940"/>
      <c r="S98" s="940"/>
      <c r="T98" s="940"/>
      <c r="V98" s="1536"/>
      <c r="W98" s="1536"/>
      <c r="X98" s="1535"/>
      <c r="Y98" s="1535"/>
      <c r="Z98" s="1535"/>
      <c r="AA98" s="1535"/>
      <c r="AB98" s="1535"/>
      <c r="AC98" s="1535"/>
      <c r="AD98" s="1535"/>
      <c r="AE98" s="1535"/>
      <c r="AF98" s="1535"/>
      <c r="AG98" s="1535"/>
      <c r="AH98" s="1535" t="s">
        <v>481</v>
      </c>
      <c r="AI98" s="1538"/>
      <c r="AJ98" s="1535"/>
      <c r="AK98" s="1535"/>
      <c r="AL98" s="1535"/>
      <c r="AM98" s="1535"/>
      <c r="AN98" s="1535"/>
      <c r="AO98" s="1535"/>
      <c r="AP98" s="1535"/>
      <c r="AQ98" s="1535"/>
      <c r="AR98" s="1535"/>
      <c r="AS98" s="1535"/>
      <c r="AT98" s="1536"/>
      <c r="AU98" s="1536"/>
      <c r="AV98" s="1536"/>
      <c r="AW98" s="1536"/>
      <c r="AX98" s="1536"/>
      <c r="AY98" s="1536"/>
      <c r="AZ98" s="1536"/>
      <c r="BA98" s="1536"/>
      <c r="BB98" s="1536"/>
      <c r="BC98" s="1536"/>
      <c r="BD98" s="1536"/>
      <c r="BE98" s="1536"/>
      <c r="BF98" s="1536"/>
      <c r="BG98" s="1536"/>
      <c r="BH98" s="1536"/>
      <c r="BI98" s="1536"/>
      <c r="BJ98" s="1536"/>
      <c r="BK98" s="1536"/>
    </row>
    <row r="99" spans="1:63" ht="12" customHeight="1" x14ac:dyDescent="0.2">
      <c r="A99" s="940"/>
      <c r="B99" s="940"/>
      <c r="C99" s="940"/>
      <c r="D99" s="940"/>
      <c r="E99" s="940"/>
      <c r="F99" s="940"/>
      <c r="G99" s="940"/>
      <c r="H99" s="940"/>
      <c r="I99" s="940"/>
      <c r="J99" s="940"/>
      <c r="K99" s="940"/>
      <c r="L99" s="940"/>
      <c r="M99" s="940"/>
      <c r="N99" s="940"/>
      <c r="O99" s="940"/>
      <c r="P99" s="940"/>
      <c r="Q99" s="940"/>
      <c r="R99" s="940"/>
      <c r="S99" s="940"/>
      <c r="T99" s="940"/>
      <c r="V99" s="1536"/>
      <c r="W99" s="1536"/>
      <c r="X99" s="1535"/>
      <c r="Y99" s="1535"/>
      <c r="Z99" s="1535"/>
      <c r="AA99" s="1535"/>
      <c r="AB99" s="1535"/>
      <c r="AC99" s="1535"/>
      <c r="AD99" s="1535"/>
      <c r="AE99" s="1535"/>
      <c r="AF99" s="1535"/>
      <c r="AG99" s="1535"/>
      <c r="AH99" s="1535"/>
      <c r="AI99" s="1538"/>
      <c r="AJ99" s="1535"/>
      <c r="AK99" s="1535"/>
      <c r="AL99" s="1535"/>
      <c r="AM99" s="1535"/>
      <c r="AN99" s="1535"/>
      <c r="AO99" s="1535"/>
      <c r="AP99" s="1535"/>
      <c r="AQ99" s="1535"/>
      <c r="AR99" s="1535"/>
      <c r="AS99" s="1535"/>
      <c r="AT99" s="1536"/>
      <c r="AU99" s="1536"/>
      <c r="AV99" s="1536"/>
      <c r="AW99" s="1536"/>
      <c r="AX99" s="1536"/>
      <c r="AY99" s="1536"/>
      <c r="AZ99" s="1536"/>
      <c r="BA99" s="1536"/>
      <c r="BB99" s="1536"/>
      <c r="BC99" s="1536"/>
      <c r="BD99" s="1536"/>
      <c r="BE99" s="1536"/>
      <c r="BF99" s="1536"/>
      <c r="BG99" s="1536"/>
      <c r="BH99" s="1536"/>
      <c r="BI99" s="1536"/>
      <c r="BJ99" s="1536"/>
      <c r="BK99" s="1536"/>
    </row>
    <row r="100" spans="1:63" ht="12" customHeight="1" x14ac:dyDescent="0.2">
      <c r="A100" s="940"/>
      <c r="B100" s="940"/>
      <c r="C100" s="940"/>
      <c r="D100" s="940"/>
      <c r="E100" s="940"/>
      <c r="F100" s="940"/>
      <c r="G100" s="940"/>
      <c r="H100" s="940"/>
      <c r="I100" s="940"/>
      <c r="J100" s="940"/>
      <c r="K100" s="940"/>
      <c r="L100" s="940"/>
      <c r="M100" s="940"/>
      <c r="N100" s="940"/>
      <c r="O100" s="940"/>
      <c r="P100" s="940"/>
      <c r="Q100" s="940"/>
      <c r="R100" s="940"/>
      <c r="S100" s="940"/>
      <c r="T100" s="940"/>
      <c r="V100" s="1536"/>
      <c r="W100" s="1536"/>
      <c r="X100" s="1535"/>
      <c r="Y100" s="1535"/>
      <c r="Z100" s="1535"/>
      <c r="AA100" s="1535"/>
      <c r="AB100" s="1535"/>
      <c r="AC100" s="1535"/>
      <c r="AD100" s="1535"/>
      <c r="AE100" s="1535" t="s">
        <v>347</v>
      </c>
      <c r="AF100" s="1535"/>
      <c r="AG100" s="1535"/>
      <c r="AH100" s="1535" t="s">
        <v>348</v>
      </c>
      <c r="AI100" s="1538"/>
      <c r="AJ100" s="1535"/>
      <c r="AK100" s="1535"/>
      <c r="AL100" s="1535"/>
      <c r="AM100" s="1535"/>
      <c r="AN100" s="1535"/>
      <c r="AO100" s="1535"/>
      <c r="AP100" s="1535"/>
      <c r="AQ100" s="1535"/>
      <c r="AR100" s="1535"/>
      <c r="AS100" s="1535"/>
      <c r="AT100" s="1536"/>
      <c r="AU100" s="1536"/>
      <c r="AV100" s="1536"/>
      <c r="AW100" s="1536"/>
      <c r="AX100" s="1536"/>
      <c r="AY100" s="1536"/>
      <c r="AZ100" s="1536"/>
      <c r="BA100" s="1536"/>
      <c r="BB100" s="1536"/>
      <c r="BC100" s="1536"/>
      <c r="BD100" s="1536"/>
      <c r="BE100" s="1536"/>
      <c r="BF100" s="1536"/>
      <c r="BG100" s="1536"/>
      <c r="BH100" s="1536"/>
      <c r="BI100" s="1536"/>
      <c r="BJ100" s="1536"/>
      <c r="BK100" s="1536"/>
    </row>
    <row r="101" spans="1:63" ht="12" customHeight="1" x14ac:dyDescent="0.2">
      <c r="A101" s="940"/>
      <c r="B101" s="940"/>
      <c r="C101" s="940"/>
      <c r="D101" s="940"/>
      <c r="E101" s="940"/>
      <c r="F101" s="940"/>
      <c r="G101" s="940"/>
      <c r="H101" s="940"/>
      <c r="I101" s="940"/>
      <c r="J101" s="940"/>
      <c r="K101" s="940"/>
      <c r="L101" s="940"/>
      <c r="M101" s="940"/>
      <c r="N101" s="940"/>
      <c r="O101" s="940"/>
      <c r="P101" s="940"/>
      <c r="Q101" s="940"/>
      <c r="R101" s="940"/>
      <c r="S101" s="940"/>
      <c r="T101" s="940"/>
      <c r="V101" s="1536"/>
      <c r="W101" s="1536"/>
      <c r="X101" s="1535"/>
      <c r="Y101" s="1535"/>
      <c r="Z101" s="1535"/>
      <c r="AA101" s="1535"/>
      <c r="AB101" s="1535"/>
      <c r="AC101" s="1535"/>
      <c r="AD101" s="1535"/>
      <c r="AE101" s="1536"/>
      <c r="AF101" s="1536"/>
      <c r="AG101" s="1536"/>
      <c r="AH101" s="1536" t="s">
        <v>349</v>
      </c>
      <c r="AI101" s="1538"/>
      <c r="AJ101" s="1535"/>
      <c r="AK101" s="1535"/>
      <c r="AL101" s="1535"/>
      <c r="AM101" s="1535"/>
      <c r="AN101" s="1535"/>
      <c r="AO101" s="1535"/>
      <c r="AP101" s="1535"/>
      <c r="AQ101" s="1535"/>
      <c r="AR101" s="1535"/>
      <c r="AS101" s="1535"/>
      <c r="AT101" s="1536"/>
      <c r="AU101" s="1536"/>
      <c r="AV101" s="1536"/>
      <c r="AW101" s="1536"/>
      <c r="AX101" s="1536"/>
      <c r="AY101" s="1536"/>
      <c r="AZ101" s="1536"/>
      <c r="BA101" s="1536"/>
      <c r="BB101" s="1536"/>
      <c r="BC101" s="1536"/>
      <c r="BD101" s="1536"/>
      <c r="BE101" s="1536"/>
      <c r="BF101" s="1536"/>
      <c r="BG101" s="1536"/>
      <c r="BH101" s="1536"/>
      <c r="BI101" s="1536"/>
      <c r="BJ101" s="1536"/>
      <c r="BK101" s="1536"/>
    </row>
    <row r="102" spans="1:63" ht="12" customHeight="1" x14ac:dyDescent="0.2">
      <c r="A102" s="940"/>
      <c r="B102" s="940"/>
      <c r="C102" s="940"/>
      <c r="D102" s="940"/>
      <c r="E102" s="940"/>
      <c r="F102" s="940"/>
      <c r="G102" s="940"/>
      <c r="H102" s="940"/>
      <c r="I102" s="940"/>
      <c r="J102" s="940"/>
      <c r="K102" s="940"/>
      <c r="L102" s="940"/>
      <c r="M102" s="940"/>
      <c r="N102" s="940"/>
      <c r="O102" s="940"/>
      <c r="P102" s="940"/>
      <c r="Q102" s="940"/>
      <c r="R102" s="940"/>
      <c r="S102" s="940"/>
      <c r="T102" s="940"/>
      <c r="V102" s="1536"/>
      <c r="W102" s="1536"/>
      <c r="X102" s="1535"/>
      <c r="Y102" s="1535"/>
      <c r="Z102" s="1535"/>
      <c r="AA102" s="1535"/>
      <c r="AB102" s="1535"/>
      <c r="AC102" s="1535"/>
      <c r="AD102" s="1535"/>
      <c r="AE102" s="1536"/>
      <c r="AF102" s="1536"/>
      <c r="AG102" s="1536"/>
      <c r="AH102" s="1535" t="s">
        <v>350</v>
      </c>
      <c r="AI102" s="1538"/>
      <c r="AJ102" s="1535"/>
      <c r="AK102" s="1535"/>
      <c r="AL102" s="1535"/>
      <c r="AM102" s="1535"/>
      <c r="AN102" s="1535"/>
      <c r="AO102" s="1535"/>
      <c r="AP102" s="1535"/>
      <c r="AQ102" s="1535"/>
      <c r="AR102" s="1535"/>
      <c r="AS102" s="1535"/>
      <c r="AT102" s="1536"/>
      <c r="AU102" s="1536"/>
      <c r="AV102" s="1536"/>
      <c r="AW102" s="1536"/>
      <c r="AX102" s="1536"/>
      <c r="AY102" s="1536"/>
      <c r="AZ102" s="1536"/>
      <c r="BA102" s="1536"/>
      <c r="BB102" s="1536"/>
      <c r="BC102" s="1536"/>
      <c r="BD102" s="1536"/>
      <c r="BE102" s="1536"/>
      <c r="BF102" s="1536"/>
      <c r="BG102" s="1536"/>
      <c r="BH102" s="1536"/>
      <c r="BI102" s="1536"/>
      <c r="BJ102" s="1536"/>
      <c r="BK102" s="1536"/>
    </row>
    <row r="103" spans="1:63" ht="12" customHeight="1" x14ac:dyDescent="0.2">
      <c r="A103" s="940"/>
      <c r="B103" s="940"/>
      <c r="C103" s="940"/>
      <c r="D103" s="940"/>
      <c r="E103" s="940"/>
      <c r="F103" s="940"/>
      <c r="G103" s="940"/>
      <c r="H103" s="940"/>
      <c r="I103" s="940"/>
      <c r="J103" s="940"/>
      <c r="K103" s="940"/>
      <c r="L103" s="940"/>
      <c r="M103" s="940"/>
      <c r="N103" s="940"/>
      <c r="O103" s="940"/>
      <c r="P103" s="940"/>
      <c r="Q103" s="940"/>
      <c r="R103" s="940"/>
      <c r="S103" s="940"/>
      <c r="T103" s="940"/>
      <c r="V103" s="1536"/>
      <c r="W103" s="1536"/>
      <c r="X103" s="1535"/>
      <c r="Y103" s="1535"/>
      <c r="Z103" s="1535"/>
      <c r="AA103" s="1535"/>
      <c r="AB103" s="1535"/>
      <c r="AC103" s="1535"/>
      <c r="AD103" s="1535"/>
      <c r="AE103" s="1537"/>
      <c r="AF103" s="1535"/>
      <c r="AG103" s="1535"/>
      <c r="AH103" s="1535"/>
      <c r="AI103" s="1538"/>
      <c r="AJ103" s="1535"/>
      <c r="AK103" s="1535"/>
      <c r="AL103" s="1535"/>
      <c r="AM103" s="1535"/>
      <c r="AN103" s="1535"/>
      <c r="AO103" s="1535"/>
      <c r="AP103" s="1535"/>
      <c r="AQ103" s="1535"/>
      <c r="AR103" s="1535"/>
      <c r="AS103" s="1535"/>
      <c r="AT103" s="1536"/>
      <c r="AU103" s="1536"/>
      <c r="AV103" s="1536"/>
      <c r="AW103" s="1536"/>
      <c r="AX103" s="1536"/>
      <c r="AY103" s="1536"/>
      <c r="AZ103" s="1536"/>
      <c r="BA103" s="1536"/>
      <c r="BB103" s="1536"/>
      <c r="BC103" s="1536"/>
      <c r="BD103" s="1536"/>
      <c r="BE103" s="1536"/>
      <c r="BF103" s="1536"/>
      <c r="BG103" s="1536"/>
      <c r="BH103" s="1536"/>
      <c r="BI103" s="1536"/>
      <c r="BJ103" s="1536"/>
      <c r="BK103" s="1536"/>
    </row>
    <row r="104" spans="1:63" ht="12" customHeight="1" x14ac:dyDescent="0.2">
      <c r="A104" s="940"/>
      <c r="B104" s="940"/>
      <c r="C104" s="940"/>
      <c r="D104" s="940"/>
      <c r="E104" s="940"/>
      <c r="F104" s="940"/>
      <c r="G104" s="940"/>
      <c r="H104" s="940"/>
      <c r="I104" s="940"/>
      <c r="J104" s="940"/>
      <c r="K104" s="940"/>
      <c r="L104" s="940"/>
      <c r="M104" s="940"/>
      <c r="N104" s="940"/>
      <c r="O104" s="940"/>
      <c r="P104" s="940"/>
      <c r="Q104" s="940"/>
      <c r="R104" s="940"/>
      <c r="S104" s="940"/>
      <c r="T104" s="940"/>
      <c r="V104" s="1536"/>
      <c r="W104" s="1536"/>
      <c r="X104" s="1535"/>
      <c r="Y104" s="1535"/>
      <c r="Z104" s="1535"/>
      <c r="AA104" s="1535"/>
      <c r="AB104" s="1535"/>
      <c r="AC104" s="1535"/>
      <c r="AD104" s="1535"/>
      <c r="AE104" s="1537"/>
      <c r="AF104" s="1535"/>
      <c r="AG104" s="1535"/>
      <c r="AH104" s="1535"/>
      <c r="AI104" s="1538"/>
      <c r="AJ104" s="1535"/>
      <c r="AK104" s="1535"/>
      <c r="AL104" s="1535"/>
      <c r="AM104" s="1535"/>
      <c r="AN104" s="1535"/>
      <c r="AO104" s="1535"/>
      <c r="AP104" s="1535"/>
      <c r="AQ104" s="1535"/>
      <c r="AR104" s="1535"/>
      <c r="AS104" s="1535"/>
      <c r="AT104" s="1536"/>
      <c r="AU104" s="1536"/>
      <c r="AV104" s="1536"/>
      <c r="AW104" s="1536"/>
      <c r="AX104" s="1536"/>
      <c r="AY104" s="1536"/>
      <c r="AZ104" s="1536"/>
      <c r="BA104" s="1536"/>
      <c r="BB104" s="1536"/>
      <c r="BC104" s="1536"/>
      <c r="BD104" s="1536"/>
      <c r="BE104" s="1536"/>
      <c r="BF104" s="1536"/>
      <c r="BG104" s="1536"/>
      <c r="BH104" s="1536"/>
      <c r="BI104" s="1536"/>
      <c r="BJ104" s="1536"/>
      <c r="BK104" s="1536"/>
    </row>
    <row r="105" spans="1:63" ht="12" customHeight="1" x14ac:dyDescent="0.2">
      <c r="A105" s="940"/>
      <c r="B105" s="940"/>
      <c r="C105" s="940"/>
      <c r="D105" s="940"/>
      <c r="E105" s="940"/>
      <c r="F105" s="940"/>
      <c r="G105" s="940"/>
      <c r="H105" s="940"/>
      <c r="I105" s="940"/>
      <c r="J105" s="940"/>
      <c r="K105" s="940"/>
      <c r="L105" s="940"/>
      <c r="M105" s="940"/>
      <c r="N105" s="940"/>
      <c r="O105" s="940"/>
      <c r="P105" s="940"/>
      <c r="Q105" s="940"/>
      <c r="R105" s="940"/>
      <c r="S105" s="940"/>
      <c r="T105" s="940"/>
      <c r="V105" s="1536"/>
      <c r="W105" s="1536"/>
      <c r="X105" s="1535"/>
      <c r="Y105" s="1535"/>
      <c r="Z105" s="1535"/>
      <c r="AA105" s="1535"/>
      <c r="AB105" s="1535"/>
      <c r="AC105" s="1535"/>
      <c r="AD105" s="1535"/>
      <c r="AE105" s="1537" t="s">
        <v>847</v>
      </c>
      <c r="AF105" s="1535"/>
      <c r="AG105" s="1535"/>
      <c r="AH105" s="1535" t="s">
        <v>846</v>
      </c>
      <c r="AI105" s="1538"/>
      <c r="AJ105" s="1535"/>
      <c r="AK105" s="1535"/>
      <c r="AL105" s="1535"/>
      <c r="AM105" s="1535"/>
      <c r="AN105" s="1535"/>
      <c r="AO105" s="1535"/>
      <c r="AP105" s="1535"/>
      <c r="AQ105" s="1535"/>
      <c r="AR105" s="1535"/>
      <c r="AS105" s="1535"/>
      <c r="AT105" s="1536"/>
      <c r="AU105" s="1536"/>
      <c r="AV105" s="1536"/>
      <c r="AW105" s="1536"/>
      <c r="AX105" s="1536"/>
      <c r="AY105" s="1536"/>
      <c r="AZ105" s="1536"/>
      <c r="BA105" s="1536"/>
      <c r="BB105" s="1536"/>
      <c r="BC105" s="1536"/>
      <c r="BD105" s="1536"/>
      <c r="BE105" s="1536"/>
      <c r="BF105" s="1536"/>
      <c r="BG105" s="1536"/>
      <c r="BH105" s="1536"/>
      <c r="BI105" s="1536"/>
      <c r="BJ105" s="1536"/>
      <c r="BK105" s="1536"/>
    </row>
    <row r="106" spans="1:63" ht="12" customHeight="1" x14ac:dyDescent="0.2">
      <c r="A106" s="940"/>
      <c r="B106" s="940"/>
      <c r="C106" s="940"/>
      <c r="D106" s="940"/>
      <c r="E106" s="940"/>
      <c r="F106" s="940"/>
      <c r="G106" s="940"/>
      <c r="H106" s="940"/>
      <c r="I106" s="940"/>
      <c r="J106" s="940"/>
      <c r="K106" s="940"/>
      <c r="L106" s="940"/>
      <c r="M106" s="940"/>
      <c r="N106" s="940"/>
      <c r="O106" s="940"/>
      <c r="P106" s="940"/>
      <c r="Q106" s="940"/>
      <c r="R106" s="940"/>
      <c r="S106" s="940"/>
      <c r="T106" s="940"/>
      <c r="V106" s="1536"/>
      <c r="W106" s="1536"/>
      <c r="X106" s="1535"/>
      <c r="Y106" s="1535"/>
      <c r="Z106" s="1535"/>
      <c r="AA106" s="1535"/>
      <c r="AB106" s="1535"/>
      <c r="AC106" s="1535"/>
      <c r="AD106" s="1535"/>
      <c r="AE106" s="1537"/>
      <c r="AF106" s="1535"/>
      <c r="AG106" s="1535"/>
      <c r="AH106" s="1535" t="s">
        <v>848</v>
      </c>
      <c r="AI106" s="1538"/>
      <c r="AJ106" s="1535"/>
      <c r="AK106" s="1535"/>
      <c r="AL106" s="1535"/>
      <c r="AM106" s="1535"/>
      <c r="AN106" s="1535"/>
      <c r="AO106" s="1535"/>
      <c r="AP106" s="1535"/>
      <c r="AQ106" s="1535"/>
      <c r="AR106" s="1535"/>
      <c r="AS106" s="1535"/>
      <c r="AT106" s="1536"/>
      <c r="AU106" s="1536"/>
      <c r="AV106" s="1536"/>
      <c r="AW106" s="1536"/>
      <c r="AX106" s="1536"/>
      <c r="AY106" s="1536"/>
      <c r="AZ106" s="1536"/>
      <c r="BA106" s="1536"/>
      <c r="BB106" s="1536"/>
      <c r="BC106" s="1536"/>
      <c r="BD106" s="1536"/>
      <c r="BE106" s="1536"/>
      <c r="BF106" s="1536"/>
      <c r="BG106" s="1536"/>
      <c r="BH106" s="1536"/>
      <c r="BI106" s="1536"/>
      <c r="BJ106" s="1536"/>
      <c r="BK106" s="1536"/>
    </row>
    <row r="107" spans="1:63" ht="12" customHeight="1" x14ac:dyDescent="0.2">
      <c r="A107" s="940"/>
      <c r="B107" s="940"/>
      <c r="C107" s="940"/>
      <c r="D107" s="940"/>
      <c r="E107" s="940"/>
      <c r="F107" s="940"/>
      <c r="G107" s="940"/>
      <c r="H107" s="940"/>
      <c r="I107" s="940"/>
      <c r="J107" s="940"/>
      <c r="K107" s="940"/>
      <c r="L107" s="940"/>
      <c r="M107" s="940"/>
      <c r="N107" s="940"/>
      <c r="O107" s="940"/>
      <c r="P107" s="940"/>
      <c r="Q107" s="940"/>
      <c r="R107" s="940"/>
      <c r="S107" s="940"/>
      <c r="T107" s="940"/>
      <c r="V107" s="1536"/>
      <c r="W107" s="1536"/>
      <c r="X107" s="1535"/>
      <c r="Y107" s="1535"/>
      <c r="Z107" s="1535"/>
      <c r="AA107" s="1535"/>
      <c r="AB107" s="1535"/>
      <c r="AC107" s="1535"/>
      <c r="AD107" s="1535"/>
      <c r="AE107" s="1537"/>
      <c r="AF107" s="1535"/>
      <c r="AG107" s="1535"/>
      <c r="AH107" s="1535"/>
      <c r="AI107" s="1538"/>
      <c r="AJ107" s="1535"/>
      <c r="AK107" s="1535"/>
      <c r="AL107" s="1535"/>
      <c r="AM107" s="1535"/>
      <c r="AN107" s="1535"/>
      <c r="AO107" s="1535"/>
      <c r="AP107" s="1535"/>
      <c r="AQ107" s="1535"/>
      <c r="AR107" s="1535"/>
      <c r="AS107" s="1535"/>
      <c r="AT107" s="1536"/>
      <c r="AU107" s="1536"/>
      <c r="AV107" s="1536"/>
      <c r="AW107" s="1536"/>
      <c r="AX107" s="1536"/>
      <c r="AY107" s="1536"/>
      <c r="AZ107" s="1536"/>
      <c r="BA107" s="1536"/>
      <c r="BB107" s="1536"/>
      <c r="BC107" s="1536"/>
      <c r="BD107" s="1536"/>
      <c r="BE107" s="1536"/>
      <c r="BF107" s="1536"/>
      <c r="BG107" s="1536"/>
      <c r="BH107" s="1536"/>
      <c r="BI107" s="1536"/>
      <c r="BJ107" s="1536"/>
      <c r="BK107" s="1536"/>
    </row>
    <row r="108" spans="1:63" ht="12" customHeight="1" x14ac:dyDescent="0.2">
      <c r="A108" s="940"/>
      <c r="B108" s="940"/>
      <c r="C108" s="940"/>
      <c r="D108" s="940"/>
      <c r="E108" s="940"/>
      <c r="F108" s="940"/>
      <c r="G108" s="940"/>
      <c r="H108" s="940"/>
      <c r="I108" s="940"/>
      <c r="J108" s="940"/>
      <c r="K108" s="940"/>
      <c r="L108" s="940"/>
      <c r="M108" s="940"/>
      <c r="N108" s="940"/>
      <c r="O108" s="940"/>
      <c r="P108" s="940"/>
      <c r="Q108" s="940"/>
      <c r="R108" s="940"/>
      <c r="S108" s="940"/>
      <c r="T108" s="940"/>
      <c r="V108" s="1536"/>
      <c r="W108" s="1536"/>
      <c r="X108" s="1535"/>
      <c r="Y108" s="1535"/>
      <c r="Z108" s="1535"/>
      <c r="AA108" s="1535"/>
      <c r="AB108" s="1535"/>
      <c r="AC108" s="1535"/>
      <c r="AD108" s="1535"/>
      <c r="AE108" s="1537"/>
      <c r="AF108" s="1535"/>
      <c r="AG108" s="1535"/>
      <c r="AH108" s="1535"/>
      <c r="AI108" s="1538"/>
      <c r="AJ108" s="1535"/>
      <c r="AK108" s="1535"/>
      <c r="AL108" s="1535"/>
      <c r="AM108" s="1535"/>
      <c r="AN108" s="1535"/>
      <c r="AO108" s="1535"/>
      <c r="AP108" s="1535"/>
      <c r="AQ108" s="1535"/>
      <c r="AR108" s="1535"/>
      <c r="AS108" s="1535"/>
      <c r="AT108" s="1536"/>
      <c r="AU108" s="1536"/>
      <c r="AV108" s="1536"/>
      <c r="AW108" s="1536"/>
      <c r="AX108" s="1536"/>
      <c r="AY108" s="1536"/>
      <c r="AZ108" s="1536"/>
      <c r="BA108" s="1536"/>
      <c r="BB108" s="1536"/>
      <c r="BC108" s="1536"/>
      <c r="BD108" s="1536"/>
      <c r="BE108" s="1536"/>
      <c r="BF108" s="1536"/>
      <c r="BG108" s="1536"/>
      <c r="BH108" s="1536"/>
      <c r="BI108" s="1536"/>
      <c r="BJ108" s="1536"/>
      <c r="BK108" s="1536"/>
    </row>
    <row r="109" spans="1:63" ht="12" customHeight="1" x14ac:dyDescent="0.2">
      <c r="A109" s="940"/>
      <c r="B109" s="940"/>
      <c r="C109" s="940"/>
      <c r="D109" s="940"/>
      <c r="E109" s="940"/>
      <c r="F109" s="940"/>
      <c r="G109" s="940"/>
      <c r="H109" s="940"/>
      <c r="I109" s="940"/>
      <c r="J109" s="940"/>
      <c r="K109" s="940"/>
      <c r="L109" s="940"/>
      <c r="M109" s="940"/>
      <c r="N109" s="940"/>
      <c r="O109" s="940"/>
      <c r="P109" s="940"/>
      <c r="Q109" s="940"/>
      <c r="R109" s="940"/>
      <c r="S109" s="940"/>
      <c r="T109" s="940"/>
      <c r="V109" s="1536"/>
      <c r="W109" s="1536"/>
      <c r="X109" s="1535"/>
      <c r="Y109" s="1535"/>
      <c r="Z109" s="1535"/>
      <c r="AA109" s="1535"/>
      <c r="AB109" s="1535"/>
      <c r="AC109" s="1535"/>
      <c r="AD109" s="1535"/>
      <c r="AE109" s="1537"/>
      <c r="AF109" s="1535"/>
      <c r="AG109" s="1535"/>
      <c r="AH109" s="1535"/>
      <c r="AI109" s="1538"/>
      <c r="AJ109" s="1535"/>
      <c r="AK109" s="1535"/>
      <c r="AL109" s="1535"/>
      <c r="AM109" s="1535"/>
      <c r="AN109" s="1535"/>
      <c r="AO109" s="1535"/>
      <c r="AP109" s="1535"/>
      <c r="AQ109" s="1535"/>
      <c r="AR109" s="1535"/>
      <c r="AS109" s="1535"/>
      <c r="AT109" s="1536"/>
      <c r="AU109" s="1536"/>
      <c r="AV109" s="1536"/>
      <c r="AW109" s="1536"/>
      <c r="AX109" s="1536"/>
      <c r="AY109" s="1536"/>
      <c r="AZ109" s="1536"/>
      <c r="BA109" s="1536"/>
      <c r="BB109" s="1536"/>
      <c r="BC109" s="1536"/>
      <c r="BD109" s="1536"/>
      <c r="BE109" s="1536"/>
      <c r="BF109" s="1536"/>
      <c r="BG109" s="1536"/>
      <c r="BH109" s="1536"/>
      <c r="BI109" s="1536"/>
      <c r="BJ109" s="1536"/>
      <c r="BK109" s="1536"/>
    </row>
    <row r="110" spans="1:63" ht="12" customHeight="1" x14ac:dyDescent="0.2">
      <c r="A110" s="940"/>
      <c r="B110" s="940"/>
      <c r="C110" s="940"/>
      <c r="D110" s="940"/>
      <c r="E110" s="940"/>
      <c r="F110" s="940"/>
      <c r="G110" s="940"/>
      <c r="H110" s="940"/>
      <c r="I110" s="940"/>
      <c r="J110" s="940"/>
      <c r="K110" s="940"/>
      <c r="L110" s="940"/>
      <c r="M110" s="940"/>
      <c r="N110" s="940"/>
      <c r="O110" s="940"/>
      <c r="P110" s="940"/>
      <c r="Q110" s="940"/>
      <c r="R110" s="940"/>
      <c r="S110" s="940"/>
      <c r="T110" s="940"/>
      <c r="V110" s="1536"/>
      <c r="W110" s="1536"/>
      <c r="X110" s="1535"/>
      <c r="Y110" s="1535"/>
      <c r="Z110" s="1535"/>
      <c r="AA110" s="1535"/>
      <c r="AB110" s="1535"/>
      <c r="AC110" s="1535"/>
      <c r="AD110" s="1535"/>
      <c r="AE110" s="1537"/>
      <c r="AF110" s="1535"/>
      <c r="AG110" s="1535"/>
      <c r="AH110" s="1535"/>
      <c r="AI110" s="1538"/>
      <c r="AJ110" s="1535"/>
      <c r="AK110" s="1535"/>
      <c r="AL110" s="1535"/>
      <c r="AM110" s="1535"/>
      <c r="AN110" s="1535"/>
      <c r="AO110" s="1535"/>
      <c r="AP110" s="1535"/>
      <c r="AQ110" s="1535"/>
      <c r="AR110" s="1535"/>
      <c r="AS110" s="1535"/>
      <c r="AT110" s="1536"/>
      <c r="AU110" s="1536"/>
      <c r="AV110" s="1536"/>
      <c r="AW110" s="1536"/>
      <c r="AX110" s="1536"/>
      <c r="AY110" s="1536"/>
      <c r="AZ110" s="1536"/>
      <c r="BA110" s="1536"/>
      <c r="BB110" s="1536"/>
      <c r="BC110" s="1536"/>
      <c r="BD110" s="1536"/>
      <c r="BE110" s="1536"/>
      <c r="BF110" s="1536"/>
      <c r="BG110" s="1536"/>
      <c r="BH110" s="1536"/>
      <c r="BI110" s="1536"/>
      <c r="BJ110" s="1536"/>
      <c r="BK110" s="1536"/>
    </row>
    <row r="111" spans="1:63" ht="12" customHeight="1" x14ac:dyDescent="0.2">
      <c r="A111" s="940"/>
      <c r="B111" s="940"/>
      <c r="C111" s="940"/>
      <c r="D111" s="940"/>
      <c r="E111" s="940"/>
      <c r="F111" s="940"/>
      <c r="G111" s="940"/>
      <c r="H111" s="940"/>
      <c r="I111" s="940"/>
      <c r="J111" s="940"/>
      <c r="K111" s="940"/>
      <c r="L111" s="940"/>
      <c r="M111" s="940"/>
      <c r="N111" s="940"/>
      <c r="O111" s="940"/>
      <c r="P111" s="940"/>
      <c r="Q111" s="940"/>
      <c r="R111" s="940"/>
      <c r="S111" s="940"/>
      <c r="T111" s="940"/>
      <c r="V111" s="1536"/>
      <c r="W111" s="1536"/>
      <c r="X111" s="1535"/>
      <c r="Y111" s="1535"/>
      <c r="Z111" s="1535"/>
      <c r="AA111" s="1535"/>
      <c r="AB111" s="1535"/>
      <c r="AC111" s="1535"/>
      <c r="AD111" s="1535"/>
      <c r="AE111" s="1537"/>
      <c r="AF111" s="1535"/>
      <c r="AG111" s="1535"/>
      <c r="AH111" s="1535"/>
      <c r="AI111" s="1538"/>
      <c r="AJ111" s="1535"/>
      <c r="AK111" s="1535"/>
      <c r="AL111" s="1535"/>
      <c r="AM111" s="1535"/>
      <c r="AN111" s="1535"/>
      <c r="AO111" s="1535"/>
      <c r="AP111" s="1535"/>
      <c r="AQ111" s="1535"/>
      <c r="AR111" s="1535"/>
      <c r="AS111" s="1535"/>
      <c r="AT111" s="1536"/>
      <c r="AU111" s="1536"/>
      <c r="AV111" s="1536"/>
      <c r="AW111" s="1536"/>
      <c r="AX111" s="1536"/>
      <c r="AY111" s="1536"/>
      <c r="AZ111" s="1536"/>
      <c r="BA111" s="1536"/>
      <c r="BB111" s="1536"/>
      <c r="BC111" s="1536"/>
      <c r="BD111" s="1536"/>
      <c r="BE111" s="1536"/>
      <c r="BF111" s="1536"/>
      <c r="BG111" s="1536"/>
      <c r="BH111" s="1536"/>
      <c r="BI111" s="1536"/>
      <c r="BJ111" s="1536"/>
      <c r="BK111" s="1536"/>
    </row>
    <row r="112" spans="1:63" ht="12" customHeight="1" x14ac:dyDescent="0.2">
      <c r="A112" s="940"/>
      <c r="B112" s="940"/>
      <c r="C112" s="940"/>
      <c r="D112" s="940"/>
      <c r="E112" s="940"/>
      <c r="F112" s="940"/>
      <c r="G112" s="940"/>
      <c r="H112" s="940"/>
      <c r="I112" s="940"/>
      <c r="J112" s="940"/>
      <c r="K112" s="940"/>
      <c r="L112" s="940"/>
      <c r="M112" s="940"/>
      <c r="N112" s="940"/>
      <c r="O112" s="940"/>
      <c r="P112" s="940"/>
      <c r="Q112" s="940"/>
      <c r="R112" s="940"/>
      <c r="S112" s="940"/>
      <c r="T112" s="940"/>
      <c r="V112" s="1536"/>
      <c r="W112" s="1536"/>
      <c r="X112" s="1535"/>
      <c r="Y112" s="1535"/>
      <c r="Z112" s="1535"/>
      <c r="AA112" s="1535"/>
      <c r="AB112" s="1535"/>
      <c r="AC112" s="1535"/>
      <c r="AD112" s="1535"/>
      <c r="AE112" s="1537"/>
      <c r="AF112" s="1535"/>
      <c r="AG112" s="1535"/>
      <c r="AH112" s="1535"/>
      <c r="AI112" s="1538"/>
      <c r="AJ112" s="1535"/>
      <c r="AK112" s="1535"/>
      <c r="AL112" s="1535"/>
      <c r="AM112" s="1535"/>
      <c r="AN112" s="1535"/>
      <c r="AO112" s="1535"/>
      <c r="AP112" s="1535"/>
      <c r="AQ112" s="1535"/>
      <c r="AR112" s="1535"/>
      <c r="AS112" s="1535"/>
      <c r="AT112" s="1536"/>
      <c r="AU112" s="1536"/>
      <c r="AV112" s="1536"/>
      <c r="AW112" s="1536"/>
      <c r="AX112" s="1536"/>
      <c r="AY112" s="1536"/>
      <c r="AZ112" s="1536"/>
      <c r="BA112" s="1536"/>
      <c r="BB112" s="1536"/>
      <c r="BC112" s="1536"/>
      <c r="BD112" s="1536"/>
      <c r="BE112" s="1536"/>
      <c r="BF112" s="1536"/>
      <c r="BG112" s="1536"/>
      <c r="BH112" s="1536"/>
      <c r="BI112" s="1536"/>
      <c r="BJ112" s="1536"/>
      <c r="BK112" s="1536"/>
    </row>
    <row r="113" spans="1:63" ht="12" customHeight="1" x14ac:dyDescent="0.2">
      <c r="A113" s="940"/>
      <c r="B113" s="940"/>
      <c r="C113" s="940"/>
      <c r="D113" s="940"/>
      <c r="E113" s="940"/>
      <c r="F113" s="940"/>
      <c r="G113" s="940"/>
      <c r="H113" s="940"/>
      <c r="I113" s="940"/>
      <c r="J113" s="940"/>
      <c r="K113" s="940"/>
      <c r="L113" s="940"/>
      <c r="M113" s="940"/>
      <c r="N113" s="940"/>
      <c r="O113" s="940"/>
      <c r="P113" s="940"/>
      <c r="Q113" s="940"/>
      <c r="R113" s="940"/>
      <c r="S113" s="940"/>
      <c r="T113" s="940"/>
      <c r="V113" s="1536"/>
      <c r="W113" s="1536"/>
      <c r="X113" s="1535"/>
      <c r="Y113" s="1535"/>
      <c r="Z113" s="1535"/>
      <c r="AA113" s="1535"/>
      <c r="AB113" s="1535"/>
      <c r="AC113" s="1535"/>
      <c r="AD113" s="1535"/>
      <c r="AE113" s="1537"/>
      <c r="AF113" s="1535"/>
      <c r="AG113" s="1535"/>
      <c r="AH113" s="1535"/>
      <c r="AI113" s="1538"/>
      <c r="AJ113" s="1535"/>
      <c r="AK113" s="1535"/>
      <c r="AL113" s="1535"/>
      <c r="AM113" s="1535"/>
      <c r="AN113" s="1535"/>
      <c r="AO113" s="1535"/>
      <c r="AP113" s="1535"/>
      <c r="AQ113" s="1535"/>
      <c r="AR113" s="1535"/>
      <c r="AS113" s="1535"/>
      <c r="AT113" s="1536"/>
      <c r="AU113" s="1536"/>
      <c r="AV113" s="1536"/>
      <c r="AW113" s="1536"/>
      <c r="AX113" s="1536"/>
      <c r="AY113" s="1536"/>
      <c r="AZ113" s="1536"/>
      <c r="BA113" s="1536"/>
      <c r="BB113" s="1536"/>
      <c r="BC113" s="1536"/>
      <c r="BD113" s="1536"/>
      <c r="BE113" s="1536"/>
      <c r="BF113" s="1536"/>
      <c r="BG113" s="1536"/>
      <c r="BH113" s="1536"/>
      <c r="BI113" s="1536"/>
      <c r="BJ113" s="1536"/>
      <c r="BK113" s="1536"/>
    </row>
    <row r="114" spans="1:63" ht="12" customHeight="1" x14ac:dyDescent="0.2">
      <c r="A114" s="940"/>
      <c r="B114" s="940"/>
      <c r="C114" s="940"/>
      <c r="D114" s="940"/>
      <c r="E114" s="940"/>
      <c r="F114" s="940"/>
      <c r="G114" s="940"/>
      <c r="H114" s="940"/>
      <c r="I114" s="940"/>
      <c r="J114" s="940"/>
      <c r="K114" s="940"/>
      <c r="L114" s="940"/>
      <c r="M114" s="940"/>
      <c r="N114" s="940"/>
      <c r="O114" s="940"/>
      <c r="P114" s="940"/>
      <c r="Q114" s="940"/>
      <c r="R114" s="940"/>
      <c r="S114" s="940"/>
      <c r="T114" s="940"/>
      <c r="V114" s="1536"/>
      <c r="W114" s="1536"/>
      <c r="X114" s="1535"/>
      <c r="Y114" s="1535"/>
      <c r="Z114" s="1535"/>
      <c r="AA114" s="1535"/>
      <c r="AB114" s="1535"/>
      <c r="AC114" s="1535"/>
      <c r="AD114" s="1535"/>
      <c r="AE114" s="1537"/>
      <c r="AF114" s="1535"/>
      <c r="AG114" s="1535"/>
      <c r="AH114" s="1535"/>
      <c r="AI114" s="1538"/>
      <c r="AJ114" s="1535"/>
      <c r="AK114" s="1535"/>
      <c r="AL114" s="1535"/>
      <c r="AM114" s="1535"/>
      <c r="AN114" s="1535"/>
      <c r="AO114" s="1535"/>
      <c r="AP114" s="1535"/>
      <c r="AQ114" s="1535"/>
      <c r="AR114" s="1535"/>
      <c r="AS114" s="1535"/>
      <c r="AT114" s="1536"/>
      <c r="AU114" s="1536"/>
      <c r="AV114" s="1536"/>
      <c r="AW114" s="1536"/>
      <c r="AX114" s="1536"/>
      <c r="AY114" s="1536"/>
      <c r="AZ114" s="1536"/>
      <c r="BA114" s="1536"/>
      <c r="BB114" s="1536"/>
      <c r="BC114" s="1536"/>
      <c r="BD114" s="1536"/>
      <c r="BE114" s="1536"/>
      <c r="BF114" s="1536"/>
      <c r="BG114" s="1536"/>
      <c r="BH114" s="1536"/>
      <c r="BI114" s="1536"/>
      <c r="BJ114" s="1536"/>
      <c r="BK114" s="1536"/>
    </row>
    <row r="115" spans="1:63" ht="12" customHeight="1" x14ac:dyDescent="0.2">
      <c r="A115" s="940"/>
      <c r="B115" s="940"/>
      <c r="C115" s="940"/>
      <c r="D115" s="940"/>
      <c r="E115" s="940"/>
      <c r="F115" s="940"/>
      <c r="G115" s="940"/>
      <c r="H115" s="940"/>
      <c r="I115" s="940"/>
      <c r="J115" s="940"/>
      <c r="K115" s="940"/>
      <c r="L115" s="940"/>
      <c r="M115" s="940"/>
      <c r="N115" s="940"/>
      <c r="O115" s="940"/>
      <c r="P115" s="940"/>
      <c r="Q115" s="940"/>
      <c r="R115" s="940"/>
      <c r="S115" s="940"/>
      <c r="T115" s="940"/>
      <c r="V115" s="1536"/>
      <c r="W115" s="1536"/>
      <c r="X115" s="1535"/>
      <c r="Y115" s="1535"/>
      <c r="Z115" s="1535"/>
      <c r="AA115" s="1535"/>
      <c r="AB115" s="1535"/>
      <c r="AC115" s="1535"/>
      <c r="AD115" s="1535"/>
      <c r="AE115" s="1537"/>
      <c r="AF115" s="1535"/>
      <c r="AG115" s="1535"/>
      <c r="AH115" s="1535"/>
      <c r="AI115" s="1538"/>
      <c r="AJ115" s="1535"/>
      <c r="AK115" s="1535"/>
      <c r="AL115" s="1535"/>
      <c r="AM115" s="1535"/>
      <c r="AN115" s="1535"/>
      <c r="AO115" s="1535"/>
      <c r="AP115" s="1535"/>
      <c r="AQ115" s="1535"/>
      <c r="AR115" s="1535"/>
      <c r="AS115" s="1535"/>
      <c r="AT115" s="1536"/>
      <c r="AU115" s="1536"/>
      <c r="AV115" s="1536"/>
      <c r="AW115" s="1536"/>
      <c r="AX115" s="1536"/>
      <c r="AY115" s="1536"/>
      <c r="AZ115" s="1536"/>
      <c r="BA115" s="1536"/>
      <c r="BB115" s="1536"/>
      <c r="BC115" s="1536"/>
      <c r="BD115" s="1536"/>
      <c r="BE115" s="1536"/>
      <c r="BF115" s="1536"/>
      <c r="BG115" s="1536"/>
      <c r="BH115" s="1536"/>
      <c r="BI115" s="1536"/>
      <c r="BJ115" s="1536"/>
      <c r="BK115" s="1536"/>
    </row>
    <row r="116" spans="1:63" ht="12" customHeight="1" x14ac:dyDescent="0.2">
      <c r="A116" s="940"/>
      <c r="B116" s="940"/>
      <c r="C116" s="940"/>
      <c r="D116" s="940"/>
      <c r="E116" s="940"/>
      <c r="F116" s="940"/>
      <c r="G116" s="940"/>
      <c r="H116" s="940"/>
      <c r="I116" s="940"/>
      <c r="J116" s="940"/>
      <c r="K116" s="940"/>
      <c r="L116" s="940"/>
      <c r="M116" s="940"/>
      <c r="N116" s="940"/>
      <c r="O116" s="940"/>
      <c r="P116" s="940"/>
      <c r="Q116" s="940"/>
      <c r="R116" s="940"/>
      <c r="S116" s="940"/>
      <c r="T116" s="940"/>
      <c r="V116" s="1536"/>
      <c r="W116" s="1536"/>
      <c r="X116" s="1535"/>
      <c r="Y116" s="1535"/>
      <c r="Z116" s="1535"/>
      <c r="AA116" s="1535"/>
      <c r="AB116" s="1535"/>
      <c r="AC116" s="1535"/>
      <c r="AD116" s="1535"/>
      <c r="AE116" s="1537"/>
      <c r="AF116" s="1535"/>
      <c r="AG116" s="1535"/>
      <c r="AH116" s="1535"/>
      <c r="AI116" s="1538"/>
      <c r="AJ116" s="1535"/>
      <c r="AK116" s="1535"/>
      <c r="AL116" s="1535"/>
      <c r="AM116" s="1535"/>
      <c r="AN116" s="1535"/>
      <c r="AO116" s="1535"/>
      <c r="AP116" s="1535"/>
      <c r="AQ116" s="1535"/>
      <c r="AR116" s="1535"/>
      <c r="AS116" s="1535"/>
      <c r="AT116" s="1536"/>
      <c r="AU116" s="1536"/>
      <c r="AV116" s="1536"/>
      <c r="AW116" s="1536"/>
      <c r="AX116" s="1536"/>
      <c r="AY116" s="1536"/>
      <c r="AZ116" s="1536"/>
      <c r="BA116" s="1536"/>
      <c r="BB116" s="1536"/>
      <c r="BC116" s="1536"/>
      <c r="BD116" s="1536"/>
      <c r="BE116" s="1536"/>
      <c r="BF116" s="1536"/>
      <c r="BG116" s="1536"/>
      <c r="BH116" s="1536"/>
      <c r="BI116" s="1536"/>
      <c r="BJ116" s="1536"/>
      <c r="BK116" s="1536"/>
    </row>
    <row r="117" spans="1:63" ht="12" customHeight="1" x14ac:dyDescent="0.2">
      <c r="A117" s="940"/>
      <c r="B117" s="940"/>
      <c r="C117" s="940"/>
      <c r="D117" s="940"/>
      <c r="E117" s="940"/>
      <c r="F117" s="940"/>
      <c r="G117" s="940"/>
      <c r="H117" s="940"/>
      <c r="I117" s="940"/>
      <c r="J117" s="940"/>
      <c r="K117" s="940"/>
      <c r="L117" s="940"/>
      <c r="M117" s="940"/>
      <c r="N117" s="940"/>
      <c r="O117" s="940"/>
      <c r="P117" s="940"/>
      <c r="Q117" s="940"/>
      <c r="R117" s="940"/>
      <c r="S117" s="940"/>
      <c r="T117" s="940"/>
      <c r="V117" s="1536"/>
      <c r="W117" s="1536"/>
      <c r="X117" s="1535"/>
      <c r="Y117" s="1535"/>
      <c r="Z117" s="1535"/>
      <c r="AA117" s="1535"/>
      <c r="AB117" s="1535"/>
      <c r="AC117" s="1535"/>
      <c r="AD117" s="1535"/>
      <c r="AE117" s="1537"/>
      <c r="AF117" s="1535"/>
      <c r="AG117" s="1535"/>
      <c r="AH117" s="1535"/>
      <c r="AI117" s="1538"/>
      <c r="AJ117" s="1535"/>
      <c r="AK117" s="1535"/>
      <c r="AL117" s="1535"/>
      <c r="AM117" s="1535"/>
      <c r="AN117" s="1535"/>
      <c r="AO117" s="1535"/>
      <c r="AP117" s="1535"/>
      <c r="AQ117" s="1535"/>
      <c r="AR117" s="1535"/>
      <c r="AS117" s="1535"/>
      <c r="AT117" s="1536"/>
      <c r="AU117" s="1536"/>
      <c r="AV117" s="1536"/>
      <c r="AW117" s="1536"/>
      <c r="AX117" s="1536"/>
      <c r="AY117" s="1536"/>
      <c r="AZ117" s="1536"/>
      <c r="BA117" s="1536"/>
      <c r="BB117" s="1536"/>
      <c r="BC117" s="1536"/>
      <c r="BD117" s="1536"/>
      <c r="BE117" s="1536"/>
      <c r="BF117" s="1536"/>
      <c r="BG117" s="1536"/>
      <c r="BH117" s="1536"/>
      <c r="BI117" s="1536"/>
      <c r="BJ117" s="1536"/>
      <c r="BK117" s="1536"/>
    </row>
    <row r="118" spans="1:63" x14ac:dyDescent="0.2">
      <c r="A118" s="940"/>
      <c r="B118" s="940"/>
      <c r="C118" s="940"/>
      <c r="D118" s="940"/>
      <c r="E118" s="940"/>
      <c r="F118" s="940"/>
      <c r="G118" s="940"/>
      <c r="H118" s="940"/>
      <c r="I118" s="940"/>
      <c r="J118" s="940"/>
      <c r="K118" s="940"/>
      <c r="L118" s="940"/>
      <c r="M118" s="940"/>
      <c r="N118" s="940"/>
      <c r="O118" s="940"/>
      <c r="P118" s="940"/>
      <c r="Q118" s="940"/>
      <c r="R118" s="940"/>
      <c r="S118" s="940"/>
      <c r="T118" s="940"/>
      <c r="V118" s="1536"/>
      <c r="W118" s="1536"/>
      <c r="X118" s="1535"/>
      <c r="Y118" s="1535"/>
      <c r="Z118" s="1535"/>
      <c r="AA118" s="1535"/>
      <c r="AB118" s="1535"/>
      <c r="AC118" s="1535"/>
      <c r="AD118" s="1535"/>
      <c r="AE118" s="1537"/>
      <c r="AF118" s="1535"/>
      <c r="AG118" s="1535"/>
      <c r="AH118" s="1535"/>
      <c r="AI118" s="1538"/>
      <c r="AJ118" s="1535"/>
      <c r="AK118" s="1535"/>
      <c r="AL118" s="1535"/>
      <c r="AM118" s="1535"/>
      <c r="AN118" s="1535"/>
      <c r="AO118" s="1535"/>
      <c r="AP118" s="1535"/>
      <c r="AQ118" s="1535"/>
      <c r="AR118" s="1535"/>
      <c r="AS118" s="1535"/>
      <c r="AT118" s="1536"/>
      <c r="AU118" s="1536"/>
      <c r="AV118" s="1536"/>
      <c r="AW118" s="1536"/>
      <c r="AX118" s="1536"/>
      <c r="AY118" s="1536"/>
      <c r="AZ118" s="1536"/>
      <c r="BA118" s="1536"/>
      <c r="BB118" s="1536"/>
      <c r="BC118" s="1536"/>
      <c r="BD118" s="1536"/>
      <c r="BE118" s="1536"/>
      <c r="BF118" s="1536"/>
      <c r="BG118" s="1536"/>
      <c r="BH118" s="1536"/>
      <c r="BI118" s="1536"/>
      <c r="BJ118" s="1536"/>
      <c r="BK118" s="1536"/>
    </row>
    <row r="119" spans="1:63" ht="12" customHeight="1" x14ac:dyDescent="0.2">
      <c r="A119" s="940"/>
      <c r="B119" s="940"/>
      <c r="C119" s="940"/>
      <c r="D119" s="940"/>
      <c r="E119" s="940"/>
      <c r="F119" s="940"/>
      <c r="G119" s="940"/>
      <c r="H119" s="940"/>
      <c r="I119" s="940"/>
      <c r="J119" s="940"/>
      <c r="K119" s="940"/>
      <c r="L119" s="940"/>
      <c r="M119" s="940"/>
      <c r="N119" s="940"/>
      <c r="O119" s="940"/>
      <c r="P119" s="940"/>
      <c r="Q119" s="940"/>
      <c r="R119" s="940"/>
      <c r="S119" s="940"/>
      <c r="T119" s="940"/>
      <c r="V119" s="1536"/>
      <c r="W119" s="1536"/>
      <c r="X119" s="1535"/>
      <c r="Y119" s="1535"/>
      <c r="Z119" s="1535"/>
      <c r="AA119" s="1535"/>
      <c r="AB119" s="1535"/>
      <c r="AC119" s="1535"/>
      <c r="AD119" s="1535"/>
      <c r="AE119" s="1537"/>
      <c r="AF119" s="1535"/>
      <c r="AG119" s="1535"/>
      <c r="AH119" s="1535"/>
      <c r="AI119" s="1538"/>
      <c r="AJ119" s="1535"/>
      <c r="AK119" s="1535"/>
      <c r="AL119" s="1535"/>
      <c r="AM119" s="1535"/>
      <c r="AN119" s="1535"/>
      <c r="AO119" s="1535"/>
      <c r="AP119" s="1535"/>
      <c r="AQ119" s="1535"/>
      <c r="AR119" s="1535"/>
      <c r="AS119" s="1535"/>
      <c r="AT119" s="1536"/>
      <c r="AU119" s="1536"/>
      <c r="AV119" s="1536"/>
      <c r="AW119" s="1536"/>
      <c r="AX119" s="1536"/>
      <c r="AY119" s="1536"/>
      <c r="AZ119" s="1536"/>
      <c r="BA119" s="1536"/>
      <c r="BB119" s="1536"/>
      <c r="BC119" s="1536"/>
      <c r="BD119" s="1536"/>
      <c r="BE119" s="1536"/>
      <c r="BF119" s="1536"/>
      <c r="BG119" s="1536"/>
      <c r="BH119" s="1536"/>
      <c r="BI119" s="1536"/>
      <c r="BJ119" s="1536"/>
      <c r="BK119" s="1536"/>
    </row>
    <row r="120" spans="1:63" ht="12" customHeight="1" x14ac:dyDescent="0.2">
      <c r="A120" s="940"/>
      <c r="B120" s="940"/>
      <c r="C120" s="940"/>
      <c r="D120" s="940"/>
      <c r="E120" s="940"/>
      <c r="F120" s="940"/>
      <c r="G120" s="940"/>
      <c r="H120" s="940"/>
      <c r="I120" s="940"/>
      <c r="J120" s="940"/>
      <c r="K120" s="940"/>
      <c r="L120" s="940"/>
      <c r="M120" s="940"/>
      <c r="N120" s="940"/>
      <c r="O120" s="940"/>
      <c r="P120" s="940"/>
      <c r="Q120" s="940"/>
      <c r="R120" s="940"/>
      <c r="S120" s="940"/>
      <c r="T120" s="940"/>
      <c r="V120" s="1536"/>
      <c r="W120" s="1536"/>
      <c r="X120" s="1535"/>
      <c r="Y120" s="1535"/>
      <c r="Z120" s="1535"/>
      <c r="AA120" s="1535"/>
      <c r="AB120" s="1535"/>
      <c r="AC120" s="1535"/>
      <c r="AD120" s="1535"/>
      <c r="AE120" s="1537"/>
      <c r="AF120" s="1535"/>
      <c r="AG120" s="1535"/>
      <c r="AH120" s="1535"/>
      <c r="AI120" s="1538"/>
      <c r="AJ120" s="1535"/>
      <c r="AK120" s="1535"/>
      <c r="AL120" s="1535"/>
      <c r="AM120" s="1535"/>
      <c r="AN120" s="1535"/>
      <c r="AO120" s="1535"/>
      <c r="AP120" s="1535"/>
      <c r="AQ120" s="1535"/>
      <c r="AR120" s="1535"/>
      <c r="AS120" s="1535"/>
      <c r="AT120" s="1536"/>
      <c r="AU120" s="1536"/>
      <c r="AV120" s="1536"/>
      <c r="AW120" s="1536"/>
      <c r="AX120" s="1536"/>
      <c r="AY120" s="1536"/>
      <c r="AZ120" s="1536"/>
      <c r="BA120" s="1536"/>
      <c r="BB120" s="1536"/>
      <c r="BC120" s="1536"/>
      <c r="BD120" s="1536"/>
      <c r="BE120" s="1536"/>
      <c r="BF120" s="1536"/>
      <c r="BG120" s="1536"/>
      <c r="BH120" s="1536"/>
      <c r="BI120" s="1536"/>
      <c r="BJ120" s="1536"/>
      <c r="BK120" s="1536"/>
    </row>
    <row r="121" spans="1:63" ht="12" customHeight="1" x14ac:dyDescent="0.2">
      <c r="A121" s="940"/>
      <c r="B121" s="940"/>
      <c r="C121" s="940"/>
      <c r="D121" s="940"/>
      <c r="E121" s="940"/>
      <c r="F121" s="940"/>
      <c r="G121" s="940"/>
      <c r="H121" s="940"/>
      <c r="I121" s="940"/>
      <c r="J121" s="940"/>
      <c r="K121" s="940"/>
      <c r="L121" s="940"/>
      <c r="M121" s="940"/>
      <c r="N121" s="940"/>
      <c r="O121" s="940"/>
      <c r="P121" s="940"/>
      <c r="Q121" s="940"/>
      <c r="R121" s="940"/>
      <c r="S121" s="940"/>
      <c r="T121" s="940"/>
      <c r="V121" s="1536"/>
      <c r="W121" s="1536"/>
      <c r="X121" s="1535"/>
      <c r="Y121" s="1535"/>
      <c r="Z121" s="1535"/>
      <c r="AA121" s="1535"/>
      <c r="AB121" s="1535"/>
      <c r="AC121" s="1535"/>
      <c r="AD121" s="1535"/>
      <c r="AE121" s="1537"/>
      <c r="AF121" s="1535"/>
      <c r="AG121" s="1535"/>
      <c r="AH121" s="1535"/>
      <c r="AI121" s="1538"/>
      <c r="AJ121" s="1535"/>
      <c r="AK121" s="1535"/>
      <c r="AL121" s="1535"/>
      <c r="AM121" s="1535"/>
      <c r="AN121" s="1535"/>
      <c r="AO121" s="1535"/>
      <c r="AP121" s="1535"/>
      <c r="AQ121" s="1535"/>
      <c r="AR121" s="1535"/>
      <c r="AS121" s="1535"/>
      <c r="AT121" s="1536"/>
      <c r="AU121" s="1536"/>
      <c r="AV121" s="1536"/>
      <c r="AW121" s="1536"/>
      <c r="AX121" s="1536"/>
      <c r="AY121" s="1536"/>
      <c r="AZ121" s="1536"/>
      <c r="BA121" s="1536"/>
      <c r="BB121" s="1536"/>
      <c r="BC121" s="1536"/>
      <c r="BD121" s="1536"/>
      <c r="BE121" s="1536"/>
      <c r="BF121" s="1536"/>
      <c r="BG121" s="1536"/>
      <c r="BH121" s="1536"/>
      <c r="BI121" s="1536"/>
      <c r="BJ121" s="1536"/>
      <c r="BK121" s="1536"/>
    </row>
    <row r="122" spans="1:63" ht="12" customHeight="1" x14ac:dyDescent="0.2">
      <c r="A122" s="940"/>
      <c r="B122" s="940"/>
      <c r="C122" s="940"/>
      <c r="D122" s="940"/>
      <c r="E122" s="940"/>
      <c r="F122" s="940"/>
      <c r="G122" s="940"/>
      <c r="H122" s="940"/>
      <c r="I122" s="940"/>
      <c r="J122" s="940"/>
      <c r="K122" s="940"/>
      <c r="L122" s="940"/>
      <c r="M122" s="940"/>
      <c r="N122" s="940"/>
      <c r="O122" s="940"/>
      <c r="P122" s="940"/>
      <c r="Q122" s="940"/>
      <c r="R122" s="940"/>
      <c r="S122" s="940"/>
      <c r="T122" s="940"/>
      <c r="V122" s="1536"/>
      <c r="W122" s="1536"/>
      <c r="X122" s="1535"/>
      <c r="Y122" s="1535"/>
      <c r="Z122" s="1535"/>
      <c r="AA122" s="1535"/>
      <c r="AB122" s="1535"/>
      <c r="AC122" s="1535"/>
      <c r="AD122" s="1535"/>
      <c r="AE122" s="1537"/>
      <c r="AF122" s="1535"/>
      <c r="AG122" s="1535"/>
      <c r="AH122" s="1535"/>
      <c r="AI122" s="1538"/>
      <c r="AJ122" s="1535"/>
      <c r="AK122" s="1535"/>
      <c r="AL122" s="1535"/>
      <c r="AM122" s="1535"/>
      <c r="AN122" s="1535"/>
      <c r="AO122" s="1535"/>
      <c r="AP122" s="1535"/>
      <c r="AQ122" s="1535"/>
      <c r="AR122" s="1535"/>
      <c r="AS122" s="1535"/>
      <c r="AT122" s="1536"/>
      <c r="AU122" s="1536"/>
      <c r="AV122" s="1536"/>
      <c r="AW122" s="1536"/>
      <c r="AX122" s="1536"/>
      <c r="AY122" s="1536"/>
      <c r="AZ122" s="1536"/>
      <c r="BA122" s="1536"/>
      <c r="BB122" s="1536"/>
      <c r="BC122" s="1536"/>
      <c r="BD122" s="1536"/>
      <c r="BE122" s="1536"/>
      <c r="BF122" s="1536"/>
      <c r="BG122" s="1536"/>
      <c r="BH122" s="1536"/>
      <c r="BI122" s="1536"/>
      <c r="BJ122" s="1536"/>
      <c r="BK122" s="1536"/>
    </row>
    <row r="123" spans="1:63" ht="12" customHeight="1" x14ac:dyDescent="0.2">
      <c r="A123" s="940"/>
      <c r="B123" s="940"/>
      <c r="C123" s="940"/>
      <c r="D123" s="940"/>
      <c r="E123" s="940"/>
      <c r="F123" s="940"/>
      <c r="G123" s="940"/>
      <c r="H123" s="940"/>
      <c r="I123" s="940"/>
      <c r="J123" s="940"/>
      <c r="K123" s="940"/>
      <c r="L123" s="940"/>
      <c r="M123" s="940"/>
      <c r="N123" s="940"/>
      <c r="O123" s="940"/>
      <c r="P123" s="940"/>
      <c r="Q123" s="940"/>
      <c r="R123" s="940"/>
      <c r="S123" s="940"/>
      <c r="T123" s="940"/>
      <c r="V123" s="1536"/>
      <c r="W123" s="1536"/>
      <c r="X123" s="1535"/>
      <c r="Y123" s="1535"/>
      <c r="Z123" s="1535"/>
      <c r="AA123" s="1535"/>
      <c r="AB123" s="1535"/>
      <c r="AC123" s="1535"/>
      <c r="AD123" s="1535"/>
      <c r="AE123" s="1537"/>
      <c r="AF123" s="1535"/>
      <c r="AG123" s="1535"/>
      <c r="AH123" s="1535"/>
      <c r="AI123" s="1538"/>
      <c r="AJ123" s="1535"/>
      <c r="AK123" s="1535"/>
      <c r="AL123" s="1535"/>
      <c r="AM123" s="1535"/>
      <c r="AN123" s="1535"/>
      <c r="AO123" s="1535"/>
      <c r="AP123" s="1535"/>
      <c r="AQ123" s="1535"/>
      <c r="AR123" s="1535"/>
      <c r="AS123" s="1535"/>
      <c r="AT123" s="1536"/>
      <c r="AU123" s="1536"/>
      <c r="AV123" s="1536"/>
      <c r="AW123" s="1536"/>
      <c r="AX123" s="1536"/>
      <c r="AY123" s="1536"/>
      <c r="AZ123" s="1536"/>
      <c r="BA123" s="1536"/>
      <c r="BB123" s="1536"/>
      <c r="BC123" s="1536"/>
      <c r="BD123" s="1536"/>
      <c r="BE123" s="1536"/>
      <c r="BF123" s="1536"/>
      <c r="BG123" s="1536"/>
      <c r="BH123" s="1536"/>
      <c r="BI123" s="1536"/>
      <c r="BJ123" s="1536"/>
      <c r="BK123" s="1536"/>
    </row>
    <row r="124" spans="1:63" ht="12" customHeight="1" x14ac:dyDescent="0.2">
      <c r="A124" s="940"/>
      <c r="B124" s="940"/>
      <c r="C124" s="940"/>
      <c r="D124" s="940"/>
      <c r="E124" s="940"/>
      <c r="F124" s="940"/>
      <c r="G124" s="940"/>
      <c r="H124" s="940"/>
      <c r="I124" s="940"/>
      <c r="J124" s="940"/>
      <c r="K124" s="940"/>
      <c r="L124" s="940"/>
      <c r="M124" s="940"/>
      <c r="N124" s="940"/>
      <c r="O124" s="940"/>
      <c r="P124" s="940"/>
      <c r="Q124" s="940"/>
      <c r="R124" s="940"/>
      <c r="S124" s="940"/>
      <c r="T124" s="940"/>
      <c r="V124" s="1536"/>
      <c r="W124" s="1536"/>
      <c r="X124" s="1535"/>
      <c r="Y124" s="1535"/>
      <c r="Z124" s="1535"/>
      <c r="AA124" s="1535"/>
      <c r="AB124" s="1535"/>
      <c r="AC124" s="1535"/>
      <c r="AD124" s="1535"/>
      <c r="AE124" s="1537"/>
      <c r="AF124" s="1535"/>
      <c r="AG124" s="1535"/>
      <c r="AH124" s="1535"/>
      <c r="AI124" s="1538"/>
      <c r="AJ124" s="1535"/>
      <c r="AK124" s="1535"/>
      <c r="AL124" s="1535"/>
      <c r="AM124" s="1535"/>
      <c r="AN124" s="1535"/>
      <c r="AO124" s="1535"/>
      <c r="AP124" s="1535"/>
      <c r="AQ124" s="1535"/>
      <c r="AR124" s="1535"/>
      <c r="AS124" s="1535"/>
      <c r="AT124" s="1536"/>
      <c r="AU124" s="1536"/>
      <c r="AV124" s="1536"/>
      <c r="AW124" s="1536"/>
      <c r="AX124" s="1536"/>
      <c r="AY124" s="1536"/>
      <c r="AZ124" s="1536"/>
      <c r="BA124" s="1536"/>
      <c r="BB124" s="1536"/>
      <c r="BC124" s="1536"/>
      <c r="BD124" s="1536"/>
      <c r="BE124" s="1536"/>
      <c r="BF124" s="1536"/>
      <c r="BG124" s="1536"/>
      <c r="BH124" s="1536"/>
      <c r="BI124" s="1536"/>
      <c r="BJ124" s="1536"/>
      <c r="BK124" s="1536"/>
    </row>
    <row r="125" spans="1:63" ht="12" customHeight="1" x14ac:dyDescent="0.2">
      <c r="A125" s="940"/>
      <c r="B125" s="940"/>
      <c r="C125" s="940"/>
      <c r="D125" s="940"/>
      <c r="E125" s="940"/>
      <c r="F125" s="940"/>
      <c r="G125" s="940"/>
      <c r="H125" s="940"/>
      <c r="I125" s="940"/>
      <c r="J125" s="940"/>
      <c r="K125" s="940"/>
      <c r="L125" s="940"/>
      <c r="M125" s="940"/>
      <c r="N125" s="940"/>
      <c r="O125" s="940"/>
      <c r="P125" s="940"/>
      <c r="Q125" s="940"/>
      <c r="R125" s="940"/>
      <c r="S125" s="940"/>
      <c r="T125" s="940"/>
      <c r="V125" s="1536"/>
      <c r="W125" s="1536"/>
      <c r="X125" s="1535"/>
      <c r="Y125" s="1535"/>
      <c r="Z125" s="1535"/>
      <c r="AA125" s="1535"/>
      <c r="AB125" s="1535"/>
      <c r="AC125" s="1535"/>
      <c r="AD125" s="1535"/>
      <c r="AE125" s="1537"/>
      <c r="AF125" s="1535"/>
      <c r="AG125" s="1535"/>
      <c r="AH125" s="1535"/>
      <c r="AI125" s="1538"/>
      <c r="AJ125" s="1535"/>
      <c r="AK125" s="1535"/>
      <c r="AL125" s="1535"/>
      <c r="AM125" s="1535"/>
      <c r="AN125" s="1535"/>
      <c r="AO125" s="1535"/>
      <c r="AP125" s="1535"/>
      <c r="AQ125" s="1535"/>
      <c r="AR125" s="1535"/>
      <c r="AS125" s="1535"/>
      <c r="AT125" s="1536"/>
      <c r="AU125" s="1536"/>
      <c r="AV125" s="1536"/>
      <c r="AW125" s="1536"/>
      <c r="AX125" s="1536"/>
      <c r="AY125" s="1536"/>
      <c r="AZ125" s="1536"/>
      <c r="BA125" s="1536"/>
      <c r="BB125" s="1536"/>
      <c r="BC125" s="1536"/>
      <c r="BD125" s="1536"/>
      <c r="BE125" s="1536"/>
      <c r="BF125" s="1536"/>
      <c r="BG125" s="1536"/>
      <c r="BH125" s="1536"/>
      <c r="BI125" s="1536"/>
      <c r="BJ125" s="1536"/>
      <c r="BK125" s="1536"/>
    </row>
    <row r="126" spans="1:63" ht="12" customHeight="1" x14ac:dyDescent="0.2">
      <c r="A126" s="940"/>
      <c r="B126" s="940"/>
      <c r="C126" s="940"/>
      <c r="D126" s="940"/>
      <c r="E126" s="940"/>
      <c r="F126" s="940"/>
      <c r="G126" s="940"/>
      <c r="H126" s="940"/>
      <c r="I126" s="940"/>
      <c r="J126" s="940"/>
      <c r="K126" s="940"/>
      <c r="L126" s="940"/>
      <c r="M126" s="940"/>
      <c r="N126" s="940"/>
      <c r="O126" s="940"/>
      <c r="P126" s="940"/>
      <c r="Q126" s="940"/>
      <c r="R126" s="940"/>
      <c r="S126" s="940"/>
      <c r="T126" s="940"/>
      <c r="V126" s="1536"/>
      <c r="W126" s="1536"/>
      <c r="X126" s="1535"/>
      <c r="Y126" s="1535"/>
      <c r="Z126" s="1535"/>
      <c r="AA126" s="1535"/>
      <c r="AB126" s="1535"/>
      <c r="AC126" s="1535"/>
      <c r="AD126" s="1535"/>
      <c r="AE126" s="1537"/>
      <c r="AF126" s="1535"/>
      <c r="AG126" s="1535"/>
      <c r="AH126" s="1535"/>
      <c r="AI126" s="1538"/>
      <c r="AJ126" s="1535"/>
      <c r="AK126" s="1535"/>
      <c r="AL126" s="1535"/>
      <c r="AM126" s="1535"/>
      <c r="AN126" s="1535"/>
      <c r="AO126" s="1535"/>
      <c r="AP126" s="1535"/>
      <c r="AQ126" s="1535"/>
      <c r="AR126" s="1535"/>
      <c r="AS126" s="1535"/>
      <c r="AT126" s="1536"/>
      <c r="AU126" s="1536"/>
      <c r="AV126" s="1536"/>
      <c r="AW126" s="1536"/>
      <c r="AX126" s="1536"/>
      <c r="AY126" s="1536"/>
      <c r="AZ126" s="1536"/>
      <c r="BA126" s="1536"/>
      <c r="BB126" s="1536"/>
      <c r="BC126" s="1536"/>
      <c r="BD126" s="1536"/>
      <c r="BE126" s="1536"/>
      <c r="BF126" s="1536"/>
      <c r="BG126" s="1536"/>
      <c r="BH126" s="1536"/>
      <c r="BI126" s="1536"/>
      <c r="BJ126" s="1536"/>
      <c r="BK126" s="1536"/>
    </row>
    <row r="127" spans="1:63" x14ac:dyDescent="0.2">
      <c r="A127" s="940"/>
      <c r="B127" s="940"/>
      <c r="C127" s="940"/>
      <c r="D127" s="940"/>
      <c r="E127" s="940"/>
      <c r="F127" s="940"/>
      <c r="G127" s="940"/>
      <c r="H127" s="940"/>
      <c r="I127" s="940"/>
      <c r="J127" s="940"/>
      <c r="K127" s="940"/>
      <c r="L127" s="940"/>
      <c r="M127" s="940"/>
      <c r="N127" s="940"/>
      <c r="O127" s="940"/>
      <c r="P127" s="940"/>
      <c r="Q127" s="940"/>
      <c r="R127" s="940"/>
      <c r="S127" s="940"/>
      <c r="T127" s="940"/>
      <c r="V127" s="1536"/>
      <c r="W127" s="1536"/>
      <c r="X127" s="1535"/>
      <c r="Y127" s="1535"/>
      <c r="Z127" s="1535"/>
      <c r="AA127" s="1535"/>
      <c r="AB127" s="1535"/>
      <c r="AC127" s="1535"/>
      <c r="AD127" s="1535"/>
      <c r="AE127" s="1537"/>
      <c r="AF127" s="1535"/>
      <c r="AG127" s="1535"/>
      <c r="AH127" s="1535"/>
      <c r="AI127" s="1538"/>
      <c r="AJ127" s="1535"/>
      <c r="AK127" s="1535"/>
      <c r="AL127" s="1535"/>
      <c r="AM127" s="1535"/>
      <c r="AN127" s="1535"/>
      <c r="AO127" s="1535"/>
      <c r="AP127" s="1535"/>
      <c r="AQ127" s="1535"/>
      <c r="AR127" s="1535"/>
      <c r="AS127" s="1535"/>
      <c r="AT127" s="1536"/>
      <c r="AU127" s="1536"/>
      <c r="AV127" s="1536"/>
      <c r="AW127" s="1536"/>
      <c r="AX127" s="1536"/>
      <c r="AY127" s="1536"/>
      <c r="AZ127" s="1536"/>
      <c r="BA127" s="1536"/>
      <c r="BB127" s="1536"/>
      <c r="BC127" s="1536"/>
      <c r="BD127" s="1536"/>
      <c r="BE127" s="1536"/>
      <c r="BF127" s="1536"/>
      <c r="BG127" s="1536"/>
      <c r="BH127" s="1536"/>
      <c r="BI127" s="1536"/>
      <c r="BJ127" s="1536"/>
      <c r="BK127" s="1536"/>
    </row>
    <row r="128" spans="1:63" ht="12" customHeight="1" x14ac:dyDescent="0.2">
      <c r="A128" s="940"/>
      <c r="B128" s="940"/>
      <c r="C128" s="940"/>
      <c r="D128" s="940"/>
      <c r="E128" s="940"/>
      <c r="F128" s="940"/>
      <c r="G128" s="940"/>
      <c r="H128" s="940"/>
      <c r="I128" s="940"/>
      <c r="J128" s="940"/>
      <c r="K128" s="940"/>
      <c r="L128" s="940"/>
      <c r="M128" s="940"/>
      <c r="N128" s="940"/>
      <c r="O128" s="940"/>
      <c r="P128" s="940"/>
      <c r="Q128" s="940"/>
      <c r="R128" s="940"/>
      <c r="S128" s="940"/>
      <c r="T128" s="940"/>
      <c r="V128" s="1536"/>
      <c r="W128" s="1536"/>
      <c r="X128" s="1535"/>
      <c r="Y128" s="1535"/>
      <c r="Z128" s="1535"/>
      <c r="AA128" s="1535"/>
      <c r="AB128" s="1535"/>
      <c r="AC128" s="1535"/>
      <c r="AD128" s="1535"/>
      <c r="AE128" s="1537"/>
      <c r="AF128" s="1535"/>
      <c r="AG128" s="1535"/>
      <c r="AH128" s="1535"/>
      <c r="AI128" s="1538"/>
      <c r="AJ128" s="1535"/>
      <c r="AK128" s="1535"/>
      <c r="AL128" s="1535"/>
      <c r="AM128" s="1535"/>
      <c r="AN128" s="1535"/>
      <c r="AO128" s="1535"/>
      <c r="AP128" s="1535"/>
      <c r="AQ128" s="1535"/>
      <c r="AR128" s="1535"/>
      <c r="AS128" s="1535"/>
      <c r="AT128" s="1536"/>
      <c r="AU128" s="1536"/>
      <c r="AV128" s="1536"/>
      <c r="AW128" s="1536"/>
      <c r="AX128" s="1536"/>
      <c r="AY128" s="1536"/>
      <c r="AZ128" s="1536"/>
      <c r="BA128" s="1536"/>
      <c r="BB128" s="1536"/>
      <c r="BC128" s="1536"/>
      <c r="BD128" s="1536"/>
      <c r="BE128" s="1536"/>
      <c r="BF128" s="1536"/>
      <c r="BG128" s="1536"/>
      <c r="BH128" s="1536"/>
      <c r="BI128" s="1536"/>
      <c r="BJ128" s="1536"/>
      <c r="BK128" s="1536"/>
    </row>
    <row r="129" spans="1:63" ht="12" customHeight="1" x14ac:dyDescent="0.2">
      <c r="A129" s="940"/>
      <c r="B129" s="940"/>
      <c r="C129" s="940"/>
      <c r="D129" s="940"/>
      <c r="E129" s="940"/>
      <c r="F129" s="940"/>
      <c r="G129" s="940"/>
      <c r="H129" s="940"/>
      <c r="I129" s="940"/>
      <c r="J129" s="940"/>
      <c r="K129" s="940"/>
      <c r="L129" s="940"/>
      <c r="M129" s="940"/>
      <c r="N129" s="940"/>
      <c r="O129" s="940"/>
      <c r="P129" s="940"/>
      <c r="Q129" s="940"/>
      <c r="R129" s="940"/>
      <c r="S129" s="940"/>
      <c r="T129" s="940"/>
      <c r="V129" s="1536"/>
      <c r="W129" s="1536"/>
      <c r="X129" s="1535"/>
      <c r="Y129" s="1535"/>
      <c r="Z129" s="1535"/>
      <c r="AA129" s="1535"/>
      <c r="AB129" s="1535"/>
      <c r="AC129" s="1535"/>
      <c r="AD129" s="1535"/>
      <c r="AE129" s="1537"/>
      <c r="AF129" s="1535"/>
      <c r="AG129" s="1535"/>
      <c r="AH129" s="1535"/>
      <c r="AI129" s="1538"/>
      <c r="AJ129" s="1535"/>
      <c r="AK129" s="1535"/>
      <c r="AL129" s="1535"/>
      <c r="AM129" s="1535"/>
      <c r="AN129" s="1535"/>
      <c r="AO129" s="1535"/>
      <c r="AP129" s="1535"/>
      <c r="AQ129" s="1535"/>
      <c r="AR129" s="1535"/>
      <c r="AS129" s="1535"/>
      <c r="AT129" s="1536"/>
      <c r="AU129" s="1536"/>
      <c r="AV129" s="1536"/>
      <c r="AW129" s="1536"/>
      <c r="AX129" s="1536"/>
      <c r="AY129" s="1536"/>
      <c r="AZ129" s="1536"/>
      <c r="BA129" s="1536"/>
      <c r="BB129" s="1536"/>
      <c r="BC129" s="1536"/>
      <c r="BD129" s="1536"/>
      <c r="BE129" s="1536"/>
      <c r="BF129" s="1536"/>
      <c r="BG129" s="1536"/>
      <c r="BH129" s="1536"/>
      <c r="BI129" s="1536"/>
      <c r="BJ129" s="1536"/>
      <c r="BK129" s="1536"/>
    </row>
    <row r="130" spans="1:63" ht="12" customHeight="1" x14ac:dyDescent="0.2">
      <c r="A130" s="940"/>
      <c r="B130" s="940"/>
      <c r="C130" s="940"/>
      <c r="D130" s="940"/>
      <c r="E130" s="940"/>
      <c r="F130" s="940"/>
      <c r="G130" s="940"/>
      <c r="H130" s="940"/>
      <c r="I130" s="940"/>
      <c r="J130" s="940"/>
      <c r="K130" s="940"/>
      <c r="L130" s="940"/>
      <c r="M130" s="940"/>
      <c r="N130" s="940"/>
      <c r="O130" s="940"/>
      <c r="P130" s="940"/>
      <c r="Q130" s="940"/>
      <c r="R130" s="940"/>
      <c r="S130" s="940"/>
      <c r="T130" s="940"/>
      <c r="V130" s="1536"/>
      <c r="W130" s="1536"/>
      <c r="X130" s="1535"/>
      <c r="Y130" s="1535"/>
      <c r="Z130" s="1535"/>
      <c r="AA130" s="1535"/>
      <c r="AB130" s="1535"/>
      <c r="AC130" s="1535"/>
      <c r="AD130" s="1535"/>
      <c r="AE130" s="1537"/>
      <c r="AF130" s="1535"/>
      <c r="AG130" s="1535"/>
      <c r="AH130" s="1535"/>
      <c r="AI130" s="1538"/>
      <c r="AJ130" s="1535"/>
      <c r="AK130" s="1535"/>
      <c r="AL130" s="1535"/>
      <c r="AM130" s="1535"/>
      <c r="AN130" s="1535"/>
      <c r="AO130" s="1535"/>
      <c r="AP130" s="1535"/>
      <c r="AQ130" s="1535"/>
      <c r="AR130" s="1535"/>
      <c r="AS130" s="1535"/>
      <c r="AT130" s="1536"/>
      <c r="AU130" s="1536"/>
      <c r="AV130" s="1536"/>
      <c r="AW130" s="1536"/>
      <c r="AX130" s="1536"/>
      <c r="AY130" s="1536"/>
      <c r="AZ130" s="1536"/>
      <c r="BA130" s="1536"/>
      <c r="BB130" s="1536"/>
      <c r="BC130" s="1536"/>
      <c r="BD130" s="1536"/>
      <c r="BE130" s="1536"/>
      <c r="BF130" s="1536"/>
      <c r="BG130" s="1536"/>
      <c r="BH130" s="1536"/>
      <c r="BI130" s="1536"/>
      <c r="BJ130" s="1536"/>
      <c r="BK130" s="1536"/>
    </row>
    <row r="131" spans="1:63" ht="12" customHeight="1" x14ac:dyDescent="0.2">
      <c r="A131" s="940"/>
      <c r="B131" s="940"/>
      <c r="C131" s="940"/>
      <c r="D131" s="940"/>
      <c r="E131" s="940"/>
      <c r="F131" s="940"/>
      <c r="G131" s="940"/>
      <c r="H131" s="940"/>
      <c r="I131" s="940"/>
      <c r="J131" s="940"/>
      <c r="K131" s="940"/>
      <c r="L131" s="940"/>
      <c r="M131" s="940"/>
      <c r="N131" s="940"/>
      <c r="O131" s="940"/>
      <c r="P131" s="940"/>
      <c r="Q131" s="940"/>
      <c r="R131" s="940"/>
      <c r="S131" s="940"/>
      <c r="T131" s="940"/>
      <c r="V131" s="1536"/>
      <c r="W131" s="1536"/>
      <c r="X131" s="1535"/>
      <c r="Y131" s="1535"/>
      <c r="Z131" s="1535"/>
      <c r="AA131" s="1535"/>
      <c r="AB131" s="1535"/>
      <c r="AC131" s="1535"/>
      <c r="AD131" s="1535"/>
      <c r="AE131" s="1537"/>
      <c r="AF131" s="1535"/>
      <c r="AG131" s="1535"/>
      <c r="AH131" s="1535"/>
      <c r="AI131" s="1538"/>
      <c r="AJ131" s="1535"/>
      <c r="AK131" s="1535"/>
      <c r="AL131" s="1535"/>
      <c r="AM131" s="1535"/>
      <c r="AN131" s="1535"/>
      <c r="AO131" s="1535"/>
      <c r="AP131" s="1535"/>
      <c r="AQ131" s="1535"/>
      <c r="AR131" s="1535"/>
      <c r="AS131" s="1535"/>
      <c r="AT131" s="1536"/>
      <c r="AU131" s="1536"/>
      <c r="AV131" s="1536"/>
      <c r="AW131" s="1536"/>
      <c r="AX131" s="1536"/>
      <c r="AY131" s="1536"/>
      <c r="AZ131" s="1536"/>
      <c r="BA131" s="1536"/>
      <c r="BB131" s="1536"/>
      <c r="BC131" s="1536"/>
      <c r="BD131" s="1536"/>
      <c r="BE131" s="1536"/>
      <c r="BF131" s="1536"/>
      <c r="BG131" s="1536"/>
      <c r="BH131" s="1536"/>
      <c r="BI131" s="1536"/>
      <c r="BJ131" s="1536"/>
      <c r="BK131" s="1536"/>
    </row>
    <row r="132" spans="1:63" ht="12" customHeight="1" x14ac:dyDescent="0.2">
      <c r="A132" s="940"/>
      <c r="B132" s="940"/>
      <c r="C132" s="940"/>
      <c r="D132" s="940"/>
      <c r="E132" s="940"/>
      <c r="F132" s="940"/>
      <c r="G132" s="940"/>
      <c r="H132" s="940"/>
      <c r="I132" s="940"/>
      <c r="J132" s="940"/>
      <c r="K132" s="940"/>
      <c r="L132" s="940"/>
      <c r="M132" s="940"/>
      <c r="N132" s="940"/>
      <c r="O132" s="940"/>
      <c r="P132" s="940"/>
      <c r="Q132" s="940"/>
      <c r="R132" s="940"/>
      <c r="S132" s="940"/>
      <c r="T132" s="940"/>
      <c r="V132" s="1536"/>
      <c r="W132" s="1536"/>
      <c r="X132" s="1535"/>
      <c r="Y132" s="1535"/>
      <c r="Z132" s="1535"/>
      <c r="AA132" s="1535"/>
      <c r="AB132" s="1535"/>
      <c r="AC132" s="1535"/>
      <c r="AD132" s="1535"/>
      <c r="AE132" s="1537"/>
      <c r="AF132" s="1535"/>
      <c r="AG132" s="1535"/>
      <c r="AH132" s="1535"/>
      <c r="AI132" s="1538"/>
      <c r="AJ132" s="1535"/>
      <c r="AK132" s="1535"/>
      <c r="AL132" s="1535"/>
      <c r="AM132" s="1535"/>
      <c r="AN132" s="1535"/>
      <c r="AO132" s="1535"/>
      <c r="AP132" s="1535"/>
      <c r="AQ132" s="1535"/>
      <c r="AR132" s="1535"/>
      <c r="AS132" s="1535"/>
      <c r="AT132" s="1536"/>
      <c r="AU132" s="1536"/>
      <c r="AV132" s="1536"/>
      <c r="AW132" s="1536"/>
      <c r="AX132" s="1536"/>
      <c r="AY132" s="1536"/>
      <c r="AZ132" s="1536"/>
      <c r="BA132" s="1536"/>
      <c r="BB132" s="1536"/>
      <c r="BC132" s="1536"/>
      <c r="BD132" s="1536"/>
      <c r="BE132" s="1536"/>
      <c r="BF132" s="1536"/>
      <c r="BG132" s="1536"/>
      <c r="BH132" s="1536"/>
      <c r="BI132" s="1536"/>
      <c r="BJ132" s="1536"/>
      <c r="BK132" s="1536"/>
    </row>
    <row r="133" spans="1:63" ht="12" customHeight="1" x14ac:dyDescent="0.2">
      <c r="A133" s="940"/>
      <c r="B133" s="940"/>
      <c r="C133" s="940"/>
      <c r="D133" s="940"/>
      <c r="E133" s="940"/>
      <c r="F133" s="940"/>
      <c r="G133" s="940"/>
      <c r="H133" s="940"/>
      <c r="I133" s="940"/>
      <c r="J133" s="940"/>
      <c r="K133" s="940"/>
      <c r="L133" s="940"/>
      <c r="M133" s="940"/>
      <c r="N133" s="940"/>
      <c r="O133" s="940"/>
      <c r="P133" s="940"/>
      <c r="Q133" s="940"/>
      <c r="R133" s="940"/>
      <c r="S133" s="940"/>
      <c r="T133" s="940"/>
      <c r="V133" s="1536"/>
      <c r="W133" s="1536"/>
      <c r="X133" s="1535"/>
      <c r="Y133" s="1535"/>
      <c r="Z133" s="1535"/>
      <c r="AA133" s="1535"/>
      <c r="AB133" s="1535"/>
      <c r="AC133" s="1535"/>
      <c r="AD133" s="1535"/>
      <c r="AE133" s="1537"/>
      <c r="AF133" s="1535"/>
      <c r="AG133" s="1535"/>
      <c r="AH133" s="1535"/>
      <c r="AI133" s="1538"/>
      <c r="AJ133" s="1535"/>
      <c r="AK133" s="1535"/>
      <c r="AL133" s="1535"/>
      <c r="AM133" s="1535"/>
      <c r="AN133" s="1535"/>
      <c r="AO133" s="1535"/>
      <c r="AP133" s="1535"/>
      <c r="AQ133" s="1535"/>
      <c r="AR133" s="1535"/>
      <c r="AS133" s="1535"/>
      <c r="AT133" s="1536"/>
      <c r="AU133" s="1536"/>
      <c r="AV133" s="1536"/>
      <c r="AW133" s="1536"/>
      <c r="AX133" s="1536"/>
      <c r="AY133" s="1536"/>
      <c r="AZ133" s="1536"/>
      <c r="BA133" s="1536"/>
      <c r="BB133" s="1536"/>
      <c r="BC133" s="1536"/>
      <c r="BD133" s="1536"/>
      <c r="BE133" s="1536"/>
      <c r="BF133" s="1536"/>
      <c r="BG133" s="1536"/>
      <c r="BH133" s="1536"/>
      <c r="BI133" s="1536"/>
      <c r="BJ133" s="1536"/>
      <c r="BK133" s="1536"/>
    </row>
    <row r="134" spans="1:63" ht="12" customHeight="1" x14ac:dyDescent="0.2">
      <c r="A134" s="940"/>
      <c r="B134" s="940"/>
      <c r="C134" s="940"/>
      <c r="D134" s="940"/>
      <c r="E134" s="940"/>
      <c r="F134" s="940"/>
      <c r="G134" s="940"/>
      <c r="H134" s="940"/>
      <c r="I134" s="940"/>
      <c r="J134" s="940"/>
      <c r="K134" s="940"/>
      <c r="L134" s="940"/>
      <c r="M134" s="940"/>
      <c r="N134" s="940"/>
      <c r="O134" s="940"/>
      <c r="P134" s="940"/>
      <c r="Q134" s="940"/>
      <c r="R134" s="940"/>
      <c r="S134" s="940"/>
      <c r="T134" s="940"/>
      <c r="V134" s="1536"/>
      <c r="W134" s="1536"/>
      <c r="X134" s="1535"/>
      <c r="Y134" s="1535"/>
      <c r="Z134" s="1535"/>
      <c r="AA134" s="1535"/>
      <c r="AB134" s="1535"/>
      <c r="AC134" s="1535"/>
      <c r="AD134" s="1535"/>
      <c r="AE134" s="1537"/>
      <c r="AF134" s="1535"/>
      <c r="AG134" s="1535"/>
      <c r="AH134" s="1535"/>
      <c r="AI134" s="1538"/>
      <c r="AJ134" s="1535"/>
      <c r="AK134" s="1535"/>
      <c r="AL134" s="1535"/>
      <c r="AM134" s="1535"/>
      <c r="AN134" s="1535"/>
      <c r="AO134" s="1535"/>
      <c r="AP134" s="1535"/>
      <c r="AQ134" s="1535"/>
      <c r="AR134" s="1535"/>
      <c r="AS134" s="1535"/>
      <c r="AT134" s="1536"/>
      <c r="AU134" s="1536"/>
      <c r="AV134" s="1536"/>
      <c r="AW134" s="1536"/>
      <c r="AX134" s="1536"/>
      <c r="AY134" s="1536"/>
      <c r="AZ134" s="1536"/>
      <c r="BA134" s="1536"/>
      <c r="BB134" s="1536"/>
      <c r="BC134" s="1536"/>
      <c r="BD134" s="1536"/>
      <c r="BE134" s="1536"/>
      <c r="BF134" s="1536"/>
      <c r="BG134" s="1536"/>
      <c r="BH134" s="1536"/>
      <c r="BI134" s="1536"/>
      <c r="BJ134" s="1536"/>
      <c r="BK134" s="1536"/>
    </row>
    <row r="135" spans="1:63" ht="12" customHeight="1" x14ac:dyDescent="0.2">
      <c r="A135" s="940"/>
      <c r="B135" s="940"/>
      <c r="C135" s="940"/>
      <c r="D135" s="940"/>
      <c r="E135" s="940"/>
      <c r="F135" s="940"/>
      <c r="G135" s="940"/>
      <c r="H135" s="940"/>
      <c r="I135" s="940"/>
      <c r="J135" s="940"/>
      <c r="K135" s="940"/>
      <c r="L135" s="940"/>
      <c r="M135" s="940"/>
      <c r="N135" s="940"/>
      <c r="O135" s="940"/>
      <c r="P135" s="940"/>
      <c r="Q135" s="940"/>
      <c r="R135" s="940"/>
      <c r="S135" s="940"/>
      <c r="T135" s="940"/>
      <c r="V135" s="1536"/>
      <c r="W135" s="1536"/>
      <c r="X135" s="1535"/>
      <c r="Y135" s="1535"/>
      <c r="Z135" s="1535"/>
      <c r="AA135" s="1535"/>
      <c r="AB135" s="1535"/>
      <c r="AC135" s="1535"/>
      <c r="AD135" s="1535"/>
      <c r="AE135" s="1537"/>
      <c r="AF135" s="1535"/>
      <c r="AG135" s="1535"/>
      <c r="AH135" s="1535"/>
      <c r="AI135" s="1538"/>
      <c r="AJ135" s="1535"/>
      <c r="AK135" s="1535"/>
      <c r="AL135" s="1535"/>
      <c r="AM135" s="1535"/>
      <c r="AN135" s="1535"/>
      <c r="AO135" s="1535"/>
      <c r="AP135" s="1535"/>
      <c r="AQ135" s="1535"/>
      <c r="AR135" s="1535"/>
      <c r="AS135" s="1535"/>
      <c r="AT135" s="1536"/>
      <c r="AU135" s="1536"/>
      <c r="AV135" s="1536"/>
      <c r="AW135" s="1536"/>
      <c r="AX135" s="1536"/>
      <c r="AY135" s="1536"/>
      <c r="AZ135" s="1536"/>
      <c r="BA135" s="1536"/>
      <c r="BB135" s="1536"/>
      <c r="BC135" s="1536"/>
      <c r="BD135" s="1536"/>
      <c r="BE135" s="1536"/>
      <c r="BF135" s="1536"/>
      <c r="BG135" s="1536"/>
      <c r="BH135" s="1536"/>
      <c r="BI135" s="1536"/>
      <c r="BJ135" s="1536"/>
      <c r="BK135" s="1536"/>
    </row>
    <row r="136" spans="1:63" ht="12" customHeight="1" x14ac:dyDescent="0.2">
      <c r="A136" s="940"/>
      <c r="B136" s="940"/>
      <c r="C136" s="940"/>
      <c r="D136" s="940"/>
      <c r="E136" s="940"/>
      <c r="F136" s="940"/>
      <c r="G136" s="940"/>
      <c r="H136" s="940"/>
      <c r="I136" s="940"/>
      <c r="J136" s="940"/>
      <c r="K136" s="940"/>
      <c r="L136" s="940"/>
      <c r="M136" s="940"/>
      <c r="N136" s="940"/>
      <c r="O136" s="940"/>
      <c r="P136" s="940"/>
      <c r="Q136" s="940"/>
      <c r="R136" s="940"/>
      <c r="S136" s="940"/>
      <c r="T136" s="940"/>
      <c r="V136" s="1536"/>
      <c r="W136" s="1536"/>
      <c r="X136" s="1535"/>
      <c r="Y136" s="1535"/>
      <c r="Z136" s="1535"/>
      <c r="AA136" s="1535"/>
      <c r="AB136" s="1535"/>
      <c r="AC136" s="1535"/>
      <c r="AD136" s="1535"/>
      <c r="AE136" s="1537"/>
      <c r="AF136" s="1535"/>
      <c r="AG136" s="1535"/>
      <c r="AH136" s="1535"/>
      <c r="AI136" s="1538"/>
      <c r="AJ136" s="1535"/>
      <c r="AK136" s="1535"/>
      <c r="AL136" s="1535"/>
      <c r="AM136" s="1535"/>
      <c r="AN136" s="1535"/>
      <c r="AO136" s="1535"/>
      <c r="AP136" s="1535"/>
      <c r="AQ136" s="1535"/>
      <c r="AR136" s="1535"/>
      <c r="AS136" s="1535"/>
      <c r="AT136" s="1536"/>
      <c r="AU136" s="1536"/>
      <c r="AV136" s="1536"/>
      <c r="AW136" s="1536"/>
      <c r="AX136" s="1536"/>
      <c r="AY136" s="1536"/>
      <c r="AZ136" s="1536"/>
      <c r="BA136" s="1536"/>
      <c r="BB136" s="1536"/>
      <c r="BC136" s="1536"/>
      <c r="BD136" s="1536"/>
      <c r="BE136" s="1536"/>
      <c r="BF136" s="1536"/>
      <c r="BG136" s="1536"/>
      <c r="BH136" s="1536"/>
      <c r="BI136" s="1536"/>
      <c r="BJ136" s="1536"/>
      <c r="BK136" s="1536"/>
    </row>
    <row r="137" spans="1:63" ht="12" customHeight="1" x14ac:dyDescent="0.2">
      <c r="A137" s="940"/>
      <c r="B137" s="940"/>
      <c r="C137" s="940"/>
      <c r="D137" s="940"/>
      <c r="E137" s="940"/>
      <c r="F137" s="940"/>
      <c r="G137" s="940"/>
      <c r="H137" s="940"/>
      <c r="I137" s="940"/>
      <c r="J137" s="940"/>
      <c r="K137" s="940"/>
      <c r="L137" s="940"/>
      <c r="M137" s="940"/>
      <c r="N137" s="940"/>
      <c r="O137" s="940"/>
      <c r="P137" s="940"/>
      <c r="Q137" s="940"/>
      <c r="R137" s="940"/>
      <c r="S137" s="940"/>
      <c r="T137" s="940"/>
      <c r="V137" s="1536"/>
      <c r="W137" s="1536"/>
      <c r="X137" s="1535"/>
      <c r="Y137" s="1535"/>
      <c r="Z137" s="1535"/>
      <c r="AA137" s="1535"/>
      <c r="AB137" s="1535"/>
      <c r="AC137" s="1535"/>
      <c r="AD137" s="1535"/>
      <c r="AE137" s="1537"/>
      <c r="AF137" s="1535"/>
      <c r="AG137" s="1535"/>
      <c r="AH137" s="1535"/>
      <c r="AI137" s="1538"/>
      <c r="AJ137" s="1535"/>
      <c r="AK137" s="1535"/>
      <c r="AL137" s="1535"/>
      <c r="AM137" s="1535"/>
      <c r="AN137" s="1535"/>
      <c r="AO137" s="1535"/>
      <c r="AP137" s="1535"/>
      <c r="AQ137" s="1535"/>
      <c r="AR137" s="1535"/>
      <c r="AS137" s="1535"/>
      <c r="AT137" s="1536"/>
      <c r="AU137" s="1536"/>
      <c r="AV137" s="1536"/>
      <c r="AW137" s="1536"/>
      <c r="AX137" s="1536"/>
      <c r="AY137" s="1536"/>
      <c r="AZ137" s="1536"/>
      <c r="BA137" s="1536"/>
      <c r="BB137" s="1536"/>
      <c r="BC137" s="1536"/>
      <c r="BD137" s="1536"/>
      <c r="BE137" s="1536"/>
      <c r="BF137" s="1536"/>
      <c r="BG137" s="1536"/>
      <c r="BH137" s="1536"/>
      <c r="BI137" s="1536"/>
      <c r="BJ137" s="1536"/>
      <c r="BK137" s="1536"/>
    </row>
    <row r="138" spans="1:63" ht="12" customHeight="1" x14ac:dyDescent="0.2">
      <c r="A138" s="940"/>
      <c r="H138" s="940"/>
      <c r="I138" s="940"/>
      <c r="J138" s="940"/>
      <c r="K138" s="940"/>
      <c r="L138" s="940"/>
      <c r="M138" s="940"/>
      <c r="N138" s="940"/>
      <c r="O138" s="940"/>
      <c r="P138" s="940"/>
      <c r="Q138" s="940"/>
      <c r="R138" s="940"/>
      <c r="S138" s="940"/>
      <c r="T138" s="940"/>
      <c r="V138" s="1536"/>
      <c r="W138" s="1536"/>
      <c r="X138" s="1535"/>
      <c r="Y138" s="1535"/>
      <c r="Z138" s="1535"/>
      <c r="AA138" s="1535"/>
      <c r="AB138" s="1535"/>
      <c r="AC138" s="1535"/>
      <c r="AD138" s="1535"/>
      <c r="AE138" s="1537"/>
      <c r="AF138" s="1535"/>
      <c r="AG138" s="1535"/>
      <c r="AH138" s="1535"/>
      <c r="AI138" s="1538"/>
      <c r="AJ138" s="1535"/>
      <c r="AK138" s="1535"/>
      <c r="AL138" s="1535"/>
      <c r="AM138" s="1535"/>
      <c r="AN138" s="1535"/>
      <c r="AO138" s="1535"/>
      <c r="AP138" s="1535"/>
      <c r="AQ138" s="1535"/>
      <c r="AR138" s="1535"/>
      <c r="AS138" s="1535"/>
      <c r="AT138" s="1536"/>
      <c r="AU138" s="1536"/>
      <c r="AV138" s="1536"/>
      <c r="AW138" s="1536"/>
      <c r="AX138" s="1536"/>
      <c r="AY138" s="1536"/>
      <c r="AZ138" s="1536"/>
      <c r="BA138" s="1536"/>
      <c r="BB138" s="1536"/>
      <c r="BC138" s="1536"/>
      <c r="BD138" s="1536"/>
      <c r="BE138" s="1536"/>
      <c r="BF138" s="1536"/>
      <c r="BG138" s="1536"/>
      <c r="BH138" s="1536"/>
      <c r="BI138" s="1536"/>
      <c r="BJ138" s="1536"/>
      <c r="BK138" s="1536"/>
    </row>
    <row r="139" spans="1:63" ht="12" customHeight="1" x14ac:dyDescent="0.2">
      <c r="A139" s="940"/>
      <c r="H139" s="940"/>
      <c r="I139" s="940"/>
      <c r="J139" s="940"/>
      <c r="K139" s="940"/>
      <c r="L139" s="940"/>
      <c r="M139" s="940"/>
      <c r="N139" s="940"/>
      <c r="O139" s="940"/>
      <c r="P139" s="940"/>
      <c r="Q139" s="940"/>
      <c r="R139" s="940"/>
      <c r="S139" s="940"/>
      <c r="T139" s="940"/>
      <c r="V139" s="1536"/>
      <c r="W139" s="1536"/>
      <c r="X139" s="1535"/>
      <c r="Y139" s="1535"/>
      <c r="Z139" s="1535"/>
      <c r="AA139" s="1535"/>
      <c r="AB139" s="1535"/>
      <c r="AC139" s="1535"/>
      <c r="AD139" s="1535"/>
      <c r="AE139" s="1537"/>
      <c r="AF139" s="1535"/>
      <c r="AG139" s="1535"/>
      <c r="AH139" s="1535"/>
      <c r="AI139" s="1538"/>
      <c r="AJ139" s="1535"/>
      <c r="AK139" s="1535"/>
      <c r="AL139" s="1535"/>
      <c r="AM139" s="1535"/>
      <c r="AN139" s="1535"/>
      <c r="AO139" s="1535"/>
      <c r="AP139" s="1535"/>
      <c r="AQ139" s="1535"/>
      <c r="AR139" s="1535"/>
      <c r="AS139" s="1535"/>
      <c r="AT139" s="1536"/>
      <c r="AU139" s="1536"/>
      <c r="AV139" s="1536"/>
      <c r="AW139" s="1536"/>
      <c r="AX139" s="1536"/>
      <c r="AY139" s="1536"/>
      <c r="AZ139" s="1536"/>
      <c r="BA139" s="1536"/>
      <c r="BB139" s="1536"/>
      <c r="BC139" s="1536"/>
      <c r="BD139" s="1536"/>
      <c r="BE139" s="1536"/>
      <c r="BF139" s="1536"/>
      <c r="BG139" s="1536"/>
      <c r="BH139" s="1536"/>
      <c r="BI139" s="1536"/>
      <c r="BJ139" s="1536"/>
      <c r="BK139" s="1536"/>
    </row>
    <row r="140" spans="1:63" ht="12" customHeight="1" x14ac:dyDescent="0.2">
      <c r="I140" s="924"/>
      <c r="J140" s="924"/>
      <c r="K140" s="924"/>
      <c r="L140" s="924"/>
      <c r="M140" s="924"/>
      <c r="N140" s="924"/>
      <c r="O140" s="924"/>
      <c r="P140" s="924"/>
      <c r="Q140" s="924"/>
      <c r="R140" s="924"/>
      <c r="S140" s="924"/>
      <c r="T140" s="924"/>
      <c r="V140" s="1536"/>
      <c r="W140" s="1536"/>
      <c r="X140" s="1535"/>
      <c r="Y140" s="1535"/>
      <c r="Z140" s="1535"/>
      <c r="AA140" s="1535"/>
      <c r="AB140" s="1535"/>
      <c r="AC140" s="1535"/>
      <c r="AD140" s="1535"/>
      <c r="AE140" s="1537"/>
      <c r="AF140" s="1535"/>
      <c r="AG140" s="1535"/>
      <c r="AH140" s="1535"/>
      <c r="AI140" s="1538"/>
      <c r="AJ140" s="1535"/>
      <c r="AK140" s="1535"/>
      <c r="AL140" s="1535"/>
      <c r="AM140" s="1535"/>
      <c r="AN140" s="1535"/>
      <c r="AO140" s="1535"/>
      <c r="AP140" s="1535"/>
      <c r="AQ140" s="1535"/>
      <c r="AR140" s="1535"/>
      <c r="AS140" s="1535"/>
      <c r="AT140" s="1536"/>
      <c r="AU140" s="1536"/>
      <c r="AV140" s="1536"/>
      <c r="AW140" s="1536"/>
      <c r="AX140" s="1536"/>
      <c r="AY140" s="1536"/>
      <c r="AZ140" s="1536"/>
      <c r="BA140" s="1536"/>
      <c r="BB140" s="1536"/>
      <c r="BC140" s="1536"/>
      <c r="BD140" s="1536"/>
      <c r="BE140" s="1536"/>
      <c r="BF140" s="1536"/>
      <c r="BG140" s="1536"/>
      <c r="BH140" s="1536"/>
      <c r="BI140" s="1536"/>
      <c r="BJ140" s="1536"/>
      <c r="BK140" s="1536"/>
    </row>
    <row r="141" spans="1:63" ht="12" customHeight="1" x14ac:dyDescent="0.2">
      <c r="I141" s="924"/>
      <c r="J141" s="924"/>
      <c r="K141" s="924"/>
      <c r="L141" s="924"/>
      <c r="M141" s="924"/>
      <c r="N141" s="924"/>
      <c r="O141" s="924"/>
      <c r="P141" s="924"/>
      <c r="Q141" s="924"/>
      <c r="R141" s="924"/>
      <c r="S141" s="924"/>
      <c r="T141" s="924"/>
      <c r="V141" s="1536"/>
      <c r="W141" s="1536"/>
      <c r="X141" s="1535"/>
      <c r="Y141" s="1535"/>
      <c r="Z141" s="1535"/>
      <c r="AA141" s="1535"/>
      <c r="AB141" s="1535"/>
      <c r="AC141" s="1535"/>
      <c r="AD141" s="1535"/>
      <c r="AE141" s="1537"/>
      <c r="AF141" s="1535"/>
      <c r="AG141" s="1535"/>
      <c r="AH141" s="1535"/>
      <c r="AI141" s="1538"/>
      <c r="AJ141" s="1535"/>
      <c r="AK141" s="1535"/>
      <c r="AL141" s="1535"/>
      <c r="AM141" s="1535"/>
      <c r="AN141" s="1535"/>
      <c r="AO141" s="1535"/>
      <c r="AP141" s="1535"/>
      <c r="AQ141" s="1535"/>
      <c r="AR141" s="1535"/>
      <c r="AS141" s="1535"/>
      <c r="AT141" s="1536"/>
      <c r="AU141" s="1536"/>
      <c r="AV141" s="1536"/>
      <c r="AW141" s="1536"/>
      <c r="AX141" s="1536"/>
      <c r="AY141" s="1536"/>
      <c r="AZ141" s="1536"/>
      <c r="BA141" s="1536"/>
      <c r="BB141" s="1536"/>
      <c r="BC141" s="1536"/>
      <c r="BD141" s="1536"/>
      <c r="BE141" s="1536"/>
      <c r="BF141" s="1536"/>
      <c r="BG141" s="1536"/>
      <c r="BH141" s="1536"/>
      <c r="BI141" s="1536"/>
      <c r="BJ141" s="1536"/>
      <c r="BK141" s="1536"/>
    </row>
    <row r="142" spans="1:63" ht="12" customHeight="1" x14ac:dyDescent="0.2">
      <c r="I142" s="924"/>
      <c r="J142" s="924"/>
      <c r="K142" s="924"/>
      <c r="L142" s="924"/>
      <c r="M142" s="924"/>
      <c r="N142" s="924"/>
      <c r="O142" s="924"/>
      <c r="P142" s="924"/>
      <c r="Q142" s="924"/>
      <c r="R142" s="924"/>
      <c r="S142" s="924"/>
      <c r="T142" s="924"/>
      <c r="V142" s="1536"/>
      <c r="W142" s="1536"/>
      <c r="X142" s="1535"/>
      <c r="Y142" s="1535"/>
      <c r="Z142" s="1535"/>
      <c r="AA142" s="1535"/>
      <c r="AB142" s="1535"/>
      <c r="AC142" s="1535"/>
      <c r="AD142" s="1535"/>
      <c r="AE142" s="1537"/>
      <c r="AF142" s="1535"/>
      <c r="AG142" s="1535"/>
      <c r="AH142" s="1535"/>
      <c r="AI142" s="1538"/>
      <c r="AJ142" s="1535"/>
      <c r="AK142" s="1535"/>
      <c r="AL142" s="1535"/>
      <c r="AM142" s="1535"/>
      <c r="AN142" s="1535"/>
      <c r="AO142" s="1535"/>
      <c r="AP142" s="1535"/>
      <c r="AQ142" s="1535"/>
      <c r="AR142" s="1535"/>
      <c r="AS142" s="1535"/>
      <c r="AT142" s="1536"/>
      <c r="AU142" s="1536"/>
      <c r="AV142" s="1536"/>
      <c r="AW142" s="1536"/>
      <c r="AX142" s="1536"/>
      <c r="AY142" s="1536"/>
      <c r="AZ142" s="1536"/>
      <c r="BA142" s="1536"/>
      <c r="BB142" s="1536"/>
      <c r="BC142" s="1536"/>
      <c r="BD142" s="1536"/>
      <c r="BE142" s="1536"/>
      <c r="BF142" s="1536"/>
      <c r="BG142" s="1536"/>
      <c r="BH142" s="1536"/>
      <c r="BI142" s="1536"/>
      <c r="BJ142" s="1536"/>
      <c r="BK142" s="1536"/>
    </row>
    <row r="143" spans="1:63" ht="12" customHeight="1" x14ac:dyDescent="0.2">
      <c r="I143" s="924"/>
      <c r="J143" s="924"/>
      <c r="K143" s="924"/>
      <c r="L143" s="924"/>
      <c r="M143" s="924"/>
      <c r="N143" s="924"/>
      <c r="O143" s="924"/>
      <c r="P143" s="924"/>
      <c r="Q143" s="924"/>
      <c r="R143" s="924"/>
      <c r="S143" s="924"/>
      <c r="T143" s="924"/>
      <c r="V143" s="1536"/>
      <c r="W143" s="1536"/>
      <c r="X143" s="1535"/>
      <c r="Y143" s="1535"/>
      <c r="Z143" s="1535"/>
      <c r="AA143" s="1535"/>
      <c r="AB143" s="1535"/>
      <c r="AC143" s="1535"/>
      <c r="AD143" s="1535"/>
      <c r="AE143" s="1537"/>
      <c r="AF143" s="1535"/>
      <c r="AG143" s="1535"/>
      <c r="AH143" s="1535"/>
      <c r="AI143" s="1538"/>
      <c r="AJ143" s="1535"/>
      <c r="AK143" s="1535"/>
      <c r="AL143" s="1535"/>
      <c r="AM143" s="1535"/>
      <c r="AN143" s="1535"/>
      <c r="AO143" s="1535"/>
      <c r="AP143" s="1535"/>
      <c r="AQ143" s="1535"/>
      <c r="AR143" s="1535"/>
      <c r="AS143" s="1535"/>
      <c r="AT143" s="1536"/>
      <c r="AU143" s="1536"/>
      <c r="AV143" s="1536"/>
      <c r="AW143" s="1536"/>
      <c r="AX143" s="1536"/>
      <c r="AY143" s="1536"/>
      <c r="AZ143" s="1536"/>
      <c r="BA143" s="1536"/>
      <c r="BB143" s="1536"/>
      <c r="BC143" s="1536"/>
      <c r="BD143" s="1536"/>
      <c r="BE143" s="1536"/>
      <c r="BF143" s="1536"/>
      <c r="BG143" s="1536"/>
      <c r="BH143" s="1536"/>
      <c r="BI143" s="1536"/>
      <c r="BJ143" s="1536"/>
      <c r="BK143" s="1536"/>
    </row>
    <row r="144" spans="1:63" ht="12" customHeight="1" x14ac:dyDescent="0.2">
      <c r="I144" s="924"/>
      <c r="J144" s="924"/>
      <c r="K144" s="924"/>
      <c r="L144" s="949"/>
      <c r="M144" s="949"/>
      <c r="N144" s="949"/>
      <c r="O144" s="924"/>
      <c r="P144" s="924"/>
      <c r="Q144" s="924"/>
      <c r="R144" s="924"/>
      <c r="S144" s="924"/>
      <c r="T144" s="924"/>
      <c r="V144" s="1536"/>
      <c r="W144" s="1536"/>
      <c r="X144" s="1535"/>
      <c r="Y144" s="1535"/>
      <c r="Z144" s="1535"/>
      <c r="AA144" s="1535"/>
      <c r="AB144" s="1535"/>
      <c r="AC144" s="1535"/>
      <c r="AD144" s="1535"/>
      <c r="AE144" s="1537"/>
      <c r="AF144" s="1535"/>
      <c r="AG144" s="1535"/>
      <c r="AH144" s="1535"/>
      <c r="AI144" s="1538"/>
      <c r="AJ144" s="1535"/>
      <c r="AK144" s="1535"/>
      <c r="AL144" s="1535"/>
      <c r="AM144" s="1535"/>
      <c r="AN144" s="1535"/>
      <c r="AO144" s="1535"/>
      <c r="AP144" s="1535"/>
      <c r="AQ144" s="1535"/>
      <c r="AR144" s="1535"/>
      <c r="AS144" s="1535"/>
      <c r="AT144" s="1536"/>
      <c r="AU144" s="1536"/>
      <c r="AV144" s="1536"/>
      <c r="AW144" s="1536"/>
      <c r="AX144" s="1536"/>
      <c r="AY144" s="1536"/>
      <c r="AZ144" s="1536"/>
      <c r="BA144" s="1536"/>
      <c r="BB144" s="1536"/>
      <c r="BC144" s="1536"/>
      <c r="BD144" s="1536"/>
      <c r="BE144" s="1536"/>
      <c r="BF144" s="1536"/>
      <c r="BG144" s="1536"/>
      <c r="BH144" s="1536"/>
      <c r="BI144" s="1536"/>
      <c r="BJ144" s="1536"/>
      <c r="BK144" s="1536"/>
    </row>
    <row r="145" spans="9:63" ht="12" customHeight="1" x14ac:dyDescent="0.2">
      <c r="I145" s="924"/>
      <c r="J145" s="924"/>
      <c r="K145" s="924"/>
      <c r="L145" s="924"/>
      <c r="M145" s="924"/>
      <c r="N145" s="924"/>
      <c r="O145" s="924"/>
      <c r="P145" s="924"/>
      <c r="Q145" s="924"/>
      <c r="R145" s="924"/>
      <c r="S145" s="924"/>
      <c r="T145" s="924"/>
      <c r="V145" s="1536"/>
      <c r="W145" s="1536"/>
      <c r="X145" s="1535"/>
      <c r="Y145" s="1535"/>
      <c r="Z145" s="1535"/>
      <c r="AA145" s="1535"/>
      <c r="AB145" s="1535"/>
      <c r="AC145" s="1535"/>
      <c r="AD145" s="1535"/>
      <c r="AE145" s="1537"/>
      <c r="AF145" s="1535"/>
      <c r="AG145" s="1535"/>
      <c r="AH145" s="1535"/>
      <c r="AI145" s="1538"/>
      <c r="AJ145" s="1535"/>
      <c r="AK145" s="1535"/>
      <c r="AL145" s="1535"/>
      <c r="AM145" s="1535"/>
      <c r="AN145" s="1535"/>
      <c r="AO145" s="1535"/>
      <c r="AP145" s="1535"/>
      <c r="AQ145" s="1535"/>
      <c r="AR145" s="1535"/>
      <c r="AS145" s="1535"/>
      <c r="AT145" s="1536"/>
      <c r="AU145" s="1536"/>
      <c r="AV145" s="1536"/>
      <c r="AW145" s="1536"/>
      <c r="AX145" s="1536"/>
      <c r="AY145" s="1536"/>
      <c r="AZ145" s="1536"/>
      <c r="BA145" s="1536"/>
      <c r="BB145" s="1536"/>
      <c r="BC145" s="1536"/>
      <c r="BD145" s="1536"/>
      <c r="BE145" s="1536"/>
      <c r="BF145" s="1536"/>
      <c r="BG145" s="1536"/>
      <c r="BH145" s="1536"/>
      <c r="BI145" s="1536"/>
      <c r="BJ145" s="1536"/>
      <c r="BK145" s="1536"/>
    </row>
    <row r="146" spans="9:63" ht="12" customHeight="1" x14ac:dyDescent="0.2">
      <c r="I146" s="924"/>
      <c r="J146" s="924"/>
      <c r="K146" s="924"/>
      <c r="L146" s="924"/>
      <c r="M146" s="924"/>
      <c r="N146" s="924"/>
      <c r="O146" s="924"/>
      <c r="P146" s="924"/>
      <c r="Q146" s="924"/>
      <c r="R146" s="924"/>
      <c r="S146" s="924"/>
      <c r="T146" s="924"/>
      <c r="V146" s="1536"/>
      <c r="W146" s="1536"/>
      <c r="X146" s="1535"/>
      <c r="Y146" s="1535"/>
      <c r="Z146" s="1535"/>
      <c r="AA146" s="1535"/>
      <c r="AB146" s="1535"/>
      <c r="AC146" s="1535"/>
      <c r="AD146" s="1535"/>
      <c r="AE146" s="1537"/>
      <c r="AF146" s="1535"/>
      <c r="AG146" s="1535"/>
      <c r="AH146" s="1535"/>
      <c r="AI146" s="1538"/>
      <c r="AJ146" s="1535"/>
      <c r="AK146" s="1535"/>
      <c r="AL146" s="1535"/>
      <c r="AM146" s="1535"/>
      <c r="AN146" s="1535"/>
      <c r="AO146" s="1535"/>
      <c r="AP146" s="1535"/>
      <c r="AQ146" s="1535"/>
      <c r="AR146" s="1535"/>
      <c r="AS146" s="1535"/>
      <c r="AT146" s="1536"/>
      <c r="AU146" s="1536"/>
      <c r="AV146" s="1536"/>
      <c r="AW146" s="1536"/>
      <c r="AX146" s="1536"/>
      <c r="AY146" s="1536"/>
      <c r="AZ146" s="1536"/>
      <c r="BA146" s="1536"/>
      <c r="BB146" s="1536"/>
      <c r="BC146" s="1536"/>
      <c r="BD146" s="1536"/>
      <c r="BE146" s="1536"/>
      <c r="BF146" s="1536"/>
      <c r="BG146" s="1536"/>
      <c r="BH146" s="1536"/>
      <c r="BI146" s="1536"/>
      <c r="BJ146" s="1536"/>
      <c r="BK146" s="1536"/>
    </row>
    <row r="147" spans="9:63" ht="12" customHeight="1" x14ac:dyDescent="0.2">
      <c r="I147" s="924"/>
      <c r="J147" s="924"/>
      <c r="K147" s="924"/>
      <c r="L147" s="924"/>
      <c r="M147" s="924"/>
      <c r="N147" s="924"/>
      <c r="O147" s="924"/>
      <c r="P147" s="924"/>
      <c r="Q147" s="924"/>
      <c r="R147" s="924"/>
      <c r="S147" s="924"/>
      <c r="T147" s="924"/>
      <c r="V147" s="1536"/>
      <c r="W147" s="1536"/>
      <c r="X147" s="1535"/>
      <c r="Y147" s="1535"/>
      <c r="Z147" s="1535"/>
      <c r="AA147" s="1535"/>
      <c r="AB147" s="1535"/>
      <c r="AC147" s="1535"/>
      <c r="AD147" s="1535"/>
      <c r="AE147" s="1537"/>
      <c r="AF147" s="1535"/>
      <c r="AG147" s="1535"/>
      <c r="AH147" s="1535"/>
      <c r="AI147" s="1538"/>
      <c r="AJ147" s="1535"/>
      <c r="AK147" s="1535"/>
      <c r="AL147" s="1535"/>
      <c r="AM147" s="1535"/>
      <c r="AN147" s="1535"/>
      <c r="AO147" s="1535"/>
      <c r="AP147" s="1535"/>
      <c r="AQ147" s="1535"/>
      <c r="AR147" s="1535"/>
      <c r="AS147" s="1535"/>
      <c r="AT147" s="1536"/>
      <c r="AU147" s="1536"/>
      <c r="AV147" s="1536"/>
      <c r="AW147" s="1536"/>
      <c r="AX147" s="1536"/>
      <c r="AY147" s="1536"/>
      <c r="AZ147" s="1536"/>
      <c r="BA147" s="1536"/>
      <c r="BB147" s="1536"/>
      <c r="BC147" s="1536"/>
      <c r="BD147" s="1536"/>
      <c r="BE147" s="1536"/>
      <c r="BF147" s="1536"/>
      <c r="BG147" s="1536"/>
      <c r="BH147" s="1536"/>
      <c r="BI147" s="1536"/>
      <c r="BJ147" s="1536"/>
      <c r="BK147" s="1536"/>
    </row>
    <row r="148" spans="9:63" ht="12" customHeight="1" x14ac:dyDescent="0.2">
      <c r="I148" s="924"/>
      <c r="J148" s="924"/>
      <c r="K148" s="924"/>
      <c r="L148" s="924"/>
      <c r="M148" s="924"/>
      <c r="N148" s="924"/>
      <c r="O148" s="924"/>
      <c r="P148" s="924"/>
      <c r="Q148" s="924"/>
      <c r="R148" s="924"/>
      <c r="S148" s="924"/>
      <c r="T148" s="924"/>
      <c r="V148" s="1536"/>
      <c r="W148" s="1536"/>
      <c r="X148" s="1535"/>
      <c r="Y148" s="1535"/>
      <c r="Z148" s="1535"/>
      <c r="AA148" s="1535"/>
      <c r="AB148" s="1535"/>
      <c r="AC148" s="1535"/>
      <c r="AD148" s="1535"/>
      <c r="AE148" s="1537"/>
      <c r="AF148" s="1535"/>
      <c r="AG148" s="1535"/>
      <c r="AH148" s="1535"/>
      <c r="AI148" s="1538"/>
      <c r="AJ148" s="1535"/>
      <c r="AK148" s="1535"/>
      <c r="AL148" s="1535"/>
      <c r="AM148" s="1535"/>
      <c r="AN148" s="1535"/>
      <c r="AO148" s="1535"/>
      <c r="AP148" s="1535"/>
      <c r="AQ148" s="1535"/>
      <c r="AR148" s="1535"/>
      <c r="AS148" s="1535"/>
      <c r="AT148" s="1536"/>
      <c r="AU148" s="1536"/>
      <c r="AV148" s="1536"/>
      <c r="AW148" s="1536"/>
      <c r="AX148" s="1536"/>
      <c r="AY148" s="1536"/>
      <c r="AZ148" s="1536"/>
      <c r="BA148" s="1536"/>
      <c r="BB148" s="1536"/>
      <c r="BC148" s="1536"/>
      <c r="BD148" s="1536"/>
      <c r="BE148" s="1536"/>
      <c r="BF148" s="1536"/>
      <c r="BG148" s="1536"/>
      <c r="BH148" s="1536"/>
      <c r="BI148" s="1536"/>
      <c r="BJ148" s="1536"/>
      <c r="BK148" s="1536"/>
    </row>
    <row r="149" spans="9:63" ht="12" customHeight="1" x14ac:dyDescent="0.2">
      <c r="I149" s="924"/>
      <c r="J149" s="924"/>
      <c r="K149" s="924"/>
      <c r="L149" s="924"/>
      <c r="M149" s="924"/>
      <c r="N149" s="924"/>
      <c r="O149" s="924"/>
      <c r="P149" s="924"/>
      <c r="Q149" s="924"/>
      <c r="R149" s="924"/>
      <c r="S149" s="924"/>
      <c r="T149" s="924"/>
      <c r="X149" s="924"/>
      <c r="Y149" s="924"/>
      <c r="Z149" s="924"/>
      <c r="AA149" s="924"/>
      <c r="AB149" s="924"/>
      <c r="AC149" s="925"/>
      <c r="AD149" s="925"/>
      <c r="AE149" s="946"/>
      <c r="AF149" s="925"/>
      <c r="AG149" s="925"/>
      <c r="AH149" s="925"/>
      <c r="AI149" s="948"/>
      <c r="AJ149" s="925"/>
      <c r="AK149" s="924"/>
      <c r="AL149" s="924"/>
      <c r="AM149" s="924"/>
      <c r="AN149" s="924"/>
      <c r="AO149" s="924"/>
      <c r="AP149" s="924"/>
      <c r="AQ149" s="924"/>
      <c r="AR149" s="924"/>
      <c r="AS149" s="924"/>
    </row>
    <row r="150" spans="9:63" ht="12" customHeight="1" x14ac:dyDescent="0.2">
      <c r="I150" s="924"/>
      <c r="J150" s="924"/>
      <c r="K150" s="924"/>
      <c r="L150" s="924"/>
      <c r="M150" s="924"/>
      <c r="N150" s="924"/>
      <c r="O150" s="924"/>
      <c r="P150" s="924"/>
      <c r="Q150" s="924"/>
      <c r="R150" s="924"/>
      <c r="S150" s="924"/>
      <c r="T150" s="924"/>
      <c r="X150" s="924"/>
      <c r="Y150" s="924"/>
      <c r="Z150" s="924"/>
      <c r="AA150" s="924"/>
      <c r="AB150" s="924"/>
      <c r="AC150" s="925"/>
      <c r="AD150" s="925"/>
      <c r="AE150" s="946"/>
      <c r="AF150" s="925"/>
      <c r="AG150" s="925"/>
      <c r="AH150" s="925"/>
      <c r="AI150" s="948"/>
      <c r="AJ150" s="925"/>
      <c r="AK150" s="924"/>
      <c r="AL150" s="924"/>
      <c r="AM150" s="924"/>
      <c r="AN150" s="924"/>
      <c r="AO150" s="924"/>
      <c r="AP150" s="924"/>
      <c r="AQ150" s="924"/>
      <c r="AR150" s="924"/>
      <c r="AS150" s="924"/>
    </row>
    <row r="151" spans="9:63" ht="12" customHeight="1" x14ac:dyDescent="0.2">
      <c r="I151" s="924"/>
      <c r="J151" s="924"/>
      <c r="K151" s="924"/>
      <c r="L151" s="924"/>
      <c r="M151" s="924"/>
      <c r="N151" s="924"/>
      <c r="O151" s="924"/>
      <c r="P151" s="924"/>
      <c r="Q151" s="924"/>
      <c r="R151" s="924"/>
      <c r="S151" s="924"/>
      <c r="T151" s="924"/>
      <c r="X151" s="924"/>
      <c r="Y151" s="924"/>
      <c r="Z151" s="924"/>
      <c r="AA151" s="924"/>
      <c r="AB151" s="924"/>
      <c r="AC151" s="925"/>
      <c r="AD151" s="925"/>
      <c r="AE151" s="946"/>
      <c r="AF151" s="925"/>
      <c r="AG151" s="925"/>
      <c r="AH151" s="925"/>
      <c r="AI151" s="948"/>
      <c r="AJ151" s="925"/>
      <c r="AK151" s="924"/>
      <c r="AL151" s="924"/>
      <c r="AM151" s="924"/>
      <c r="AN151" s="924"/>
      <c r="AO151" s="924"/>
      <c r="AP151" s="924"/>
      <c r="AQ151" s="924"/>
      <c r="AR151" s="924"/>
      <c r="AS151" s="924"/>
    </row>
    <row r="152" spans="9:63" ht="12" customHeight="1" x14ac:dyDescent="0.2">
      <c r="I152" s="924"/>
      <c r="J152" s="924"/>
      <c r="K152" s="924"/>
      <c r="L152" s="924"/>
      <c r="M152" s="924"/>
      <c r="N152" s="924"/>
      <c r="O152" s="924"/>
      <c r="P152" s="924"/>
      <c r="Q152" s="924"/>
      <c r="R152" s="924"/>
      <c r="S152" s="924"/>
      <c r="T152" s="924"/>
      <c r="X152" s="924"/>
      <c r="Y152" s="924"/>
      <c r="Z152" s="924"/>
      <c r="AA152" s="924"/>
      <c r="AB152" s="924"/>
      <c r="AC152" s="925"/>
      <c r="AD152" s="925"/>
      <c r="AE152" s="946"/>
      <c r="AF152" s="925"/>
      <c r="AG152" s="925"/>
      <c r="AH152" s="925"/>
      <c r="AI152" s="948"/>
      <c r="AJ152" s="925"/>
      <c r="AK152" s="924"/>
      <c r="AL152" s="924"/>
      <c r="AM152" s="924"/>
      <c r="AN152" s="924"/>
      <c r="AO152" s="924"/>
      <c r="AP152" s="924"/>
      <c r="AQ152" s="924"/>
      <c r="AR152" s="924"/>
      <c r="AS152" s="924"/>
    </row>
    <row r="153" spans="9:63" ht="12" customHeight="1" x14ac:dyDescent="0.2">
      <c r="I153" s="924"/>
      <c r="J153" s="924"/>
      <c r="K153" s="924"/>
      <c r="L153" s="924"/>
      <c r="M153" s="924"/>
      <c r="N153" s="924"/>
      <c r="O153" s="924"/>
      <c r="P153" s="924"/>
      <c r="Q153" s="924"/>
      <c r="R153" s="924"/>
      <c r="S153" s="924"/>
      <c r="T153" s="924"/>
      <c r="X153" s="924"/>
      <c r="Y153" s="924"/>
      <c r="Z153" s="924"/>
      <c r="AA153" s="924"/>
      <c r="AB153" s="924"/>
      <c r="AC153" s="925"/>
      <c r="AD153" s="925"/>
      <c r="AE153" s="946"/>
      <c r="AF153" s="925"/>
      <c r="AG153" s="925"/>
      <c r="AH153" s="925"/>
      <c r="AI153" s="948"/>
      <c r="AJ153" s="925"/>
      <c r="AK153" s="924"/>
      <c r="AL153" s="924"/>
      <c r="AM153" s="924"/>
      <c r="AN153" s="924"/>
      <c r="AO153" s="924"/>
      <c r="AP153" s="924"/>
      <c r="AQ153" s="924"/>
      <c r="AR153" s="924"/>
      <c r="AS153" s="924"/>
    </row>
    <row r="154" spans="9:63" ht="12" customHeight="1" x14ac:dyDescent="0.2">
      <c r="I154" s="924"/>
      <c r="J154" s="924"/>
      <c r="K154" s="924"/>
      <c r="L154" s="924"/>
      <c r="M154" s="924"/>
      <c r="N154" s="924"/>
      <c r="O154" s="924"/>
      <c r="P154" s="924"/>
      <c r="Q154" s="924"/>
      <c r="R154" s="924"/>
      <c r="S154" s="924"/>
      <c r="T154" s="924"/>
      <c r="X154" s="924"/>
      <c r="Y154" s="924"/>
      <c r="Z154" s="924"/>
      <c r="AA154" s="924"/>
      <c r="AB154" s="924"/>
      <c r="AC154" s="925"/>
      <c r="AD154" s="925"/>
      <c r="AE154" s="946"/>
      <c r="AF154" s="925"/>
      <c r="AG154" s="925"/>
      <c r="AH154" s="925"/>
      <c r="AI154" s="948"/>
      <c r="AJ154" s="925"/>
      <c r="AK154" s="924"/>
      <c r="AL154" s="924"/>
      <c r="AM154" s="924"/>
      <c r="AN154" s="924"/>
      <c r="AO154" s="924"/>
      <c r="AP154" s="924"/>
      <c r="AQ154" s="924"/>
      <c r="AR154" s="924"/>
      <c r="AS154" s="924"/>
    </row>
    <row r="155" spans="9:63" ht="12" customHeight="1" x14ac:dyDescent="0.2">
      <c r="I155" s="924"/>
      <c r="J155" s="924"/>
      <c r="K155" s="924"/>
      <c r="L155" s="924"/>
      <c r="M155" s="924"/>
      <c r="N155" s="924"/>
      <c r="O155" s="924"/>
      <c r="P155" s="924"/>
      <c r="Q155" s="924"/>
      <c r="R155" s="924"/>
      <c r="S155" s="924"/>
      <c r="T155" s="924"/>
      <c r="X155" s="924"/>
      <c r="Y155" s="924"/>
      <c r="Z155" s="924"/>
      <c r="AA155" s="924"/>
      <c r="AB155" s="924"/>
      <c r="AC155" s="925"/>
      <c r="AD155" s="925"/>
      <c r="AE155" s="946"/>
      <c r="AF155" s="925"/>
      <c r="AG155" s="925"/>
      <c r="AH155" s="925"/>
      <c r="AI155" s="948"/>
      <c r="AJ155" s="925"/>
      <c r="AK155" s="924"/>
      <c r="AL155" s="924"/>
      <c r="AM155" s="924"/>
      <c r="AN155" s="924"/>
      <c r="AO155" s="924"/>
      <c r="AP155" s="924"/>
      <c r="AQ155" s="924"/>
      <c r="AR155" s="924"/>
      <c r="AS155" s="924"/>
    </row>
    <row r="156" spans="9:63" ht="12" customHeight="1" x14ac:dyDescent="0.2">
      <c r="I156" s="924"/>
      <c r="J156" s="924"/>
      <c r="K156" s="924"/>
      <c r="L156" s="924"/>
      <c r="M156" s="924"/>
      <c r="N156" s="924"/>
      <c r="O156" s="924"/>
      <c r="P156" s="924"/>
      <c r="Q156" s="924"/>
      <c r="R156" s="924"/>
      <c r="S156" s="924"/>
      <c r="T156" s="924"/>
      <c r="X156" s="924"/>
      <c r="Y156" s="924"/>
      <c r="Z156" s="924"/>
      <c r="AA156" s="924"/>
      <c r="AB156" s="924"/>
      <c r="AC156" s="925"/>
      <c r="AD156" s="925"/>
      <c r="AE156" s="946"/>
      <c r="AF156" s="925"/>
      <c r="AG156" s="925"/>
      <c r="AH156" s="925"/>
      <c r="AI156" s="948"/>
      <c r="AJ156" s="925"/>
      <c r="AK156" s="924"/>
      <c r="AL156" s="924"/>
      <c r="AM156" s="924"/>
      <c r="AN156" s="924"/>
      <c r="AO156" s="924"/>
      <c r="AP156" s="924"/>
      <c r="AQ156" s="924"/>
      <c r="AR156" s="924"/>
      <c r="AS156" s="924"/>
    </row>
    <row r="157" spans="9:63" ht="12" customHeight="1" x14ac:dyDescent="0.2">
      <c r="I157" s="924"/>
      <c r="J157" s="924"/>
      <c r="K157" s="924"/>
      <c r="L157" s="924"/>
      <c r="M157" s="924"/>
      <c r="N157" s="924"/>
      <c r="O157" s="924"/>
      <c r="P157" s="924"/>
      <c r="Q157" s="924"/>
      <c r="R157" s="924"/>
      <c r="S157" s="924"/>
      <c r="T157" s="924"/>
      <c r="X157" s="924"/>
      <c r="Y157" s="924"/>
      <c r="Z157" s="924"/>
      <c r="AA157" s="924"/>
      <c r="AB157" s="924"/>
      <c r="AC157" s="925"/>
      <c r="AD157" s="925"/>
      <c r="AE157" s="946"/>
      <c r="AF157" s="925"/>
      <c r="AG157" s="925"/>
      <c r="AH157" s="925"/>
      <c r="AI157" s="948"/>
      <c r="AJ157" s="925"/>
      <c r="AK157" s="924"/>
      <c r="AL157" s="924"/>
      <c r="AM157" s="924"/>
      <c r="AN157" s="924"/>
      <c r="AO157" s="924"/>
      <c r="AP157" s="924"/>
      <c r="AQ157" s="924"/>
      <c r="AR157" s="924"/>
      <c r="AS157" s="924"/>
    </row>
    <row r="158" spans="9:63" ht="12" customHeight="1" x14ac:dyDescent="0.2">
      <c r="I158" s="924"/>
      <c r="J158" s="924"/>
      <c r="K158" s="924"/>
      <c r="L158" s="924"/>
      <c r="M158" s="924"/>
      <c r="N158" s="924"/>
      <c r="O158" s="924"/>
      <c r="P158" s="924"/>
      <c r="Q158" s="924"/>
      <c r="R158" s="924"/>
      <c r="S158" s="924"/>
      <c r="T158" s="924"/>
      <c r="X158" s="924"/>
      <c r="Y158" s="924"/>
      <c r="Z158" s="924"/>
      <c r="AA158" s="924"/>
      <c r="AB158" s="924"/>
      <c r="AC158" s="925"/>
      <c r="AD158" s="925"/>
      <c r="AE158" s="946"/>
      <c r="AF158" s="925"/>
      <c r="AG158" s="925"/>
      <c r="AH158" s="925"/>
      <c r="AI158" s="948"/>
      <c r="AJ158" s="925"/>
      <c r="AK158" s="924"/>
      <c r="AL158" s="924"/>
      <c r="AM158" s="924"/>
      <c r="AN158" s="924"/>
      <c r="AO158" s="924"/>
      <c r="AP158" s="924"/>
      <c r="AQ158" s="924"/>
      <c r="AR158" s="924"/>
      <c r="AS158" s="924"/>
    </row>
    <row r="159" spans="9:63" ht="12" customHeight="1" x14ac:dyDescent="0.2">
      <c r="I159" s="924"/>
      <c r="J159" s="924"/>
      <c r="K159" s="924"/>
      <c r="L159" s="924"/>
      <c r="M159" s="924"/>
      <c r="N159" s="924"/>
      <c r="O159" s="924"/>
      <c r="P159" s="924"/>
      <c r="Q159" s="924"/>
      <c r="R159" s="924"/>
      <c r="S159" s="924"/>
      <c r="T159" s="924"/>
      <c r="X159" s="924"/>
      <c r="Y159" s="924"/>
      <c r="Z159" s="924"/>
      <c r="AA159" s="924"/>
      <c r="AB159" s="924"/>
      <c r="AC159" s="925"/>
      <c r="AD159" s="925"/>
      <c r="AE159" s="946"/>
      <c r="AF159" s="925"/>
      <c r="AG159" s="925"/>
      <c r="AH159" s="925"/>
      <c r="AI159" s="948"/>
      <c r="AJ159" s="925"/>
      <c r="AK159" s="924"/>
      <c r="AL159" s="924"/>
      <c r="AM159" s="924"/>
      <c r="AN159" s="924"/>
      <c r="AO159" s="924"/>
      <c r="AP159" s="924"/>
      <c r="AQ159" s="924"/>
      <c r="AR159" s="924"/>
      <c r="AS159" s="924"/>
    </row>
    <row r="160" spans="9:63" ht="12" customHeight="1" x14ac:dyDescent="0.2">
      <c r="L160" s="924"/>
      <c r="M160" s="924"/>
      <c r="N160" s="924"/>
      <c r="O160" s="924"/>
      <c r="P160" s="924"/>
      <c r="Q160" s="924"/>
      <c r="R160" s="924"/>
      <c r="S160" s="924"/>
      <c r="T160" s="924"/>
      <c r="X160" s="924"/>
      <c r="Y160" s="924"/>
      <c r="Z160" s="924"/>
      <c r="AA160" s="924"/>
      <c r="AB160" s="924"/>
      <c r="AC160" s="925"/>
      <c r="AD160" s="925"/>
      <c r="AE160" s="946"/>
      <c r="AF160" s="925"/>
      <c r="AG160" s="925"/>
      <c r="AH160" s="925"/>
      <c r="AI160" s="948"/>
      <c r="AJ160" s="925"/>
      <c r="AK160" s="924"/>
      <c r="AL160" s="924"/>
      <c r="AM160" s="924"/>
      <c r="AN160" s="924"/>
      <c r="AO160" s="924"/>
      <c r="AP160" s="924"/>
      <c r="AQ160" s="924"/>
      <c r="AR160" s="924"/>
      <c r="AS160" s="924"/>
    </row>
    <row r="161" spans="12:45" ht="12" customHeight="1" x14ac:dyDescent="0.2">
      <c r="L161" s="924"/>
      <c r="M161" s="924"/>
      <c r="N161" s="924"/>
      <c r="O161" s="924"/>
      <c r="P161" s="924"/>
      <c r="Q161" s="924"/>
      <c r="R161" s="924"/>
      <c r="S161" s="924"/>
      <c r="T161" s="924"/>
      <c r="X161" s="924"/>
      <c r="Y161" s="924"/>
      <c r="Z161" s="924"/>
      <c r="AA161" s="924"/>
      <c r="AB161" s="924"/>
      <c r="AC161" s="925"/>
      <c r="AD161" s="925"/>
      <c r="AE161" s="946"/>
      <c r="AF161" s="925"/>
      <c r="AG161" s="925"/>
      <c r="AH161" s="925"/>
      <c r="AI161" s="948"/>
      <c r="AJ161" s="925"/>
      <c r="AK161" s="924"/>
      <c r="AL161" s="924"/>
      <c r="AM161" s="924"/>
      <c r="AN161" s="924"/>
      <c r="AO161" s="924"/>
      <c r="AP161" s="924"/>
      <c r="AQ161" s="924"/>
      <c r="AR161" s="924"/>
      <c r="AS161" s="924"/>
    </row>
    <row r="162" spans="12:45" ht="12" customHeight="1" x14ac:dyDescent="0.2">
      <c r="L162" s="924"/>
      <c r="M162" s="924"/>
      <c r="N162" s="924"/>
      <c r="P162" s="924"/>
      <c r="Q162" s="924"/>
      <c r="R162" s="924"/>
      <c r="S162" s="924"/>
      <c r="T162" s="924"/>
      <c r="X162" s="924"/>
      <c r="Y162" s="924"/>
      <c r="Z162" s="924"/>
      <c r="AA162" s="924"/>
      <c r="AB162" s="924"/>
      <c r="AC162" s="925"/>
      <c r="AD162" s="925"/>
      <c r="AE162" s="946"/>
      <c r="AF162" s="925"/>
      <c r="AG162" s="925"/>
      <c r="AH162" s="925"/>
      <c r="AI162" s="948"/>
      <c r="AJ162" s="925"/>
      <c r="AK162" s="924"/>
      <c r="AL162" s="924"/>
      <c r="AM162" s="924"/>
      <c r="AN162" s="924"/>
      <c r="AO162" s="924"/>
      <c r="AP162" s="924"/>
      <c r="AQ162" s="924"/>
      <c r="AR162" s="924"/>
      <c r="AS162" s="924"/>
    </row>
    <row r="163" spans="12:45" ht="12" customHeight="1" x14ac:dyDescent="0.2">
      <c r="L163" s="924"/>
      <c r="M163" s="924"/>
      <c r="N163" s="924"/>
      <c r="P163" s="924"/>
      <c r="Q163" s="924"/>
      <c r="R163" s="924"/>
      <c r="S163" s="924"/>
      <c r="T163" s="924"/>
      <c r="X163" s="924"/>
      <c r="Y163" s="924"/>
      <c r="Z163" s="924"/>
      <c r="AA163" s="924"/>
      <c r="AB163" s="924"/>
      <c r="AC163" s="925"/>
      <c r="AD163" s="925"/>
      <c r="AE163" s="946"/>
      <c r="AF163" s="925"/>
      <c r="AG163" s="925"/>
      <c r="AH163" s="925"/>
      <c r="AI163" s="948"/>
      <c r="AJ163" s="925"/>
      <c r="AK163" s="924"/>
      <c r="AL163" s="924"/>
      <c r="AM163" s="924"/>
      <c r="AN163" s="924"/>
      <c r="AO163" s="924"/>
      <c r="AP163" s="924"/>
      <c r="AQ163" s="924"/>
      <c r="AR163" s="924"/>
      <c r="AS163" s="924"/>
    </row>
    <row r="164" spans="12:45" x14ac:dyDescent="0.2">
      <c r="L164" s="924"/>
      <c r="M164" s="924"/>
      <c r="N164" s="924"/>
      <c r="AJ164" s="925"/>
    </row>
    <row r="165" spans="12:45" x14ac:dyDescent="0.2">
      <c r="L165" s="924"/>
      <c r="M165" s="924"/>
      <c r="N165" s="924"/>
    </row>
  </sheetData>
  <sheetProtection password="C82C" sheet="1" objects="1" scenarios="1" selectLockedCells="1"/>
  <mergeCells count="8">
    <mergeCell ref="B42:G42"/>
    <mergeCell ref="B27:G27"/>
    <mergeCell ref="D4:G6"/>
    <mergeCell ref="M13:O14"/>
    <mergeCell ref="I23:I24"/>
    <mergeCell ref="I7:N7"/>
    <mergeCell ref="C30:D30"/>
    <mergeCell ref="B34:D34"/>
  </mergeCells>
  <conditionalFormatting sqref="F11">
    <cfRule type="expression" dxfId="10" priority="11">
      <formula>$D$46&lt;&gt;0</formula>
    </cfRule>
  </conditionalFormatting>
  <conditionalFormatting sqref="F13">
    <cfRule type="expression" dxfId="9" priority="10">
      <formula>$D$47&lt;&gt;0</formula>
    </cfRule>
  </conditionalFormatting>
  <conditionalFormatting sqref="F15">
    <cfRule type="expression" dxfId="8" priority="9">
      <formula>$D$49&lt;&gt;0</formula>
    </cfRule>
  </conditionalFormatting>
  <conditionalFormatting sqref="F17">
    <cfRule type="expression" dxfId="7" priority="8">
      <formula>$D$51&lt;&gt;0</formula>
    </cfRule>
  </conditionalFormatting>
  <conditionalFormatting sqref="F19">
    <cfRule type="expression" dxfId="6" priority="7">
      <formula>$H$46&lt;&gt;0</formula>
    </cfRule>
  </conditionalFormatting>
  <conditionalFormatting sqref="F21">
    <cfRule type="expression" dxfId="5" priority="6">
      <formula>$H$47&lt;&gt;0</formula>
    </cfRule>
  </conditionalFormatting>
  <conditionalFormatting sqref="F23">
    <cfRule type="expression" dxfId="4" priority="5">
      <formula>$H$49&lt;&gt;0</formula>
    </cfRule>
  </conditionalFormatting>
  <conditionalFormatting sqref="F25">
    <cfRule type="expression" dxfId="3" priority="4">
      <formula>$H$51&lt;&gt;0</formula>
    </cfRule>
  </conditionalFormatting>
  <conditionalFormatting sqref="B32:C32">
    <cfRule type="expression" dxfId="2" priority="18">
      <formula>$C$30=$AH$106</formula>
    </cfRule>
  </conditionalFormatting>
  <conditionalFormatting sqref="I5:L5">
    <cfRule type="expression" dxfId="1" priority="2">
      <formula>$C$30="WACC"</formula>
    </cfRule>
  </conditionalFormatting>
  <conditionalFormatting sqref="E32:F32">
    <cfRule type="expression" dxfId="0" priority="1">
      <formula>$C$30=$AH$106</formula>
    </cfRule>
  </conditionalFormatting>
  <dataValidations count="3">
    <dataValidation type="list" allowBlank="1" showInputMessage="1" showErrorMessage="1" sqref="J53">
      <formula1>$AH$81:$AH$82</formula1>
    </dataValidation>
    <dataValidation type="list" allowBlank="1" showInputMessage="1" showErrorMessage="1" sqref="C30">
      <formula1>$AH$105:$AH$106</formula1>
    </dataValidation>
    <dataValidation type="list" allowBlank="1" showInputMessage="1" showErrorMessage="1" sqref="C7">
      <formula1>$B$54</formula1>
    </dataValidation>
  </dataValidations>
  <pageMargins left="0.70866141732283472" right="0.70866141732283472" top="0.74803149606299213" bottom="0.74803149606299213" header="0.31496062992125984" footer="0.31496062992125984"/>
  <pageSetup paperSize="9" scale="75" orientation="landscape"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'Feedstock Locations'!$E$12:$E$15</xm:f>
          </x14:formula1>
          <xm:sqref>C21</xm:sqref>
        </x14:dataValidation>
        <x14:dataValidation type="list" allowBlank="1" showInputMessage="1" showErrorMessage="1">
          <x14:formula1>
            <xm:f>'Feedstock Locations'!$E$26:$E$33</xm:f>
          </x14:formula1>
          <xm:sqref>C25</xm:sqref>
        </x14:dataValidation>
        <x14:dataValidation type="list" allowBlank="1" showInputMessage="1" showErrorMessage="1">
          <x14:formula1>
            <xm:f>'Feedstock Locations'!$E$7:$E$10</xm:f>
          </x14:formula1>
          <xm:sqref>C19</xm:sqref>
        </x14:dataValidation>
        <x14:dataValidation type="list" allowBlank="1" showInputMessage="1" showErrorMessage="1">
          <x14:formula1>
            <xm:f>'Feedstock Locations'!$E$17:$E$22</xm:f>
          </x14:formula1>
          <xm:sqref>C13</xm:sqref>
        </x14:dataValidation>
        <x14:dataValidation type="list" allowBlank="1" showInputMessage="1" showErrorMessage="1">
          <x14:formula1>
            <xm:f>'Feedstock Locations'!$E$24</xm:f>
          </x14:formula1>
          <xm:sqref>C17</xm:sqref>
        </x14:dataValidation>
        <x14:dataValidation type="list" allowBlank="1" showInputMessage="1" showErrorMessage="1">
          <x14:formula1>
            <xm:f>'Feedstock Locations'!$E$35</xm:f>
          </x14:formula1>
          <xm:sqref>C15</xm:sqref>
        </x14:dataValidation>
        <x14:dataValidation type="list" allowBlank="1" showInputMessage="1" showErrorMessage="1">
          <x14:formula1>
            <xm:f>'Feedstock Locations'!$E$44:$E$47</xm:f>
          </x14:formula1>
          <xm:sqref>C23</xm:sqref>
        </x14:dataValidation>
        <x14:dataValidation type="list" allowBlank="1" showInputMessage="1" showErrorMessage="1">
          <x14:formula1>
            <xm:f>'Feedstock Locations'!$E$37:$E$42</xm:f>
          </x14:formula1>
          <xm:sqref>C11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F4:U41"/>
  <sheetViews>
    <sheetView showGridLines="0" zoomScaleNormal="100" zoomScaleSheetLayoutView="100" workbookViewId="0">
      <selection activeCell="C6" sqref="C6"/>
    </sheetView>
  </sheetViews>
  <sheetFormatPr defaultRowHeight="12.75" x14ac:dyDescent="0.2"/>
  <cols>
    <col min="1" max="3" width="9.140625" style="617"/>
    <col min="4" max="5" width="9.140625" style="617" customWidth="1"/>
    <col min="6" max="20" width="9.140625" style="617"/>
    <col min="21" max="21" width="5.28515625" style="617" customWidth="1"/>
    <col min="22" max="16384" width="9.140625" style="617"/>
  </cols>
  <sheetData>
    <row r="4" spans="6:21" x14ac:dyDescent="0.2">
      <c r="F4" s="766"/>
      <c r="G4" s="766"/>
      <c r="H4" s="766"/>
      <c r="I4" s="766"/>
      <c r="J4" s="766"/>
      <c r="K4" s="766"/>
      <c r="L4" s="766"/>
      <c r="M4" s="766"/>
      <c r="N4" s="766"/>
      <c r="O4" s="766"/>
      <c r="P4" s="766"/>
      <c r="Q4" s="766"/>
      <c r="R4" s="766"/>
      <c r="S4" s="766"/>
      <c r="T4" s="766"/>
      <c r="U4" s="766"/>
    </row>
    <row r="5" spans="6:21" x14ac:dyDescent="0.2">
      <c r="F5" s="766"/>
      <c r="G5" s="766"/>
      <c r="H5" s="766"/>
      <c r="I5" s="766"/>
      <c r="J5" s="766"/>
      <c r="K5" s="766"/>
      <c r="L5" s="766"/>
      <c r="M5" s="766"/>
      <c r="N5" s="766"/>
      <c r="O5" s="766"/>
      <c r="P5" s="766"/>
      <c r="Q5" s="766"/>
      <c r="R5" s="766"/>
      <c r="S5" s="766"/>
      <c r="T5" s="766"/>
      <c r="U5" s="766"/>
    </row>
    <row r="6" spans="6:21" x14ac:dyDescent="0.2">
      <c r="F6" s="766"/>
      <c r="G6" s="766"/>
      <c r="H6" s="766"/>
      <c r="I6" s="766"/>
      <c r="J6" s="766"/>
      <c r="K6" s="766"/>
      <c r="L6" s="766"/>
      <c r="M6" s="766"/>
      <c r="N6" s="766"/>
      <c r="O6" s="766"/>
      <c r="P6" s="766"/>
      <c r="Q6" s="766"/>
      <c r="R6" s="766"/>
      <c r="S6" s="766"/>
      <c r="T6" s="766"/>
      <c r="U6" s="766"/>
    </row>
    <row r="7" spans="6:21" x14ac:dyDescent="0.2">
      <c r="F7" s="766"/>
      <c r="G7" s="766"/>
      <c r="H7" s="766"/>
      <c r="I7" s="766"/>
      <c r="J7" s="766"/>
      <c r="K7" s="766"/>
      <c r="L7" s="766"/>
      <c r="M7" s="766"/>
      <c r="N7" s="766"/>
      <c r="O7" s="766"/>
      <c r="P7" s="766"/>
      <c r="Q7" s="766"/>
      <c r="R7" s="766"/>
      <c r="S7" s="766"/>
      <c r="T7" s="766"/>
      <c r="U7" s="766"/>
    </row>
    <row r="8" spans="6:21" x14ac:dyDescent="0.2">
      <c r="F8" s="766"/>
      <c r="G8" s="766"/>
      <c r="H8" s="766"/>
      <c r="I8" s="766"/>
      <c r="J8" s="766"/>
      <c r="K8" s="766"/>
      <c r="L8" s="766"/>
      <c r="M8" s="766"/>
      <c r="N8" s="766"/>
      <c r="O8" s="766"/>
      <c r="P8" s="766"/>
      <c r="Q8" s="766"/>
      <c r="R8" s="766"/>
      <c r="S8" s="766"/>
      <c r="T8" s="766"/>
      <c r="U8" s="766"/>
    </row>
    <row r="9" spans="6:21" x14ac:dyDescent="0.2">
      <c r="F9" s="766"/>
      <c r="G9" s="766"/>
      <c r="H9" s="766"/>
      <c r="I9" s="766"/>
      <c r="J9" s="766"/>
      <c r="K9" s="766"/>
      <c r="L9" s="766"/>
      <c r="M9" s="766"/>
      <c r="N9" s="766"/>
      <c r="O9" s="766"/>
      <c r="P9" s="766"/>
      <c r="Q9" s="766"/>
      <c r="R9" s="766"/>
      <c r="S9" s="766"/>
      <c r="T9" s="766"/>
      <c r="U9" s="766"/>
    </row>
    <row r="10" spans="6:21" x14ac:dyDescent="0.2">
      <c r="F10" s="766"/>
      <c r="G10" s="766"/>
      <c r="H10" s="766"/>
      <c r="I10" s="766"/>
      <c r="J10" s="766"/>
      <c r="K10" s="766"/>
      <c r="L10" s="766"/>
      <c r="M10" s="766"/>
      <c r="N10" s="766"/>
      <c r="O10" s="766"/>
      <c r="P10" s="766"/>
      <c r="Q10" s="766"/>
      <c r="R10" s="766"/>
      <c r="S10" s="766"/>
      <c r="T10" s="766"/>
      <c r="U10" s="766"/>
    </row>
    <row r="11" spans="6:21" x14ac:dyDescent="0.2">
      <c r="F11" s="766"/>
      <c r="G11" s="766"/>
      <c r="H11" s="766"/>
      <c r="I11" s="766"/>
      <c r="J11" s="766"/>
      <c r="K11" s="766"/>
      <c r="L11" s="766"/>
      <c r="M11" s="766"/>
      <c r="N11" s="766"/>
      <c r="O11" s="766"/>
      <c r="P11" s="766"/>
      <c r="Q11" s="766"/>
      <c r="R11" s="766"/>
      <c r="S11" s="766"/>
      <c r="T11" s="766"/>
      <c r="U11" s="766"/>
    </row>
    <row r="12" spans="6:21" x14ac:dyDescent="0.2">
      <c r="F12" s="766"/>
      <c r="G12" s="766"/>
      <c r="H12" s="766"/>
      <c r="I12" s="766"/>
      <c r="J12" s="766"/>
      <c r="K12" s="766"/>
      <c r="L12" s="766"/>
      <c r="M12" s="766"/>
      <c r="N12" s="766"/>
      <c r="O12" s="766"/>
      <c r="P12" s="766"/>
      <c r="Q12" s="766"/>
      <c r="R12" s="766"/>
      <c r="S12" s="766"/>
      <c r="T12" s="766"/>
      <c r="U12" s="766"/>
    </row>
    <row r="13" spans="6:21" x14ac:dyDescent="0.2">
      <c r="F13" s="766"/>
      <c r="G13" s="766"/>
      <c r="H13" s="766"/>
      <c r="I13" s="766"/>
      <c r="J13" s="766"/>
      <c r="K13" s="766"/>
      <c r="L13" s="766"/>
      <c r="M13" s="766"/>
      <c r="N13" s="766"/>
      <c r="O13" s="766"/>
      <c r="P13" s="766"/>
      <c r="Q13" s="766"/>
      <c r="R13" s="766"/>
      <c r="S13" s="766"/>
      <c r="T13" s="766"/>
      <c r="U13" s="766"/>
    </row>
    <row r="14" spans="6:21" x14ac:dyDescent="0.2">
      <c r="F14" s="766"/>
      <c r="G14" s="766"/>
      <c r="H14" s="766"/>
      <c r="I14" s="766"/>
      <c r="J14" s="766"/>
      <c r="K14" s="766"/>
      <c r="L14" s="766"/>
      <c r="M14" s="766"/>
      <c r="N14" s="766"/>
      <c r="O14" s="766"/>
      <c r="P14" s="766"/>
      <c r="Q14" s="766"/>
      <c r="R14" s="766"/>
      <c r="S14" s="766"/>
      <c r="T14" s="766"/>
      <c r="U14" s="766"/>
    </row>
    <row r="15" spans="6:21" x14ac:dyDescent="0.2">
      <c r="F15" s="766"/>
      <c r="G15" s="766"/>
      <c r="H15" s="766"/>
      <c r="I15" s="766"/>
      <c r="J15" s="766"/>
      <c r="K15" s="766"/>
      <c r="L15" s="766"/>
      <c r="M15" s="766"/>
      <c r="N15" s="766"/>
      <c r="O15" s="766"/>
      <c r="P15" s="766"/>
      <c r="Q15" s="766"/>
      <c r="R15" s="766"/>
      <c r="S15" s="766"/>
      <c r="T15" s="766"/>
      <c r="U15" s="766"/>
    </row>
    <row r="16" spans="6:21" x14ac:dyDescent="0.2">
      <c r="F16" s="766"/>
      <c r="G16" s="766"/>
      <c r="H16" s="766"/>
      <c r="I16" s="766"/>
      <c r="J16" s="766"/>
      <c r="K16" s="766"/>
      <c r="L16" s="766"/>
      <c r="M16" s="766"/>
      <c r="N16" s="766"/>
      <c r="O16" s="766"/>
      <c r="P16" s="766"/>
      <c r="Q16" s="766"/>
      <c r="R16" s="766"/>
      <c r="S16" s="766"/>
      <c r="T16" s="766"/>
      <c r="U16" s="766"/>
    </row>
    <row r="17" spans="6:21" x14ac:dyDescent="0.2">
      <c r="F17" s="766"/>
      <c r="G17" s="766"/>
      <c r="H17" s="766"/>
      <c r="I17" s="766"/>
      <c r="J17" s="766"/>
      <c r="K17" s="766"/>
      <c r="L17" s="766"/>
      <c r="M17" s="766"/>
      <c r="N17" s="766"/>
      <c r="O17" s="766"/>
      <c r="P17" s="766"/>
      <c r="Q17" s="766"/>
      <c r="R17" s="766"/>
      <c r="S17" s="766"/>
      <c r="T17" s="766"/>
      <c r="U17" s="766"/>
    </row>
    <row r="18" spans="6:21" x14ac:dyDescent="0.2">
      <c r="F18" s="766"/>
      <c r="G18" s="766"/>
      <c r="H18" s="766"/>
      <c r="I18" s="766"/>
      <c r="J18" s="766"/>
      <c r="K18" s="766"/>
      <c r="L18" s="766"/>
      <c r="M18" s="766"/>
      <c r="N18" s="766"/>
      <c r="O18" s="766"/>
      <c r="P18" s="766"/>
      <c r="Q18" s="766"/>
      <c r="R18" s="766"/>
      <c r="S18" s="766"/>
      <c r="T18" s="766"/>
      <c r="U18" s="766"/>
    </row>
    <row r="19" spans="6:21" x14ac:dyDescent="0.2">
      <c r="F19" s="766"/>
      <c r="G19" s="766"/>
      <c r="H19" s="766"/>
      <c r="I19" s="766"/>
      <c r="J19" s="766"/>
      <c r="K19" s="766"/>
      <c r="L19" s="766"/>
      <c r="M19" s="766"/>
      <c r="N19" s="766"/>
      <c r="O19" s="766"/>
      <c r="P19" s="766"/>
      <c r="Q19" s="766"/>
      <c r="R19" s="766"/>
      <c r="S19" s="766"/>
      <c r="T19" s="766"/>
      <c r="U19" s="766"/>
    </row>
    <row r="20" spans="6:21" x14ac:dyDescent="0.2">
      <c r="F20" s="766"/>
      <c r="G20" s="766"/>
      <c r="H20" s="766"/>
      <c r="I20" s="766"/>
      <c r="J20" s="766"/>
      <c r="K20" s="766"/>
      <c r="L20" s="766"/>
      <c r="M20" s="766"/>
      <c r="N20" s="766"/>
      <c r="O20" s="766"/>
      <c r="P20" s="766"/>
      <c r="Q20" s="766"/>
      <c r="R20" s="766"/>
      <c r="S20" s="766"/>
      <c r="T20" s="766"/>
      <c r="U20" s="766"/>
    </row>
    <row r="21" spans="6:21" x14ac:dyDescent="0.2">
      <c r="F21" s="766"/>
      <c r="G21" s="766"/>
      <c r="H21" s="766"/>
      <c r="I21" s="766"/>
      <c r="J21" s="766"/>
      <c r="K21" s="766"/>
      <c r="L21" s="766"/>
      <c r="M21" s="766"/>
      <c r="N21" s="766"/>
      <c r="O21" s="766"/>
      <c r="P21" s="766"/>
      <c r="Q21" s="766"/>
      <c r="R21" s="766"/>
      <c r="S21" s="766"/>
      <c r="T21" s="766"/>
      <c r="U21" s="766"/>
    </row>
    <row r="22" spans="6:21" x14ac:dyDescent="0.2">
      <c r="F22" s="766"/>
      <c r="G22" s="766"/>
      <c r="H22" s="766"/>
      <c r="I22" s="766"/>
      <c r="J22" s="766"/>
      <c r="K22" s="766"/>
      <c r="L22" s="766"/>
      <c r="M22" s="766"/>
      <c r="N22" s="766"/>
      <c r="O22" s="766"/>
      <c r="P22" s="766"/>
      <c r="Q22" s="766"/>
      <c r="R22" s="766"/>
      <c r="S22" s="766"/>
      <c r="T22" s="766"/>
      <c r="U22" s="766"/>
    </row>
    <row r="23" spans="6:21" x14ac:dyDescent="0.2">
      <c r="F23" s="766"/>
      <c r="G23" s="766"/>
      <c r="H23" s="766"/>
      <c r="I23" s="766"/>
      <c r="J23" s="766"/>
      <c r="K23" s="766"/>
      <c r="L23" s="766"/>
      <c r="M23" s="766"/>
      <c r="N23" s="766"/>
      <c r="O23" s="766"/>
      <c r="P23" s="766"/>
      <c r="Q23" s="766"/>
      <c r="R23" s="766"/>
      <c r="S23" s="766"/>
      <c r="T23" s="766"/>
      <c r="U23" s="766"/>
    </row>
    <row r="24" spans="6:21" x14ac:dyDescent="0.2">
      <c r="F24" s="766"/>
      <c r="G24" s="766"/>
      <c r="H24" s="766"/>
      <c r="I24" s="766"/>
      <c r="J24" s="766"/>
      <c r="K24" s="766"/>
      <c r="L24" s="766"/>
      <c r="M24" s="766"/>
      <c r="N24" s="766"/>
      <c r="O24" s="766"/>
      <c r="P24" s="766"/>
      <c r="Q24" s="766"/>
      <c r="R24" s="766"/>
      <c r="S24" s="766"/>
      <c r="T24" s="766"/>
      <c r="U24" s="766"/>
    </row>
    <row r="25" spans="6:21" x14ac:dyDescent="0.2">
      <c r="F25" s="766"/>
      <c r="G25" s="766"/>
      <c r="H25" s="766"/>
      <c r="I25" s="766"/>
      <c r="J25" s="766"/>
      <c r="K25" s="766"/>
      <c r="L25" s="766"/>
      <c r="M25" s="766"/>
      <c r="N25" s="766"/>
      <c r="O25" s="766"/>
      <c r="P25" s="766"/>
      <c r="Q25" s="766"/>
      <c r="R25" s="766"/>
      <c r="S25" s="766"/>
      <c r="T25" s="766"/>
      <c r="U25" s="766"/>
    </row>
    <row r="26" spans="6:21" x14ac:dyDescent="0.2">
      <c r="F26" s="766"/>
      <c r="G26" s="766"/>
      <c r="H26" s="766"/>
      <c r="I26" s="766"/>
      <c r="J26" s="766"/>
      <c r="K26" s="766"/>
      <c r="L26" s="766"/>
      <c r="M26" s="766"/>
      <c r="N26" s="766"/>
      <c r="O26" s="766"/>
      <c r="P26" s="766"/>
      <c r="Q26" s="766"/>
      <c r="R26" s="766"/>
      <c r="S26" s="766"/>
      <c r="T26" s="766"/>
      <c r="U26" s="766"/>
    </row>
    <row r="27" spans="6:21" x14ac:dyDescent="0.2">
      <c r="F27" s="766"/>
      <c r="G27" s="766"/>
      <c r="H27" s="766"/>
      <c r="I27" s="766"/>
      <c r="J27" s="766"/>
      <c r="K27" s="766"/>
      <c r="L27" s="766"/>
      <c r="M27" s="766"/>
      <c r="N27" s="766"/>
      <c r="O27" s="766"/>
      <c r="P27" s="766"/>
      <c r="Q27" s="766"/>
      <c r="R27" s="766"/>
      <c r="S27" s="766"/>
      <c r="T27" s="766"/>
      <c r="U27" s="766"/>
    </row>
    <row r="28" spans="6:21" x14ac:dyDescent="0.2">
      <c r="F28" s="766"/>
      <c r="G28" s="766"/>
      <c r="H28" s="766"/>
      <c r="I28" s="766"/>
      <c r="J28" s="766"/>
      <c r="K28" s="766"/>
      <c r="L28" s="766"/>
      <c r="M28" s="766"/>
      <c r="N28" s="766"/>
      <c r="O28" s="766"/>
      <c r="P28" s="766"/>
      <c r="Q28" s="766"/>
      <c r="R28" s="766"/>
      <c r="S28" s="766"/>
      <c r="T28" s="766"/>
      <c r="U28" s="766"/>
    </row>
    <row r="29" spans="6:21" x14ac:dyDescent="0.2">
      <c r="F29" s="766"/>
      <c r="G29" s="766"/>
      <c r="H29" s="766"/>
      <c r="I29" s="766"/>
      <c r="J29" s="766"/>
      <c r="K29" s="766"/>
      <c r="L29" s="766"/>
      <c r="M29" s="766"/>
      <c r="N29" s="766"/>
      <c r="O29" s="766"/>
      <c r="P29" s="766"/>
      <c r="Q29" s="766"/>
      <c r="R29" s="766"/>
      <c r="S29" s="766"/>
      <c r="T29" s="766"/>
      <c r="U29" s="766"/>
    </row>
    <row r="30" spans="6:21" x14ac:dyDescent="0.2">
      <c r="F30" s="766"/>
      <c r="G30" s="766"/>
      <c r="H30" s="766"/>
      <c r="I30" s="766"/>
      <c r="J30" s="766"/>
      <c r="K30" s="766"/>
      <c r="L30" s="766"/>
      <c r="M30" s="766"/>
      <c r="N30" s="766"/>
      <c r="O30" s="766"/>
      <c r="P30" s="766"/>
      <c r="Q30" s="766"/>
      <c r="R30" s="766"/>
      <c r="S30" s="766"/>
      <c r="T30" s="766"/>
      <c r="U30" s="766"/>
    </row>
    <row r="31" spans="6:21" x14ac:dyDescent="0.2">
      <c r="F31" s="766"/>
      <c r="G31" s="766"/>
      <c r="H31" s="766"/>
      <c r="I31" s="766"/>
      <c r="J31" s="766"/>
      <c r="K31" s="766"/>
      <c r="L31" s="766"/>
      <c r="M31" s="766"/>
      <c r="N31" s="766"/>
      <c r="O31" s="766"/>
      <c r="P31" s="766"/>
      <c r="Q31" s="766"/>
      <c r="R31" s="766"/>
      <c r="S31" s="766"/>
      <c r="T31" s="766"/>
      <c r="U31" s="766"/>
    </row>
    <row r="32" spans="6:21" x14ac:dyDescent="0.2">
      <c r="F32" s="766"/>
      <c r="G32" s="766"/>
      <c r="H32" s="766"/>
      <c r="I32" s="766"/>
      <c r="J32" s="766"/>
      <c r="K32" s="766"/>
      <c r="L32" s="766"/>
      <c r="M32" s="766"/>
      <c r="N32" s="766"/>
      <c r="O32" s="766"/>
      <c r="P32" s="766"/>
      <c r="Q32" s="766"/>
      <c r="R32" s="766"/>
      <c r="S32" s="766"/>
      <c r="T32" s="766"/>
      <c r="U32" s="766"/>
    </row>
    <row r="33" spans="6:21" x14ac:dyDescent="0.2">
      <c r="F33" s="766"/>
      <c r="G33" s="766"/>
      <c r="H33" s="766"/>
      <c r="I33" s="766"/>
      <c r="J33" s="766"/>
      <c r="K33" s="766"/>
      <c r="L33" s="766"/>
      <c r="M33" s="766"/>
      <c r="N33" s="766"/>
      <c r="O33" s="766"/>
      <c r="P33" s="766"/>
      <c r="Q33" s="766"/>
      <c r="R33" s="766"/>
      <c r="S33" s="766"/>
      <c r="T33" s="766"/>
      <c r="U33" s="766"/>
    </row>
    <row r="34" spans="6:21" x14ac:dyDescent="0.2">
      <c r="F34" s="766"/>
      <c r="G34" s="766"/>
      <c r="H34" s="766"/>
      <c r="I34" s="766"/>
      <c r="J34" s="766"/>
      <c r="K34" s="766"/>
      <c r="L34" s="766"/>
      <c r="M34" s="766"/>
      <c r="N34" s="766"/>
      <c r="O34" s="766"/>
      <c r="P34" s="766"/>
      <c r="Q34" s="766"/>
      <c r="R34" s="766"/>
      <c r="S34" s="766"/>
      <c r="T34" s="766"/>
      <c r="U34" s="766"/>
    </row>
    <row r="35" spans="6:21" x14ac:dyDescent="0.2">
      <c r="F35" s="766"/>
      <c r="G35" s="766"/>
      <c r="H35" s="766"/>
      <c r="I35" s="766"/>
      <c r="J35" s="766"/>
      <c r="K35" s="766"/>
      <c r="L35" s="766"/>
      <c r="M35" s="766"/>
      <c r="N35" s="766"/>
      <c r="O35" s="766"/>
      <c r="P35" s="766"/>
      <c r="Q35" s="766"/>
      <c r="R35" s="766"/>
      <c r="S35" s="766"/>
      <c r="T35" s="766"/>
      <c r="U35" s="766"/>
    </row>
    <row r="36" spans="6:21" x14ac:dyDescent="0.2">
      <c r="F36" s="766"/>
      <c r="G36" s="766"/>
      <c r="H36" s="766"/>
      <c r="I36" s="766"/>
      <c r="J36" s="766"/>
      <c r="K36" s="766"/>
      <c r="L36" s="766"/>
      <c r="M36" s="766"/>
      <c r="N36" s="766"/>
      <c r="O36" s="766"/>
      <c r="P36" s="766"/>
      <c r="Q36" s="766"/>
      <c r="R36" s="766"/>
      <c r="S36" s="766"/>
      <c r="T36" s="766"/>
      <c r="U36" s="766"/>
    </row>
    <row r="37" spans="6:21" x14ac:dyDescent="0.2">
      <c r="F37" s="766"/>
      <c r="G37" s="766"/>
      <c r="H37" s="766"/>
      <c r="I37" s="766"/>
      <c r="J37" s="766"/>
      <c r="K37" s="766"/>
      <c r="L37" s="766"/>
      <c r="M37" s="766"/>
      <c r="N37" s="766"/>
      <c r="O37" s="766"/>
      <c r="P37" s="766"/>
      <c r="Q37" s="766"/>
      <c r="R37" s="766"/>
      <c r="S37" s="766"/>
      <c r="T37" s="766"/>
      <c r="U37" s="766"/>
    </row>
    <row r="38" spans="6:21" x14ac:dyDescent="0.2">
      <c r="F38" s="766"/>
      <c r="G38" s="766"/>
      <c r="H38" s="766"/>
      <c r="I38" s="766"/>
      <c r="J38" s="766"/>
      <c r="K38" s="766"/>
      <c r="L38" s="766"/>
      <c r="M38" s="766"/>
      <c r="N38" s="766"/>
      <c r="O38" s="766"/>
      <c r="P38" s="766"/>
      <c r="Q38" s="766"/>
      <c r="R38" s="766"/>
      <c r="S38" s="766"/>
      <c r="T38" s="766"/>
      <c r="U38" s="766"/>
    </row>
    <row r="39" spans="6:21" x14ac:dyDescent="0.2">
      <c r="F39" s="766"/>
      <c r="G39" s="766"/>
      <c r="H39" s="766"/>
      <c r="I39" s="766"/>
      <c r="J39" s="766"/>
      <c r="K39" s="766"/>
      <c r="L39" s="766"/>
      <c r="M39" s="766"/>
      <c r="N39" s="766"/>
      <c r="O39" s="766"/>
      <c r="P39" s="766"/>
      <c r="Q39" s="766"/>
      <c r="R39" s="766"/>
      <c r="S39" s="766"/>
      <c r="T39" s="766"/>
      <c r="U39" s="766"/>
    </row>
    <row r="40" spans="6:21" x14ac:dyDescent="0.2">
      <c r="F40" s="766"/>
      <c r="G40" s="766"/>
      <c r="H40" s="766"/>
      <c r="I40" s="766"/>
      <c r="J40" s="766"/>
      <c r="K40" s="766"/>
      <c r="L40" s="766"/>
      <c r="M40" s="766"/>
      <c r="N40" s="766"/>
      <c r="O40" s="766"/>
      <c r="P40" s="766"/>
      <c r="Q40" s="766"/>
      <c r="R40" s="766"/>
      <c r="S40" s="766"/>
      <c r="T40" s="766"/>
      <c r="U40" s="766"/>
    </row>
    <row r="41" spans="6:21" ht="18" customHeight="1" x14ac:dyDescent="0.2">
      <c r="F41" s="766"/>
      <c r="G41" s="766"/>
      <c r="H41" s="766"/>
      <c r="I41" s="766"/>
      <c r="J41" s="766"/>
      <c r="K41" s="766"/>
      <c r="L41" s="766"/>
      <c r="M41" s="766"/>
      <c r="N41" s="766"/>
      <c r="O41" s="766"/>
      <c r="P41" s="766"/>
      <c r="Q41" s="766"/>
      <c r="R41" s="766"/>
      <c r="S41" s="766"/>
      <c r="T41" s="766"/>
      <c r="U41" s="766"/>
    </row>
  </sheetData>
  <sheetProtection password="C82C" sheet="1" scenarios="1" selectLockedCells="1" selectUnlockedCells="1"/>
  <printOptions horizontalCentered="1" verticalCentered="1"/>
  <pageMargins left="0.70866141732283472" right="0.70866141732283472" top="0.98425196850393704" bottom="0.70866141732283472" header="0.31496062992125984" footer="0.31496062992125984"/>
  <pageSetup paperSize="9" scale="93" orientation="landscape" r:id="rId1"/>
  <headerFooter>
    <oddHeader>&amp;LPUBLIC&amp;CEfficient Costs of New Entrant Ethanol Producers&amp;R&amp;G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fitToPage="1"/>
  </sheetPr>
  <dimension ref="F1:U40"/>
  <sheetViews>
    <sheetView showGridLines="0" zoomScaleNormal="100" zoomScaleSheetLayoutView="100" workbookViewId="0">
      <selection activeCell="B6" sqref="B6"/>
    </sheetView>
  </sheetViews>
  <sheetFormatPr defaultRowHeight="12.75" x14ac:dyDescent="0.2"/>
  <cols>
    <col min="1" max="20" width="9.140625" style="656"/>
    <col min="21" max="21" width="4.85546875" style="656" customWidth="1"/>
    <col min="22" max="16384" width="9.140625" style="656"/>
  </cols>
  <sheetData>
    <row r="1" spans="6:21" ht="16.5" customHeight="1" x14ac:dyDescent="0.2"/>
    <row r="2" spans="6:21" ht="9" customHeight="1" x14ac:dyDescent="0.2"/>
    <row r="3" spans="6:21" x14ac:dyDescent="0.2">
      <c r="F3" s="515"/>
      <c r="G3" s="515"/>
      <c r="H3" s="515"/>
      <c r="I3" s="515"/>
      <c r="J3" s="515"/>
      <c r="K3" s="515"/>
      <c r="L3" s="515"/>
      <c r="M3" s="515"/>
      <c r="N3" s="515"/>
      <c r="O3" s="515"/>
      <c r="P3" s="515"/>
      <c r="Q3" s="515"/>
      <c r="R3" s="515"/>
      <c r="S3" s="515"/>
      <c r="T3" s="515"/>
      <c r="U3" s="515"/>
    </row>
    <row r="4" spans="6:21" x14ac:dyDescent="0.2">
      <c r="F4" s="515"/>
      <c r="G4" s="515"/>
      <c r="H4" s="515"/>
      <c r="I4" s="515"/>
      <c r="J4" s="515"/>
      <c r="K4" s="515"/>
      <c r="L4" s="515"/>
      <c r="M4" s="515"/>
      <c r="N4" s="515"/>
      <c r="O4" s="515"/>
      <c r="P4" s="515"/>
      <c r="Q4" s="515"/>
      <c r="R4" s="515"/>
      <c r="S4" s="515"/>
      <c r="T4" s="515"/>
      <c r="U4" s="515"/>
    </row>
    <row r="5" spans="6:21" x14ac:dyDescent="0.2">
      <c r="F5" s="515"/>
      <c r="G5" s="515"/>
      <c r="H5" s="515"/>
      <c r="I5" s="515"/>
      <c r="J5" s="515"/>
      <c r="K5" s="515"/>
      <c r="L5" s="515"/>
      <c r="M5" s="515"/>
      <c r="N5" s="515"/>
      <c r="O5" s="515"/>
      <c r="P5" s="515"/>
      <c r="Q5" s="515"/>
      <c r="R5" s="515"/>
      <c r="S5" s="515"/>
      <c r="T5" s="515"/>
      <c r="U5" s="515"/>
    </row>
    <row r="6" spans="6:21" x14ac:dyDescent="0.2">
      <c r="F6" s="515"/>
      <c r="G6" s="515"/>
      <c r="H6" s="515"/>
      <c r="I6" s="515"/>
      <c r="J6" s="515"/>
      <c r="K6" s="515"/>
      <c r="L6" s="515"/>
      <c r="M6" s="515"/>
      <c r="N6" s="515"/>
      <c r="O6" s="515"/>
      <c r="P6" s="515"/>
      <c r="Q6" s="515"/>
      <c r="R6" s="515"/>
      <c r="S6" s="515"/>
      <c r="T6" s="515"/>
      <c r="U6" s="515"/>
    </row>
    <row r="7" spans="6:21" x14ac:dyDescent="0.2">
      <c r="F7" s="515"/>
      <c r="G7" s="515"/>
      <c r="H7" s="515"/>
      <c r="I7" s="515"/>
      <c r="J7" s="515"/>
      <c r="K7" s="515"/>
      <c r="L7" s="515"/>
      <c r="M7" s="515"/>
      <c r="N7" s="515"/>
      <c r="O7" s="515"/>
      <c r="P7" s="515"/>
      <c r="Q7" s="515"/>
      <c r="R7" s="515"/>
      <c r="S7" s="515"/>
      <c r="T7" s="515"/>
      <c r="U7" s="515"/>
    </row>
    <row r="8" spans="6:21" x14ac:dyDescent="0.2">
      <c r="F8" s="515"/>
      <c r="G8" s="515"/>
      <c r="H8" s="515"/>
      <c r="I8" s="515"/>
      <c r="J8" s="515"/>
      <c r="K8" s="515"/>
      <c r="L8" s="515"/>
      <c r="M8" s="515"/>
      <c r="N8" s="515"/>
      <c r="O8" s="515"/>
      <c r="P8" s="515"/>
      <c r="Q8" s="515"/>
      <c r="R8" s="515"/>
      <c r="S8" s="515"/>
      <c r="T8" s="515"/>
      <c r="U8" s="515"/>
    </row>
    <row r="9" spans="6:21" x14ac:dyDescent="0.2">
      <c r="F9" s="515"/>
      <c r="G9" s="515"/>
      <c r="H9" s="515"/>
      <c r="I9" s="515"/>
      <c r="J9" s="515"/>
      <c r="K9" s="515"/>
      <c r="L9" s="515"/>
      <c r="M9" s="515"/>
      <c r="N9" s="515"/>
      <c r="O9" s="515"/>
      <c r="P9" s="515"/>
      <c r="Q9" s="515"/>
      <c r="R9" s="515"/>
      <c r="S9" s="515"/>
      <c r="T9" s="515"/>
      <c r="U9" s="515"/>
    </row>
    <row r="10" spans="6:21" x14ac:dyDescent="0.2">
      <c r="F10" s="515"/>
      <c r="G10" s="515"/>
      <c r="H10" s="515"/>
      <c r="I10" s="515"/>
      <c r="J10" s="515"/>
      <c r="K10" s="515"/>
      <c r="L10" s="515"/>
      <c r="M10" s="515"/>
      <c r="N10" s="515"/>
      <c r="O10" s="515"/>
      <c r="P10" s="515"/>
      <c r="Q10" s="515"/>
      <c r="R10" s="515"/>
      <c r="S10" s="515"/>
      <c r="T10" s="515"/>
      <c r="U10" s="515"/>
    </row>
    <row r="11" spans="6:21" x14ac:dyDescent="0.2">
      <c r="F11" s="515"/>
      <c r="G11" s="515"/>
      <c r="H11" s="515"/>
      <c r="I11" s="515"/>
      <c r="J11" s="515"/>
      <c r="K11" s="515"/>
      <c r="L11" s="515"/>
      <c r="M11" s="515"/>
      <c r="N11" s="515"/>
      <c r="O11" s="515"/>
      <c r="P11" s="515"/>
      <c r="Q11" s="515"/>
      <c r="R11" s="515"/>
      <c r="S11" s="515"/>
      <c r="T11" s="515"/>
      <c r="U11" s="515"/>
    </row>
    <row r="12" spans="6:21" x14ac:dyDescent="0.2">
      <c r="F12" s="515"/>
      <c r="G12" s="515"/>
      <c r="H12" s="515"/>
      <c r="I12" s="515"/>
      <c r="J12" s="515"/>
      <c r="K12" s="515"/>
      <c r="L12" s="515"/>
      <c r="M12" s="515"/>
      <c r="N12" s="515"/>
      <c r="O12" s="515"/>
      <c r="P12" s="515"/>
      <c r="Q12" s="515"/>
      <c r="R12" s="515"/>
      <c r="S12" s="515"/>
      <c r="T12" s="515"/>
      <c r="U12" s="515"/>
    </row>
    <row r="13" spans="6:21" x14ac:dyDescent="0.2">
      <c r="F13" s="515"/>
      <c r="G13" s="515"/>
      <c r="H13" s="515"/>
      <c r="I13" s="515"/>
      <c r="J13" s="515"/>
      <c r="K13" s="515"/>
      <c r="L13" s="515"/>
      <c r="M13" s="515"/>
      <c r="N13" s="515"/>
      <c r="O13" s="515"/>
      <c r="P13" s="515"/>
      <c r="Q13" s="515"/>
      <c r="R13" s="515"/>
      <c r="S13" s="515"/>
      <c r="T13" s="515"/>
      <c r="U13" s="515"/>
    </row>
    <row r="14" spans="6:21" x14ac:dyDescent="0.2">
      <c r="F14" s="515"/>
      <c r="G14" s="515"/>
      <c r="H14" s="515"/>
      <c r="I14" s="515"/>
      <c r="J14" s="515"/>
      <c r="K14" s="515"/>
      <c r="L14" s="515"/>
      <c r="M14" s="515"/>
      <c r="N14" s="515"/>
      <c r="O14" s="515"/>
      <c r="P14" s="515"/>
      <c r="Q14" s="515"/>
      <c r="R14" s="515"/>
      <c r="S14" s="515"/>
      <c r="T14" s="515"/>
      <c r="U14" s="515"/>
    </row>
    <row r="15" spans="6:21" x14ac:dyDescent="0.2">
      <c r="F15" s="515"/>
      <c r="G15" s="515"/>
      <c r="H15" s="515"/>
      <c r="I15" s="515"/>
      <c r="J15" s="515"/>
      <c r="K15" s="515"/>
      <c r="L15" s="515"/>
      <c r="M15" s="515"/>
      <c r="N15" s="515"/>
      <c r="O15" s="515"/>
      <c r="P15" s="515"/>
      <c r="Q15" s="515"/>
      <c r="R15" s="515"/>
      <c r="S15" s="515"/>
      <c r="T15" s="515"/>
      <c r="U15" s="515"/>
    </row>
    <row r="16" spans="6:21" x14ac:dyDescent="0.2">
      <c r="F16" s="515"/>
      <c r="G16" s="515"/>
      <c r="H16" s="515"/>
      <c r="I16" s="515"/>
      <c r="J16" s="515"/>
      <c r="K16" s="515"/>
      <c r="L16" s="515"/>
      <c r="M16" s="515"/>
      <c r="N16" s="515"/>
      <c r="O16" s="515"/>
      <c r="P16" s="515"/>
      <c r="Q16" s="515"/>
      <c r="R16" s="515"/>
      <c r="S16" s="515"/>
      <c r="T16" s="515"/>
      <c r="U16" s="515"/>
    </row>
    <row r="17" spans="6:21" x14ac:dyDescent="0.2">
      <c r="F17" s="515"/>
      <c r="G17" s="515"/>
      <c r="H17" s="515"/>
      <c r="I17" s="515"/>
      <c r="J17" s="515"/>
      <c r="K17" s="515"/>
      <c r="L17" s="515"/>
      <c r="M17" s="515"/>
      <c r="N17" s="515"/>
      <c r="O17" s="515"/>
      <c r="P17" s="515"/>
      <c r="Q17" s="515"/>
      <c r="R17" s="515"/>
      <c r="S17" s="515"/>
      <c r="T17" s="515"/>
      <c r="U17" s="515"/>
    </row>
    <row r="18" spans="6:21" x14ac:dyDescent="0.2">
      <c r="F18" s="515"/>
      <c r="G18" s="515"/>
      <c r="H18" s="515"/>
      <c r="I18" s="515"/>
      <c r="J18" s="515"/>
      <c r="K18" s="515"/>
      <c r="L18" s="515"/>
      <c r="M18" s="515"/>
      <c r="N18" s="515"/>
      <c r="O18" s="515"/>
      <c r="P18" s="515"/>
      <c r="Q18" s="515"/>
      <c r="R18" s="515"/>
      <c r="S18" s="515"/>
      <c r="T18" s="515"/>
      <c r="U18" s="515"/>
    </row>
    <row r="19" spans="6:21" x14ac:dyDescent="0.2">
      <c r="F19" s="515"/>
      <c r="G19" s="515"/>
      <c r="H19" s="515"/>
      <c r="I19" s="515"/>
      <c r="J19" s="515"/>
      <c r="K19" s="515"/>
      <c r="L19" s="515"/>
      <c r="M19" s="515"/>
      <c r="N19" s="515"/>
      <c r="O19" s="515"/>
      <c r="P19" s="515"/>
      <c r="Q19" s="515"/>
      <c r="R19" s="515"/>
      <c r="S19" s="515"/>
      <c r="T19" s="515"/>
      <c r="U19" s="515"/>
    </row>
    <row r="20" spans="6:21" x14ac:dyDescent="0.2">
      <c r="F20" s="515"/>
      <c r="G20" s="515"/>
      <c r="H20" s="515"/>
      <c r="I20" s="515"/>
      <c r="J20" s="515"/>
      <c r="K20" s="515"/>
      <c r="L20" s="515"/>
      <c r="M20" s="515"/>
      <c r="N20" s="515"/>
      <c r="O20" s="515"/>
      <c r="P20" s="515"/>
      <c r="Q20" s="515"/>
      <c r="R20" s="515"/>
      <c r="S20" s="515"/>
      <c r="T20" s="515"/>
      <c r="U20" s="515"/>
    </row>
    <row r="21" spans="6:21" x14ac:dyDescent="0.2">
      <c r="F21" s="515"/>
      <c r="G21" s="515"/>
      <c r="H21" s="515"/>
      <c r="I21" s="515"/>
      <c r="J21" s="515"/>
      <c r="K21" s="515"/>
      <c r="L21" s="515"/>
      <c r="M21" s="515"/>
      <c r="N21" s="515"/>
      <c r="O21" s="515"/>
      <c r="P21" s="515"/>
      <c r="Q21" s="515"/>
      <c r="R21" s="515"/>
      <c r="S21" s="515"/>
      <c r="T21" s="515"/>
      <c r="U21" s="515"/>
    </row>
    <row r="22" spans="6:21" x14ac:dyDescent="0.2">
      <c r="F22" s="515"/>
      <c r="G22" s="515"/>
      <c r="H22" s="515"/>
      <c r="I22" s="515"/>
      <c r="J22" s="515"/>
      <c r="K22" s="515"/>
      <c r="L22" s="515"/>
      <c r="M22" s="515"/>
      <c r="N22" s="515"/>
      <c r="O22" s="515"/>
      <c r="P22" s="515"/>
      <c r="Q22" s="515"/>
      <c r="R22" s="515"/>
      <c r="S22" s="515"/>
      <c r="T22" s="515"/>
      <c r="U22" s="515"/>
    </row>
    <row r="23" spans="6:21" x14ac:dyDescent="0.2">
      <c r="F23" s="515"/>
      <c r="G23" s="515"/>
      <c r="H23" s="515"/>
      <c r="I23" s="515"/>
      <c r="J23" s="515"/>
      <c r="K23" s="515"/>
      <c r="L23" s="515"/>
      <c r="M23" s="515"/>
      <c r="N23" s="515"/>
      <c r="O23" s="515"/>
      <c r="P23" s="515"/>
      <c r="Q23" s="515"/>
      <c r="R23" s="515"/>
      <c r="S23" s="515"/>
      <c r="T23" s="515"/>
      <c r="U23" s="515"/>
    </row>
    <row r="24" spans="6:21" x14ac:dyDescent="0.2">
      <c r="F24" s="515"/>
      <c r="G24" s="515"/>
      <c r="H24" s="515"/>
      <c r="I24" s="515"/>
      <c r="J24" s="515"/>
      <c r="K24" s="515"/>
      <c r="L24" s="515"/>
      <c r="M24" s="515"/>
      <c r="N24" s="515"/>
      <c r="O24" s="515"/>
      <c r="P24" s="515"/>
      <c r="Q24" s="515"/>
      <c r="R24" s="515"/>
      <c r="S24" s="515"/>
      <c r="T24" s="515"/>
      <c r="U24" s="515"/>
    </row>
    <row r="25" spans="6:21" x14ac:dyDescent="0.2">
      <c r="F25" s="515"/>
      <c r="G25" s="515"/>
      <c r="H25" s="515"/>
      <c r="I25" s="515"/>
      <c r="J25" s="515"/>
      <c r="K25" s="515"/>
      <c r="L25" s="515"/>
      <c r="M25" s="515"/>
      <c r="N25" s="515"/>
      <c r="O25" s="515"/>
      <c r="P25" s="515"/>
      <c r="Q25" s="515"/>
      <c r="R25" s="515"/>
      <c r="S25" s="515"/>
      <c r="T25" s="515"/>
      <c r="U25" s="515"/>
    </row>
    <row r="26" spans="6:21" x14ac:dyDescent="0.2">
      <c r="F26" s="515"/>
      <c r="G26" s="515"/>
      <c r="H26" s="515"/>
      <c r="I26" s="515"/>
      <c r="J26" s="515"/>
      <c r="K26" s="515"/>
      <c r="L26" s="515"/>
      <c r="M26" s="515"/>
      <c r="N26" s="515"/>
      <c r="O26" s="515"/>
      <c r="P26" s="515"/>
      <c r="Q26" s="515"/>
      <c r="R26" s="515"/>
      <c r="S26" s="515"/>
      <c r="T26" s="515"/>
      <c r="U26" s="515"/>
    </row>
    <row r="27" spans="6:21" x14ac:dyDescent="0.2">
      <c r="F27" s="515"/>
      <c r="G27" s="515"/>
      <c r="H27" s="515"/>
      <c r="I27" s="515"/>
      <c r="J27" s="515"/>
      <c r="K27" s="515"/>
      <c r="L27" s="515"/>
      <c r="M27" s="515"/>
      <c r="N27" s="515"/>
      <c r="O27" s="515"/>
      <c r="P27" s="515"/>
      <c r="Q27" s="515"/>
      <c r="R27" s="515"/>
      <c r="S27" s="515"/>
      <c r="T27" s="515"/>
      <c r="U27" s="515"/>
    </row>
    <row r="28" spans="6:21" x14ac:dyDescent="0.2">
      <c r="F28" s="515"/>
      <c r="G28" s="515"/>
      <c r="H28" s="515"/>
      <c r="I28" s="515"/>
      <c r="J28" s="515"/>
      <c r="K28" s="515"/>
      <c r="L28" s="515"/>
      <c r="M28" s="515"/>
      <c r="N28" s="515"/>
      <c r="O28" s="515"/>
      <c r="P28" s="515"/>
      <c r="Q28" s="515"/>
      <c r="R28" s="515"/>
      <c r="S28" s="515"/>
      <c r="T28" s="515"/>
      <c r="U28" s="515"/>
    </row>
    <row r="29" spans="6:21" x14ac:dyDescent="0.2">
      <c r="F29" s="515"/>
      <c r="G29" s="515"/>
      <c r="H29" s="515"/>
      <c r="I29" s="515"/>
      <c r="J29" s="515"/>
      <c r="K29" s="515"/>
      <c r="L29" s="515"/>
      <c r="M29" s="515"/>
      <c r="N29" s="515"/>
      <c r="O29" s="515"/>
      <c r="P29" s="515"/>
      <c r="Q29" s="515"/>
      <c r="R29" s="515"/>
      <c r="S29" s="515"/>
      <c r="T29" s="515"/>
      <c r="U29" s="515"/>
    </row>
    <row r="30" spans="6:21" x14ac:dyDescent="0.2">
      <c r="F30" s="515"/>
      <c r="G30" s="515"/>
      <c r="H30" s="515"/>
      <c r="I30" s="515"/>
      <c r="J30" s="515"/>
      <c r="K30" s="515"/>
      <c r="L30" s="515"/>
      <c r="M30" s="515"/>
      <c r="N30" s="515"/>
      <c r="O30" s="515"/>
      <c r="P30" s="515"/>
      <c r="Q30" s="515"/>
      <c r="R30" s="515"/>
      <c r="S30" s="515"/>
      <c r="T30" s="515"/>
      <c r="U30" s="515"/>
    </row>
    <row r="31" spans="6:21" x14ac:dyDescent="0.2">
      <c r="F31" s="515"/>
      <c r="G31" s="515"/>
      <c r="H31" s="515"/>
      <c r="I31" s="515"/>
      <c r="J31" s="515"/>
      <c r="K31" s="515"/>
      <c r="L31" s="515"/>
      <c r="M31" s="515"/>
      <c r="N31" s="515"/>
      <c r="O31" s="515"/>
      <c r="P31" s="515"/>
      <c r="Q31" s="515"/>
      <c r="R31" s="515"/>
      <c r="S31" s="515"/>
      <c r="T31" s="515"/>
      <c r="U31" s="515"/>
    </row>
    <row r="32" spans="6:21" x14ac:dyDescent="0.2">
      <c r="F32" s="515"/>
      <c r="G32" s="515"/>
      <c r="H32" s="515"/>
      <c r="I32" s="515"/>
      <c r="J32" s="515"/>
      <c r="K32" s="515"/>
      <c r="L32" s="515"/>
      <c r="M32" s="515"/>
      <c r="N32" s="515"/>
      <c r="O32" s="515"/>
      <c r="P32" s="515"/>
      <c r="Q32" s="515"/>
      <c r="R32" s="515"/>
      <c r="S32" s="515"/>
      <c r="T32" s="515"/>
      <c r="U32" s="515"/>
    </row>
    <row r="33" spans="6:21" x14ac:dyDescent="0.2">
      <c r="F33" s="515"/>
      <c r="G33" s="515"/>
      <c r="H33" s="515"/>
      <c r="I33" s="515"/>
      <c r="J33" s="515"/>
      <c r="K33" s="515"/>
      <c r="L33" s="515"/>
      <c r="M33" s="515"/>
      <c r="N33" s="515"/>
      <c r="O33" s="515"/>
      <c r="P33" s="515"/>
      <c r="Q33" s="515"/>
      <c r="R33" s="515"/>
      <c r="S33" s="515"/>
      <c r="T33" s="515"/>
      <c r="U33" s="515"/>
    </row>
    <row r="34" spans="6:21" x14ac:dyDescent="0.2">
      <c r="F34" s="515"/>
      <c r="G34" s="515"/>
      <c r="H34" s="515"/>
      <c r="I34" s="515"/>
      <c r="J34" s="515"/>
      <c r="K34" s="515"/>
      <c r="L34" s="515"/>
      <c r="M34" s="515"/>
      <c r="N34" s="515"/>
      <c r="O34" s="515"/>
      <c r="P34" s="515"/>
      <c r="Q34" s="515"/>
      <c r="R34" s="515"/>
      <c r="S34" s="515"/>
      <c r="T34" s="515"/>
      <c r="U34" s="515"/>
    </row>
    <row r="35" spans="6:21" x14ac:dyDescent="0.2">
      <c r="F35" s="515"/>
      <c r="G35" s="515"/>
      <c r="H35" s="515"/>
      <c r="I35" s="515"/>
      <c r="J35" s="515"/>
      <c r="K35" s="515"/>
      <c r="L35" s="515"/>
      <c r="M35" s="515"/>
      <c r="N35" s="515"/>
      <c r="O35" s="515"/>
      <c r="P35" s="515"/>
      <c r="Q35" s="515"/>
      <c r="R35" s="515"/>
      <c r="S35" s="515"/>
      <c r="T35" s="515"/>
      <c r="U35" s="515"/>
    </row>
    <row r="36" spans="6:21" x14ac:dyDescent="0.2">
      <c r="F36" s="515"/>
      <c r="G36" s="515"/>
      <c r="H36" s="515"/>
      <c r="I36" s="515"/>
      <c r="J36" s="515"/>
      <c r="K36" s="515"/>
      <c r="L36" s="515"/>
      <c r="M36" s="515"/>
      <c r="N36" s="515"/>
      <c r="O36" s="515"/>
      <c r="P36" s="515"/>
      <c r="Q36" s="515"/>
      <c r="R36" s="515"/>
      <c r="S36" s="515"/>
      <c r="T36" s="515"/>
      <c r="U36" s="515"/>
    </row>
    <row r="37" spans="6:21" x14ac:dyDescent="0.2">
      <c r="F37" s="515"/>
      <c r="G37" s="515"/>
      <c r="H37" s="515"/>
      <c r="I37" s="515"/>
      <c r="J37" s="515"/>
      <c r="K37" s="515"/>
      <c r="L37" s="515"/>
      <c r="M37" s="515"/>
      <c r="N37" s="515"/>
      <c r="O37" s="515"/>
      <c r="P37" s="515"/>
      <c r="Q37" s="515"/>
      <c r="R37" s="515"/>
      <c r="S37" s="515"/>
      <c r="T37" s="515"/>
      <c r="U37" s="515"/>
    </row>
    <row r="38" spans="6:21" x14ac:dyDescent="0.2">
      <c r="F38" s="515"/>
      <c r="G38" s="515"/>
      <c r="H38" s="515"/>
      <c r="I38" s="515"/>
      <c r="J38" s="515"/>
      <c r="K38" s="515"/>
      <c r="L38" s="515"/>
      <c r="M38" s="515"/>
      <c r="N38" s="515"/>
      <c r="O38" s="515"/>
      <c r="P38" s="515"/>
      <c r="Q38" s="515"/>
      <c r="R38" s="515"/>
      <c r="S38" s="515"/>
      <c r="T38" s="515"/>
      <c r="U38" s="515"/>
    </row>
    <row r="39" spans="6:21" x14ac:dyDescent="0.2">
      <c r="F39" s="515"/>
      <c r="G39" s="515"/>
      <c r="H39" s="515"/>
      <c r="I39" s="515"/>
      <c r="J39" s="515"/>
      <c r="K39" s="515"/>
      <c r="L39" s="515"/>
      <c r="M39" s="515"/>
      <c r="N39" s="515"/>
      <c r="O39" s="515"/>
      <c r="P39" s="515"/>
      <c r="Q39" s="515"/>
      <c r="R39" s="515"/>
      <c r="S39" s="515"/>
      <c r="T39" s="515"/>
      <c r="U39" s="515"/>
    </row>
    <row r="40" spans="6:21" ht="18.75" customHeight="1" x14ac:dyDescent="0.2">
      <c r="F40" s="515"/>
      <c r="G40" s="515"/>
      <c r="H40" s="515"/>
      <c r="I40" s="515"/>
      <c r="J40" s="515"/>
      <c r="K40" s="515"/>
      <c r="L40" s="515"/>
      <c r="M40" s="515"/>
      <c r="N40" s="515"/>
      <c r="O40" s="515"/>
      <c r="P40" s="515"/>
      <c r="Q40" s="515"/>
      <c r="R40" s="515"/>
      <c r="S40" s="515"/>
      <c r="T40" s="515"/>
      <c r="U40" s="515"/>
    </row>
  </sheetData>
  <sheetProtection password="C82C" sheet="1" scenarios="1" selectLockedCells="1" selectUnlockedCells="1"/>
  <printOptions horizontalCentered="1" verticalCentered="1"/>
  <pageMargins left="0.70866141732283472" right="0.70866141732283472" top="0.86614173228346458" bottom="0.74803149606299213" header="0.31496062992125984" footer="0.31496062992125984"/>
  <pageSetup paperSize="9" scale="94" fitToHeight="0" orientation="landscape" r:id="rId1"/>
  <headerFooter>
    <oddHeader>&amp;LPUBLIC&amp;CEfficient Costs of New Entrant Ethanol Producers&amp;R&amp;G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fitToPage="1"/>
  </sheetPr>
  <dimension ref="E3:T40"/>
  <sheetViews>
    <sheetView showGridLines="0" zoomScaleNormal="100" zoomScaleSheetLayoutView="100" workbookViewId="0">
      <selection activeCell="B12" sqref="B12"/>
    </sheetView>
  </sheetViews>
  <sheetFormatPr defaultRowHeight="12.75" x14ac:dyDescent="0.2"/>
  <cols>
    <col min="1" max="3" width="9.140625" style="619"/>
    <col min="4" max="4" width="16.7109375" style="619" customWidth="1"/>
    <col min="5" max="19" width="9.140625" style="619"/>
    <col min="20" max="20" width="7.42578125" style="619" customWidth="1"/>
    <col min="21" max="21" width="8.7109375" style="619" customWidth="1"/>
    <col min="22" max="16384" width="9.140625" style="619"/>
  </cols>
  <sheetData>
    <row r="3" spans="5:20" x14ac:dyDescent="0.2">
      <c r="E3" s="341"/>
      <c r="F3" s="341"/>
      <c r="G3" s="341"/>
      <c r="H3" s="341"/>
      <c r="I3" s="341"/>
      <c r="J3" s="341"/>
      <c r="K3" s="341"/>
      <c r="L3" s="341"/>
      <c r="M3" s="341"/>
      <c r="N3" s="341"/>
      <c r="O3" s="341"/>
      <c r="P3" s="341"/>
      <c r="Q3" s="341"/>
      <c r="R3" s="341"/>
      <c r="S3" s="341"/>
      <c r="T3" s="341"/>
    </row>
    <row r="4" spans="5:20" x14ac:dyDescent="0.2">
      <c r="E4" s="341"/>
      <c r="F4" s="341"/>
      <c r="G4" s="341"/>
      <c r="H4" s="341"/>
      <c r="I4" s="341"/>
      <c r="J4" s="341"/>
      <c r="K4" s="341"/>
      <c r="L4" s="341"/>
      <c r="M4" s="341"/>
      <c r="N4" s="341"/>
      <c r="O4" s="341"/>
      <c r="P4" s="341"/>
      <c r="Q4" s="341"/>
      <c r="R4" s="341"/>
      <c r="S4" s="341"/>
      <c r="T4" s="341"/>
    </row>
    <row r="5" spans="5:20" x14ac:dyDescent="0.2">
      <c r="E5" s="341"/>
      <c r="F5" s="341"/>
      <c r="G5" s="341"/>
      <c r="H5" s="341"/>
      <c r="I5" s="341"/>
      <c r="J5" s="341"/>
      <c r="K5" s="341"/>
      <c r="L5" s="341"/>
      <c r="M5" s="341"/>
      <c r="N5" s="341"/>
      <c r="O5" s="341"/>
      <c r="P5" s="341"/>
      <c r="Q5" s="341"/>
      <c r="R5" s="341"/>
      <c r="S5" s="341"/>
      <c r="T5" s="341"/>
    </row>
    <row r="6" spans="5:20" x14ac:dyDescent="0.2">
      <c r="E6" s="341"/>
      <c r="F6" s="341"/>
      <c r="G6" s="341"/>
      <c r="H6" s="341"/>
      <c r="I6" s="341"/>
      <c r="J6" s="341"/>
      <c r="K6" s="341"/>
      <c r="L6" s="341"/>
      <c r="M6" s="341"/>
      <c r="N6" s="341"/>
      <c r="O6" s="341"/>
      <c r="P6" s="341"/>
      <c r="Q6" s="341"/>
      <c r="R6" s="341"/>
      <c r="S6" s="341"/>
      <c r="T6" s="341"/>
    </row>
    <row r="7" spans="5:20" x14ac:dyDescent="0.2">
      <c r="E7" s="341"/>
      <c r="F7" s="341"/>
      <c r="G7" s="341"/>
      <c r="H7" s="341"/>
      <c r="I7" s="341"/>
      <c r="J7" s="341"/>
      <c r="K7" s="341"/>
      <c r="L7" s="341"/>
      <c r="M7" s="341"/>
      <c r="N7" s="341"/>
      <c r="O7" s="341"/>
      <c r="P7" s="341"/>
      <c r="Q7" s="341"/>
      <c r="R7" s="341"/>
      <c r="S7" s="341"/>
      <c r="T7" s="341"/>
    </row>
    <row r="8" spans="5:20" x14ac:dyDescent="0.2">
      <c r="E8" s="341"/>
      <c r="F8" s="341"/>
      <c r="G8" s="341"/>
      <c r="H8" s="341"/>
      <c r="I8" s="341"/>
      <c r="J8" s="341"/>
      <c r="K8" s="341"/>
      <c r="L8" s="341"/>
      <c r="M8" s="341"/>
      <c r="N8" s="341"/>
      <c r="O8" s="341"/>
      <c r="P8" s="341"/>
      <c r="Q8" s="341"/>
      <c r="R8" s="341"/>
      <c r="S8" s="341"/>
      <c r="T8" s="341"/>
    </row>
    <row r="9" spans="5:20" x14ac:dyDescent="0.2">
      <c r="E9" s="341"/>
      <c r="F9" s="341"/>
      <c r="G9" s="341"/>
      <c r="H9" s="341"/>
      <c r="I9" s="341"/>
      <c r="J9" s="341"/>
      <c r="K9" s="341"/>
      <c r="L9" s="341"/>
      <c r="M9" s="341"/>
      <c r="N9" s="341"/>
      <c r="O9" s="341"/>
      <c r="P9" s="341"/>
      <c r="Q9" s="341"/>
      <c r="R9" s="341"/>
      <c r="S9" s="341"/>
      <c r="T9" s="341"/>
    </row>
    <row r="10" spans="5:20" x14ac:dyDescent="0.2">
      <c r="E10" s="341"/>
      <c r="F10" s="341"/>
      <c r="G10" s="341"/>
      <c r="H10" s="341"/>
      <c r="I10" s="341"/>
      <c r="J10" s="341"/>
      <c r="K10" s="341"/>
      <c r="L10" s="341"/>
      <c r="M10" s="341"/>
      <c r="N10" s="341"/>
      <c r="O10" s="341"/>
      <c r="P10" s="341"/>
      <c r="Q10" s="341"/>
      <c r="R10" s="341"/>
      <c r="S10" s="341"/>
      <c r="T10" s="341"/>
    </row>
    <row r="11" spans="5:20" x14ac:dyDescent="0.2">
      <c r="E11" s="341"/>
      <c r="F11" s="341"/>
      <c r="G11" s="341"/>
      <c r="H11" s="341"/>
      <c r="I11" s="341"/>
      <c r="J11" s="341"/>
      <c r="K11" s="341"/>
      <c r="L11" s="341"/>
      <c r="M11" s="341"/>
      <c r="N11" s="341"/>
      <c r="O11" s="341"/>
      <c r="P11" s="341"/>
      <c r="Q11" s="341"/>
      <c r="R11" s="341"/>
      <c r="S11" s="341"/>
      <c r="T11" s="341"/>
    </row>
    <row r="12" spans="5:20" x14ac:dyDescent="0.2">
      <c r="E12" s="341"/>
      <c r="F12" s="341"/>
      <c r="G12" s="341"/>
      <c r="H12" s="341"/>
      <c r="I12" s="341"/>
      <c r="J12" s="341"/>
      <c r="K12" s="341"/>
      <c r="L12" s="341"/>
      <c r="M12" s="341"/>
      <c r="N12" s="341"/>
      <c r="O12" s="341"/>
      <c r="P12" s="341"/>
      <c r="Q12" s="341"/>
      <c r="R12" s="341"/>
      <c r="S12" s="341"/>
      <c r="T12" s="341"/>
    </row>
    <row r="13" spans="5:20" x14ac:dyDescent="0.2">
      <c r="E13" s="341"/>
      <c r="F13" s="341"/>
      <c r="G13" s="341"/>
      <c r="H13" s="341"/>
      <c r="I13" s="341"/>
      <c r="J13" s="341"/>
      <c r="K13" s="341"/>
      <c r="L13" s="341"/>
      <c r="M13" s="341"/>
      <c r="N13" s="341"/>
      <c r="O13" s="341"/>
      <c r="P13" s="341"/>
      <c r="Q13" s="341"/>
      <c r="R13" s="341"/>
      <c r="S13" s="341"/>
      <c r="T13" s="341"/>
    </row>
    <row r="14" spans="5:20" x14ac:dyDescent="0.2">
      <c r="E14" s="341"/>
      <c r="F14" s="341"/>
      <c r="G14" s="341"/>
      <c r="H14" s="341"/>
      <c r="I14" s="341"/>
      <c r="J14" s="341"/>
      <c r="K14" s="341"/>
      <c r="L14" s="341"/>
      <c r="M14" s="341"/>
      <c r="N14" s="341"/>
      <c r="O14" s="341"/>
      <c r="P14" s="341"/>
      <c r="Q14" s="341"/>
      <c r="R14" s="341"/>
      <c r="S14" s="341"/>
      <c r="T14" s="341"/>
    </row>
    <row r="15" spans="5:20" x14ac:dyDescent="0.2">
      <c r="E15" s="341"/>
      <c r="F15" s="341"/>
      <c r="G15" s="341"/>
      <c r="H15" s="341"/>
      <c r="I15" s="341"/>
      <c r="J15" s="341"/>
      <c r="K15" s="341"/>
      <c r="L15" s="341"/>
      <c r="M15" s="341"/>
      <c r="N15" s="341"/>
      <c r="O15" s="341"/>
      <c r="P15" s="341"/>
      <c r="Q15" s="341"/>
      <c r="R15" s="341"/>
      <c r="S15" s="341"/>
      <c r="T15" s="341"/>
    </row>
    <row r="16" spans="5:20" x14ac:dyDescent="0.2">
      <c r="E16" s="341"/>
      <c r="F16" s="341"/>
      <c r="G16" s="341"/>
      <c r="H16" s="341"/>
      <c r="I16" s="341"/>
      <c r="J16" s="341"/>
      <c r="K16" s="341"/>
      <c r="L16" s="341"/>
      <c r="M16" s="341"/>
      <c r="N16" s="341"/>
      <c r="O16" s="341"/>
      <c r="P16" s="341"/>
      <c r="Q16" s="341"/>
      <c r="R16" s="341"/>
      <c r="S16" s="341"/>
      <c r="T16" s="341"/>
    </row>
    <row r="17" spans="5:20" x14ac:dyDescent="0.2">
      <c r="E17" s="341"/>
      <c r="F17" s="341"/>
      <c r="G17" s="341"/>
      <c r="H17" s="341"/>
      <c r="I17" s="341"/>
      <c r="J17" s="341"/>
      <c r="K17" s="341"/>
      <c r="L17" s="341"/>
      <c r="M17" s="341"/>
      <c r="N17" s="341"/>
      <c r="O17" s="341"/>
      <c r="P17" s="341"/>
      <c r="Q17" s="341"/>
      <c r="R17" s="341"/>
      <c r="S17" s="341"/>
      <c r="T17" s="341"/>
    </row>
    <row r="18" spans="5:20" x14ac:dyDescent="0.2">
      <c r="E18" s="341"/>
      <c r="F18" s="341"/>
      <c r="G18" s="341"/>
      <c r="H18" s="341"/>
      <c r="I18" s="341"/>
      <c r="J18" s="341"/>
      <c r="K18" s="341"/>
      <c r="L18" s="341"/>
      <c r="M18" s="341"/>
      <c r="N18" s="341"/>
      <c r="O18" s="341"/>
      <c r="P18" s="341"/>
      <c r="Q18" s="341"/>
      <c r="R18" s="341"/>
      <c r="S18" s="341"/>
      <c r="T18" s="341"/>
    </row>
    <row r="19" spans="5:20" x14ac:dyDescent="0.2">
      <c r="E19" s="341"/>
      <c r="F19" s="341"/>
      <c r="G19" s="341"/>
      <c r="H19" s="341"/>
      <c r="I19" s="341"/>
      <c r="J19" s="341"/>
      <c r="K19" s="341"/>
      <c r="L19" s="341"/>
      <c r="M19" s="341"/>
      <c r="N19" s="341"/>
      <c r="O19" s="341"/>
      <c r="P19" s="341"/>
      <c r="Q19" s="341"/>
      <c r="R19" s="341"/>
      <c r="S19" s="341"/>
      <c r="T19" s="341"/>
    </row>
    <row r="20" spans="5:20" x14ac:dyDescent="0.2">
      <c r="E20" s="341"/>
      <c r="F20" s="341"/>
      <c r="G20" s="341"/>
      <c r="H20" s="341"/>
      <c r="I20" s="341"/>
      <c r="J20" s="341"/>
      <c r="K20" s="341"/>
      <c r="L20" s="341"/>
      <c r="M20" s="341"/>
      <c r="N20" s="341"/>
      <c r="O20" s="341"/>
      <c r="P20" s="341"/>
      <c r="Q20" s="341"/>
      <c r="R20" s="341"/>
      <c r="S20" s="341"/>
      <c r="T20" s="341"/>
    </row>
    <row r="21" spans="5:20" x14ac:dyDescent="0.2">
      <c r="E21" s="341"/>
      <c r="F21" s="341"/>
      <c r="G21" s="341"/>
      <c r="H21" s="341"/>
      <c r="I21" s="341"/>
      <c r="J21" s="341"/>
      <c r="K21" s="341"/>
      <c r="L21" s="341"/>
      <c r="M21" s="341"/>
      <c r="N21" s="341"/>
      <c r="O21" s="341"/>
      <c r="P21" s="341"/>
      <c r="Q21" s="341"/>
      <c r="R21" s="341"/>
      <c r="S21" s="341"/>
      <c r="T21" s="341"/>
    </row>
    <row r="22" spans="5:20" x14ac:dyDescent="0.2">
      <c r="E22" s="341"/>
      <c r="F22" s="341"/>
      <c r="G22" s="341"/>
      <c r="H22" s="341"/>
      <c r="I22" s="341"/>
      <c r="J22" s="341"/>
      <c r="K22" s="341"/>
      <c r="L22" s="341"/>
      <c r="M22" s="341"/>
      <c r="N22" s="341"/>
      <c r="O22" s="341"/>
      <c r="P22" s="341"/>
      <c r="Q22" s="341"/>
      <c r="R22" s="341"/>
      <c r="S22" s="341"/>
      <c r="T22" s="341"/>
    </row>
    <row r="23" spans="5:20" x14ac:dyDescent="0.2">
      <c r="E23" s="341"/>
      <c r="F23" s="341"/>
      <c r="G23" s="341"/>
      <c r="H23" s="341"/>
      <c r="I23" s="341"/>
      <c r="J23" s="341"/>
      <c r="K23" s="341"/>
      <c r="L23" s="341"/>
      <c r="M23" s="341"/>
      <c r="N23" s="341"/>
      <c r="O23" s="341"/>
      <c r="P23" s="341"/>
      <c r="Q23" s="341"/>
      <c r="R23" s="341"/>
      <c r="S23" s="341"/>
      <c r="T23" s="341"/>
    </row>
    <row r="24" spans="5:20" x14ac:dyDescent="0.2">
      <c r="E24" s="341"/>
      <c r="F24" s="341"/>
      <c r="G24" s="341"/>
      <c r="H24" s="341"/>
      <c r="I24" s="341"/>
      <c r="J24" s="341"/>
      <c r="K24" s="341"/>
      <c r="L24" s="341"/>
      <c r="M24" s="341"/>
      <c r="N24" s="341"/>
      <c r="O24" s="341"/>
      <c r="P24" s="341"/>
      <c r="Q24" s="341"/>
      <c r="R24" s="341"/>
      <c r="S24" s="341"/>
      <c r="T24" s="341"/>
    </row>
    <row r="25" spans="5:20" x14ac:dyDescent="0.2">
      <c r="E25" s="341"/>
      <c r="F25" s="341"/>
      <c r="G25" s="341"/>
      <c r="H25" s="341"/>
      <c r="I25" s="341"/>
      <c r="J25" s="341"/>
      <c r="K25" s="341"/>
      <c r="L25" s="341"/>
      <c r="M25" s="341"/>
      <c r="N25" s="341"/>
      <c r="O25" s="341"/>
      <c r="P25" s="341"/>
      <c r="Q25" s="341"/>
      <c r="R25" s="341"/>
      <c r="S25" s="341"/>
      <c r="T25" s="341"/>
    </row>
    <row r="26" spans="5:20" x14ac:dyDescent="0.2">
      <c r="E26" s="341"/>
      <c r="F26" s="341"/>
      <c r="G26" s="341"/>
      <c r="H26" s="341"/>
      <c r="I26" s="341"/>
      <c r="J26" s="341"/>
      <c r="K26" s="341"/>
      <c r="L26" s="341"/>
      <c r="M26" s="341"/>
      <c r="N26" s="341"/>
      <c r="O26" s="341"/>
      <c r="P26" s="341"/>
      <c r="Q26" s="341"/>
      <c r="R26" s="341"/>
      <c r="S26" s="341"/>
      <c r="T26" s="341"/>
    </row>
    <row r="27" spans="5:20" x14ac:dyDescent="0.2">
      <c r="E27" s="341"/>
      <c r="F27" s="341"/>
      <c r="G27" s="341"/>
      <c r="H27" s="341"/>
      <c r="I27" s="341"/>
      <c r="J27" s="341"/>
      <c r="K27" s="341"/>
      <c r="L27" s="341"/>
      <c r="M27" s="341"/>
      <c r="N27" s="341"/>
      <c r="O27" s="341"/>
      <c r="P27" s="341"/>
      <c r="Q27" s="341"/>
      <c r="R27" s="341"/>
      <c r="S27" s="341"/>
      <c r="T27" s="341"/>
    </row>
    <row r="28" spans="5:20" x14ac:dyDescent="0.2">
      <c r="E28" s="341"/>
      <c r="F28" s="341"/>
      <c r="G28" s="341"/>
      <c r="H28" s="341"/>
      <c r="I28" s="341"/>
      <c r="J28" s="341"/>
      <c r="K28" s="341"/>
      <c r="L28" s="341"/>
      <c r="M28" s="341"/>
      <c r="N28" s="341"/>
      <c r="O28" s="341"/>
      <c r="P28" s="341"/>
      <c r="Q28" s="341"/>
      <c r="R28" s="341"/>
      <c r="S28" s="341"/>
      <c r="T28" s="341"/>
    </row>
    <row r="29" spans="5:20" x14ac:dyDescent="0.2">
      <c r="E29" s="341"/>
      <c r="F29" s="341"/>
      <c r="G29" s="341"/>
      <c r="H29" s="341"/>
      <c r="I29" s="341"/>
      <c r="J29" s="341"/>
      <c r="K29" s="341"/>
      <c r="L29" s="341"/>
      <c r="M29" s="341"/>
      <c r="N29" s="341"/>
      <c r="O29" s="341"/>
      <c r="P29" s="341"/>
      <c r="Q29" s="341"/>
      <c r="R29" s="341"/>
      <c r="S29" s="341"/>
      <c r="T29" s="341"/>
    </row>
    <row r="30" spans="5:20" x14ac:dyDescent="0.2">
      <c r="E30" s="341"/>
      <c r="F30" s="341"/>
      <c r="G30" s="341"/>
      <c r="H30" s="341"/>
      <c r="I30" s="341"/>
      <c r="J30" s="341"/>
      <c r="K30" s="341"/>
      <c r="L30" s="341"/>
      <c r="M30" s="341"/>
      <c r="N30" s="341"/>
      <c r="O30" s="341"/>
      <c r="P30" s="341"/>
      <c r="Q30" s="341"/>
      <c r="R30" s="341"/>
      <c r="S30" s="341"/>
      <c r="T30" s="341"/>
    </row>
    <row r="31" spans="5:20" x14ac:dyDescent="0.2">
      <c r="E31" s="341"/>
      <c r="F31" s="341"/>
      <c r="G31" s="341"/>
      <c r="H31" s="341"/>
      <c r="I31" s="341"/>
      <c r="J31" s="341"/>
      <c r="K31" s="341"/>
      <c r="L31" s="341"/>
      <c r="M31" s="341"/>
      <c r="N31" s="341"/>
      <c r="O31" s="341"/>
      <c r="P31" s="341"/>
      <c r="Q31" s="341"/>
      <c r="R31" s="341"/>
      <c r="S31" s="341"/>
      <c r="T31" s="341"/>
    </row>
    <row r="32" spans="5:20" x14ac:dyDescent="0.2">
      <c r="E32" s="341"/>
      <c r="F32" s="341"/>
      <c r="G32" s="341"/>
      <c r="H32" s="341"/>
      <c r="I32" s="341"/>
      <c r="J32" s="341"/>
      <c r="K32" s="341"/>
      <c r="L32" s="341"/>
      <c r="M32" s="341"/>
      <c r="N32" s="341"/>
      <c r="O32" s="341"/>
      <c r="P32" s="341"/>
      <c r="Q32" s="341"/>
      <c r="R32" s="341"/>
      <c r="S32" s="341"/>
      <c r="T32" s="341"/>
    </row>
    <row r="33" spans="5:20" x14ac:dyDescent="0.2">
      <c r="E33" s="341"/>
      <c r="F33" s="341"/>
      <c r="G33" s="341"/>
      <c r="H33" s="341"/>
      <c r="I33" s="341"/>
      <c r="J33" s="341"/>
      <c r="K33" s="341"/>
      <c r="L33" s="341"/>
      <c r="M33" s="341"/>
      <c r="N33" s="341"/>
      <c r="O33" s="341"/>
      <c r="P33" s="341"/>
      <c r="Q33" s="341"/>
      <c r="R33" s="341"/>
      <c r="S33" s="341"/>
      <c r="T33" s="341"/>
    </row>
    <row r="34" spans="5:20" x14ac:dyDescent="0.2">
      <c r="E34" s="341"/>
      <c r="F34" s="341"/>
      <c r="G34" s="341"/>
      <c r="H34" s="341"/>
      <c r="I34" s="341"/>
      <c r="J34" s="341"/>
      <c r="K34" s="341"/>
      <c r="L34" s="341"/>
      <c r="M34" s="341"/>
      <c r="N34" s="341"/>
      <c r="O34" s="341"/>
      <c r="P34" s="341"/>
      <c r="Q34" s="341"/>
      <c r="R34" s="341"/>
      <c r="S34" s="341"/>
      <c r="T34" s="341"/>
    </row>
    <row r="35" spans="5:20" x14ac:dyDescent="0.2">
      <c r="E35" s="341"/>
      <c r="F35" s="341"/>
      <c r="G35" s="341"/>
      <c r="H35" s="341"/>
      <c r="I35" s="341"/>
      <c r="J35" s="341"/>
      <c r="K35" s="341"/>
      <c r="L35" s="341"/>
      <c r="M35" s="341"/>
      <c r="N35" s="341"/>
      <c r="O35" s="341"/>
      <c r="P35" s="341"/>
      <c r="Q35" s="341"/>
      <c r="R35" s="341"/>
      <c r="S35" s="341"/>
      <c r="T35" s="341"/>
    </row>
    <row r="36" spans="5:20" x14ac:dyDescent="0.2">
      <c r="E36" s="341"/>
      <c r="F36" s="341"/>
      <c r="G36" s="341"/>
      <c r="H36" s="341"/>
      <c r="I36" s="341"/>
      <c r="J36" s="341"/>
      <c r="K36" s="341"/>
      <c r="L36" s="341"/>
      <c r="M36" s="341"/>
      <c r="N36" s="341"/>
      <c r="O36" s="341"/>
      <c r="P36" s="341"/>
      <c r="Q36" s="341"/>
      <c r="R36" s="341"/>
      <c r="S36" s="341"/>
      <c r="T36" s="341"/>
    </row>
    <row r="37" spans="5:20" x14ac:dyDescent="0.2">
      <c r="E37" s="341"/>
      <c r="F37" s="341"/>
      <c r="G37" s="341"/>
      <c r="H37" s="341"/>
      <c r="I37" s="341"/>
      <c r="J37" s="341"/>
      <c r="K37" s="341"/>
      <c r="L37" s="341"/>
      <c r="M37" s="341"/>
      <c r="N37" s="341"/>
      <c r="O37" s="341"/>
      <c r="P37" s="341"/>
      <c r="Q37" s="341"/>
      <c r="R37" s="341"/>
      <c r="S37" s="341"/>
      <c r="T37" s="341"/>
    </row>
    <row r="38" spans="5:20" x14ac:dyDescent="0.2">
      <c r="E38" s="341"/>
      <c r="F38" s="341"/>
      <c r="G38" s="341"/>
      <c r="H38" s="341"/>
      <c r="I38" s="341"/>
      <c r="J38" s="341"/>
      <c r="K38" s="341"/>
      <c r="L38" s="341"/>
      <c r="M38" s="341"/>
      <c r="N38" s="341"/>
      <c r="O38" s="341"/>
      <c r="P38" s="341"/>
      <c r="Q38" s="341"/>
      <c r="R38" s="341"/>
      <c r="S38" s="341"/>
      <c r="T38" s="341"/>
    </row>
    <row r="39" spans="5:20" x14ac:dyDescent="0.2">
      <c r="E39" s="341"/>
      <c r="F39" s="341"/>
      <c r="G39" s="341"/>
      <c r="H39" s="341"/>
      <c r="I39" s="341"/>
      <c r="J39" s="341"/>
      <c r="K39" s="341"/>
      <c r="L39" s="341"/>
      <c r="M39" s="341"/>
      <c r="N39" s="341"/>
      <c r="O39" s="341"/>
      <c r="P39" s="341"/>
      <c r="Q39" s="341"/>
      <c r="R39" s="341"/>
      <c r="S39" s="341"/>
      <c r="T39" s="341"/>
    </row>
    <row r="40" spans="5:20" x14ac:dyDescent="0.2">
      <c r="E40" s="341"/>
      <c r="F40" s="341"/>
      <c r="G40" s="341"/>
      <c r="H40" s="341"/>
      <c r="I40" s="341"/>
      <c r="J40" s="341"/>
      <c r="K40" s="341"/>
      <c r="L40" s="341"/>
      <c r="M40" s="341"/>
      <c r="N40" s="341"/>
      <c r="O40" s="341"/>
      <c r="P40" s="341"/>
      <c r="Q40" s="341"/>
      <c r="R40" s="341"/>
      <c r="S40" s="341"/>
      <c r="T40" s="341"/>
    </row>
  </sheetData>
  <sheetProtection password="C82C" sheet="1" scenarios="1" selectLockedCells="1" selectUnlockedCells="1"/>
  <printOptions horizontalCentered="1" verticalCentered="1"/>
  <pageMargins left="0.70866141732283472" right="0.70866141732283472" top="0.98425196850393704" bottom="0.74803149606299213" header="0.31496062992125984" footer="0.31496062992125984"/>
  <pageSetup paperSize="9" scale="92" orientation="landscape" r:id="rId1"/>
  <headerFooter>
    <oddHeader>&amp;LPUBLIC&amp;CEfficient Costs of New Entrant Ethanol Producers&amp;R&amp;G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fitToPage="1"/>
  </sheetPr>
  <dimension ref="E3:T41"/>
  <sheetViews>
    <sheetView showGridLines="0" zoomScaleNormal="100" zoomScaleSheetLayoutView="100" workbookViewId="0">
      <selection activeCell="B5" sqref="B5"/>
    </sheetView>
  </sheetViews>
  <sheetFormatPr defaultRowHeight="12.75" x14ac:dyDescent="0.2"/>
  <cols>
    <col min="1" max="3" width="9.140625" style="619"/>
    <col min="4" max="4" width="17.42578125" style="619" customWidth="1"/>
    <col min="5" max="19" width="9.140625" style="619"/>
    <col min="20" max="20" width="6.5703125" style="619" customWidth="1"/>
    <col min="21" max="16384" width="9.140625" style="619"/>
  </cols>
  <sheetData>
    <row r="3" spans="5:20" x14ac:dyDescent="0.2">
      <c r="E3" s="341"/>
      <c r="F3" s="341"/>
      <c r="G3" s="341"/>
      <c r="H3" s="341"/>
      <c r="I3" s="341"/>
      <c r="J3" s="341"/>
      <c r="K3" s="341"/>
      <c r="L3" s="341"/>
      <c r="M3" s="341"/>
      <c r="N3" s="341"/>
      <c r="O3" s="341"/>
      <c r="P3" s="341"/>
      <c r="Q3" s="341"/>
      <c r="R3" s="341"/>
      <c r="S3" s="341"/>
      <c r="T3" s="341"/>
    </row>
    <row r="4" spans="5:20" x14ac:dyDescent="0.2">
      <c r="E4" s="341"/>
      <c r="F4" s="341"/>
      <c r="G4" s="341"/>
      <c r="H4" s="341"/>
      <c r="I4" s="341"/>
      <c r="J4" s="341"/>
      <c r="K4" s="341"/>
      <c r="L4" s="341"/>
      <c r="M4" s="341"/>
      <c r="N4" s="341"/>
      <c r="O4" s="341"/>
      <c r="P4" s="341"/>
      <c r="Q4" s="341"/>
      <c r="R4" s="341"/>
      <c r="S4" s="341"/>
      <c r="T4" s="341"/>
    </row>
    <row r="5" spans="5:20" x14ac:dyDescent="0.2">
      <c r="E5" s="341"/>
      <c r="F5" s="341"/>
      <c r="G5" s="341"/>
      <c r="H5" s="341"/>
      <c r="I5" s="341"/>
      <c r="J5" s="341"/>
      <c r="K5" s="341"/>
      <c r="L5" s="341"/>
      <c r="M5" s="341"/>
      <c r="N5" s="341"/>
      <c r="O5" s="341"/>
      <c r="P5" s="341"/>
      <c r="Q5" s="341"/>
      <c r="R5" s="341"/>
      <c r="S5" s="341"/>
      <c r="T5" s="341"/>
    </row>
    <row r="6" spans="5:20" x14ac:dyDescent="0.2">
      <c r="E6" s="341"/>
      <c r="F6" s="341"/>
      <c r="G6" s="341"/>
      <c r="H6" s="341"/>
      <c r="I6" s="341"/>
      <c r="J6" s="341"/>
      <c r="K6" s="341"/>
      <c r="L6" s="341"/>
      <c r="M6" s="341"/>
      <c r="N6" s="341"/>
      <c r="O6" s="341"/>
      <c r="P6" s="341"/>
      <c r="Q6" s="341"/>
      <c r="R6" s="341"/>
      <c r="S6" s="341"/>
      <c r="T6" s="341"/>
    </row>
    <row r="7" spans="5:20" x14ac:dyDescent="0.2">
      <c r="E7" s="341"/>
      <c r="F7" s="341"/>
      <c r="G7" s="341"/>
      <c r="H7" s="341"/>
      <c r="I7" s="341"/>
      <c r="J7" s="341"/>
      <c r="K7" s="341"/>
      <c r="L7" s="341"/>
      <c r="M7" s="341"/>
      <c r="N7" s="341"/>
      <c r="O7" s="341"/>
      <c r="P7" s="341"/>
      <c r="Q7" s="341"/>
      <c r="R7" s="341"/>
      <c r="S7" s="341"/>
      <c r="T7" s="341"/>
    </row>
    <row r="8" spans="5:20" x14ac:dyDescent="0.2">
      <c r="E8" s="341"/>
      <c r="F8" s="341"/>
      <c r="G8" s="341"/>
      <c r="H8" s="341"/>
      <c r="I8" s="341"/>
      <c r="J8" s="341"/>
      <c r="K8" s="341"/>
      <c r="L8" s="341"/>
      <c r="M8" s="341"/>
      <c r="N8" s="341"/>
      <c r="O8" s="341"/>
      <c r="P8" s="341"/>
      <c r="Q8" s="341"/>
      <c r="R8" s="341"/>
      <c r="S8" s="341"/>
      <c r="T8" s="341"/>
    </row>
    <row r="9" spans="5:20" x14ac:dyDescent="0.2">
      <c r="E9" s="341"/>
      <c r="F9" s="341"/>
      <c r="G9" s="341"/>
      <c r="H9" s="341"/>
      <c r="I9" s="341"/>
      <c r="J9" s="341"/>
      <c r="K9" s="341"/>
      <c r="L9" s="341"/>
      <c r="M9" s="341"/>
      <c r="N9" s="341"/>
      <c r="O9" s="341"/>
      <c r="P9" s="341"/>
      <c r="Q9" s="341"/>
      <c r="R9" s="341"/>
      <c r="S9" s="341"/>
      <c r="T9" s="341"/>
    </row>
    <row r="10" spans="5:20" x14ac:dyDescent="0.2">
      <c r="E10" s="341"/>
      <c r="F10" s="341"/>
      <c r="G10" s="341"/>
      <c r="H10" s="341"/>
      <c r="I10" s="341"/>
      <c r="J10" s="341"/>
      <c r="K10" s="341"/>
      <c r="L10" s="341"/>
      <c r="M10" s="341"/>
      <c r="N10" s="341"/>
      <c r="O10" s="341"/>
      <c r="P10" s="341"/>
      <c r="Q10" s="341"/>
      <c r="R10" s="341"/>
      <c r="S10" s="341"/>
      <c r="T10" s="341"/>
    </row>
    <row r="11" spans="5:20" x14ac:dyDescent="0.2">
      <c r="E11" s="341"/>
      <c r="F11" s="341"/>
      <c r="G11" s="341"/>
      <c r="H11" s="341"/>
      <c r="I11" s="341"/>
      <c r="J11" s="341"/>
      <c r="K11" s="341"/>
      <c r="L11" s="341"/>
      <c r="M11" s="341"/>
      <c r="N11" s="341"/>
      <c r="O11" s="341"/>
      <c r="P11" s="341"/>
      <c r="Q11" s="341"/>
      <c r="R11" s="341"/>
      <c r="S11" s="341"/>
      <c r="T11" s="341"/>
    </row>
    <row r="12" spans="5:20" x14ac:dyDescent="0.2">
      <c r="E12" s="341"/>
      <c r="F12" s="341"/>
      <c r="G12" s="341"/>
      <c r="H12" s="341"/>
      <c r="I12" s="341"/>
      <c r="J12" s="341"/>
      <c r="K12" s="341"/>
      <c r="L12" s="341"/>
      <c r="M12" s="341"/>
      <c r="N12" s="341"/>
      <c r="O12" s="341"/>
      <c r="P12" s="341"/>
      <c r="Q12" s="341"/>
      <c r="R12" s="341"/>
      <c r="S12" s="341"/>
      <c r="T12" s="341"/>
    </row>
    <row r="13" spans="5:20" x14ac:dyDescent="0.2">
      <c r="E13" s="341"/>
      <c r="F13" s="341"/>
      <c r="G13" s="341"/>
      <c r="H13" s="341"/>
      <c r="I13" s="341"/>
      <c r="J13" s="341"/>
      <c r="K13" s="341"/>
      <c r="L13" s="341"/>
      <c r="M13" s="341"/>
      <c r="N13" s="341"/>
      <c r="O13" s="341"/>
      <c r="P13" s="341"/>
      <c r="Q13" s="341"/>
      <c r="R13" s="341"/>
      <c r="S13" s="341"/>
      <c r="T13" s="341"/>
    </row>
    <row r="14" spans="5:20" x14ac:dyDescent="0.2">
      <c r="E14" s="341"/>
      <c r="F14" s="341"/>
      <c r="G14" s="341"/>
      <c r="H14" s="341"/>
      <c r="I14" s="341"/>
      <c r="J14" s="341"/>
      <c r="K14" s="341"/>
      <c r="L14" s="341"/>
      <c r="M14" s="341"/>
      <c r="N14" s="341"/>
      <c r="O14" s="341"/>
      <c r="P14" s="341"/>
      <c r="Q14" s="341"/>
      <c r="R14" s="341"/>
      <c r="S14" s="341"/>
      <c r="T14" s="341"/>
    </row>
    <row r="15" spans="5:20" x14ac:dyDescent="0.2">
      <c r="E15" s="341"/>
      <c r="F15" s="341"/>
      <c r="G15" s="341"/>
      <c r="H15" s="341"/>
      <c r="I15" s="341"/>
      <c r="J15" s="341"/>
      <c r="K15" s="341"/>
      <c r="L15" s="341"/>
      <c r="M15" s="341"/>
      <c r="N15" s="341"/>
      <c r="O15" s="341"/>
      <c r="P15" s="341"/>
      <c r="Q15" s="341"/>
      <c r="R15" s="341"/>
      <c r="S15" s="341"/>
      <c r="T15" s="341"/>
    </row>
    <row r="16" spans="5:20" x14ac:dyDescent="0.2">
      <c r="E16" s="341"/>
      <c r="F16" s="341"/>
      <c r="G16" s="341"/>
      <c r="H16" s="341"/>
      <c r="I16" s="341"/>
      <c r="J16" s="341"/>
      <c r="K16" s="341"/>
      <c r="L16" s="341"/>
      <c r="M16" s="341"/>
      <c r="N16" s="341"/>
      <c r="O16" s="341"/>
      <c r="P16" s="341"/>
      <c r="Q16" s="341"/>
      <c r="R16" s="341"/>
      <c r="S16" s="341"/>
      <c r="T16" s="341"/>
    </row>
    <row r="17" spans="5:20" x14ac:dyDescent="0.2">
      <c r="E17" s="341"/>
      <c r="F17" s="341"/>
      <c r="G17" s="341"/>
      <c r="H17" s="341"/>
      <c r="I17" s="341"/>
      <c r="J17" s="341"/>
      <c r="K17" s="341"/>
      <c r="L17" s="341"/>
      <c r="M17" s="341"/>
      <c r="N17" s="341"/>
      <c r="O17" s="341"/>
      <c r="P17" s="341"/>
      <c r="Q17" s="341"/>
      <c r="R17" s="341"/>
      <c r="S17" s="341"/>
      <c r="T17" s="341"/>
    </row>
    <row r="18" spans="5:20" x14ac:dyDescent="0.2">
      <c r="E18" s="341"/>
      <c r="F18" s="341"/>
      <c r="G18" s="341"/>
      <c r="H18" s="341"/>
      <c r="I18" s="341"/>
      <c r="J18" s="341"/>
      <c r="K18" s="341"/>
      <c r="L18" s="341"/>
      <c r="M18" s="341"/>
      <c r="N18" s="341"/>
      <c r="O18" s="341"/>
      <c r="P18" s="341"/>
      <c r="Q18" s="341"/>
      <c r="R18" s="341"/>
      <c r="S18" s="341"/>
      <c r="T18" s="341"/>
    </row>
    <row r="19" spans="5:20" x14ac:dyDescent="0.2">
      <c r="E19" s="341"/>
      <c r="F19" s="341"/>
      <c r="G19" s="341"/>
      <c r="H19" s="341"/>
      <c r="I19" s="341"/>
      <c r="J19" s="341"/>
      <c r="K19" s="341"/>
      <c r="L19" s="341"/>
      <c r="M19" s="341"/>
      <c r="N19" s="341"/>
      <c r="O19" s="341"/>
      <c r="P19" s="341"/>
      <c r="Q19" s="341"/>
      <c r="R19" s="341"/>
      <c r="S19" s="341"/>
      <c r="T19" s="341"/>
    </row>
    <row r="20" spans="5:20" x14ac:dyDescent="0.2">
      <c r="E20" s="341"/>
      <c r="F20" s="341"/>
      <c r="G20" s="341"/>
      <c r="H20" s="341"/>
      <c r="I20" s="341"/>
      <c r="J20" s="341"/>
      <c r="K20" s="341"/>
      <c r="L20" s="341"/>
      <c r="M20" s="341"/>
      <c r="N20" s="341"/>
      <c r="O20" s="341"/>
      <c r="P20" s="341"/>
      <c r="Q20" s="341"/>
      <c r="R20" s="341"/>
      <c r="S20" s="341"/>
      <c r="T20" s="341"/>
    </row>
    <row r="21" spans="5:20" x14ac:dyDescent="0.2">
      <c r="E21" s="341"/>
      <c r="F21" s="341"/>
      <c r="G21" s="341"/>
      <c r="H21" s="341"/>
      <c r="I21" s="341"/>
      <c r="J21" s="341"/>
      <c r="K21" s="341"/>
      <c r="L21" s="341"/>
      <c r="M21" s="341"/>
      <c r="N21" s="341"/>
      <c r="O21" s="341"/>
      <c r="P21" s="341"/>
      <c r="Q21" s="341"/>
      <c r="R21" s="341"/>
      <c r="S21" s="341"/>
      <c r="T21" s="341"/>
    </row>
    <row r="22" spans="5:20" x14ac:dyDescent="0.2">
      <c r="E22" s="341"/>
      <c r="F22" s="341"/>
      <c r="G22" s="341"/>
      <c r="H22" s="341"/>
      <c r="I22" s="341"/>
      <c r="J22" s="341"/>
      <c r="K22" s="341"/>
      <c r="L22" s="341"/>
      <c r="M22" s="341"/>
      <c r="N22" s="341"/>
      <c r="O22" s="341"/>
      <c r="P22" s="341"/>
      <c r="Q22" s="341"/>
      <c r="R22" s="341"/>
      <c r="S22" s="341"/>
      <c r="T22" s="341"/>
    </row>
    <row r="23" spans="5:20" x14ac:dyDescent="0.2">
      <c r="E23" s="341"/>
      <c r="F23" s="341"/>
      <c r="G23" s="341"/>
      <c r="H23" s="341"/>
      <c r="I23" s="341"/>
      <c r="J23" s="341"/>
      <c r="K23" s="341"/>
      <c r="L23" s="341"/>
      <c r="M23" s="341"/>
      <c r="N23" s="341"/>
      <c r="O23" s="341"/>
      <c r="P23" s="341"/>
      <c r="Q23" s="341"/>
      <c r="R23" s="341"/>
      <c r="S23" s="341"/>
      <c r="T23" s="341"/>
    </row>
    <row r="24" spans="5:20" x14ac:dyDescent="0.2">
      <c r="E24" s="341"/>
      <c r="F24" s="341"/>
      <c r="G24" s="341"/>
      <c r="H24" s="341"/>
      <c r="I24" s="341"/>
      <c r="J24" s="341"/>
      <c r="K24" s="341"/>
      <c r="L24" s="341"/>
      <c r="M24" s="341"/>
      <c r="N24" s="341"/>
      <c r="O24" s="341"/>
      <c r="P24" s="341"/>
      <c r="Q24" s="341"/>
      <c r="R24" s="341"/>
      <c r="S24" s="341"/>
      <c r="T24" s="341"/>
    </row>
    <row r="25" spans="5:20" x14ac:dyDescent="0.2">
      <c r="E25" s="341"/>
      <c r="F25" s="341"/>
      <c r="G25" s="341"/>
      <c r="H25" s="341"/>
      <c r="I25" s="341"/>
      <c r="J25" s="341"/>
      <c r="K25" s="341"/>
      <c r="L25" s="341"/>
      <c r="M25" s="341"/>
      <c r="N25" s="341"/>
      <c r="O25" s="341"/>
      <c r="P25" s="341"/>
      <c r="Q25" s="341"/>
      <c r="R25" s="341"/>
      <c r="S25" s="341"/>
      <c r="T25" s="341"/>
    </row>
    <row r="26" spans="5:20" x14ac:dyDescent="0.2">
      <c r="E26" s="341"/>
      <c r="F26" s="341"/>
      <c r="G26" s="341"/>
      <c r="H26" s="341"/>
      <c r="I26" s="341"/>
      <c r="J26" s="341"/>
      <c r="K26" s="341"/>
      <c r="L26" s="341"/>
      <c r="M26" s="341"/>
      <c r="N26" s="341"/>
      <c r="O26" s="341"/>
      <c r="P26" s="341"/>
      <c r="Q26" s="341"/>
      <c r="R26" s="341"/>
      <c r="S26" s="341"/>
      <c r="T26" s="341"/>
    </row>
    <row r="27" spans="5:20" x14ac:dyDescent="0.2">
      <c r="E27" s="341"/>
      <c r="F27" s="341"/>
      <c r="G27" s="341"/>
      <c r="H27" s="341"/>
      <c r="I27" s="341"/>
      <c r="J27" s="341"/>
      <c r="K27" s="341"/>
      <c r="L27" s="341"/>
      <c r="M27" s="341"/>
      <c r="N27" s="341"/>
      <c r="O27" s="341"/>
      <c r="P27" s="341"/>
      <c r="Q27" s="341"/>
      <c r="R27" s="341"/>
      <c r="S27" s="341"/>
      <c r="T27" s="341"/>
    </row>
    <row r="28" spans="5:20" x14ac:dyDescent="0.2">
      <c r="E28" s="341"/>
      <c r="F28" s="341"/>
      <c r="G28" s="341"/>
      <c r="H28" s="341"/>
      <c r="I28" s="341"/>
      <c r="J28" s="341"/>
      <c r="K28" s="341"/>
      <c r="L28" s="341"/>
      <c r="M28" s="341"/>
      <c r="N28" s="341"/>
      <c r="O28" s="341"/>
      <c r="P28" s="341"/>
      <c r="Q28" s="341"/>
      <c r="R28" s="341"/>
      <c r="S28" s="341"/>
      <c r="T28" s="341"/>
    </row>
    <row r="29" spans="5:20" x14ac:dyDescent="0.2">
      <c r="E29" s="341"/>
      <c r="F29" s="341"/>
      <c r="G29" s="341"/>
      <c r="H29" s="341"/>
      <c r="I29" s="341"/>
      <c r="J29" s="341"/>
      <c r="K29" s="341"/>
      <c r="L29" s="341"/>
      <c r="M29" s="341"/>
      <c r="N29" s="341"/>
      <c r="O29" s="341"/>
      <c r="P29" s="341"/>
      <c r="Q29" s="341"/>
      <c r="R29" s="341"/>
      <c r="S29" s="341"/>
      <c r="T29" s="341"/>
    </row>
    <row r="30" spans="5:20" x14ac:dyDescent="0.2">
      <c r="E30" s="341"/>
      <c r="F30" s="341"/>
      <c r="G30" s="341"/>
      <c r="H30" s="341"/>
      <c r="I30" s="341"/>
      <c r="J30" s="341"/>
      <c r="K30" s="341"/>
      <c r="L30" s="341"/>
      <c r="M30" s="341"/>
      <c r="N30" s="341"/>
      <c r="O30" s="341"/>
      <c r="P30" s="341"/>
      <c r="Q30" s="341"/>
      <c r="R30" s="341"/>
      <c r="S30" s="341"/>
      <c r="T30" s="341"/>
    </row>
    <row r="31" spans="5:20" x14ac:dyDescent="0.2">
      <c r="E31" s="341"/>
      <c r="F31" s="341"/>
      <c r="G31" s="341"/>
      <c r="H31" s="341"/>
      <c r="I31" s="341"/>
      <c r="J31" s="341"/>
      <c r="K31" s="341"/>
      <c r="L31" s="341"/>
      <c r="M31" s="341"/>
      <c r="N31" s="341"/>
      <c r="O31" s="341"/>
      <c r="P31" s="341"/>
      <c r="Q31" s="341"/>
      <c r="R31" s="341"/>
      <c r="S31" s="341"/>
      <c r="T31" s="341"/>
    </row>
    <row r="32" spans="5:20" x14ac:dyDescent="0.2">
      <c r="E32" s="341"/>
      <c r="F32" s="341"/>
      <c r="G32" s="341"/>
      <c r="H32" s="341"/>
      <c r="I32" s="341"/>
      <c r="J32" s="341"/>
      <c r="K32" s="341"/>
      <c r="L32" s="341"/>
      <c r="M32" s="341"/>
      <c r="N32" s="341"/>
      <c r="O32" s="341"/>
      <c r="P32" s="341"/>
      <c r="Q32" s="341"/>
      <c r="R32" s="341"/>
      <c r="S32" s="341"/>
      <c r="T32" s="341"/>
    </row>
    <row r="33" spans="5:20" x14ac:dyDescent="0.2">
      <c r="E33" s="341"/>
      <c r="F33" s="341"/>
      <c r="G33" s="341"/>
      <c r="H33" s="341"/>
      <c r="I33" s="341"/>
      <c r="J33" s="341"/>
      <c r="K33" s="341"/>
      <c r="L33" s="341"/>
      <c r="M33" s="341"/>
      <c r="N33" s="341"/>
      <c r="O33" s="341"/>
      <c r="P33" s="341"/>
      <c r="Q33" s="341"/>
      <c r="R33" s="341"/>
      <c r="S33" s="341"/>
      <c r="T33" s="341"/>
    </row>
    <row r="34" spans="5:20" x14ac:dyDescent="0.2">
      <c r="E34" s="341"/>
      <c r="F34" s="341"/>
      <c r="G34" s="341"/>
      <c r="H34" s="341"/>
      <c r="I34" s="341"/>
      <c r="J34" s="341"/>
      <c r="K34" s="341"/>
      <c r="L34" s="341"/>
      <c r="M34" s="341"/>
      <c r="N34" s="341"/>
      <c r="O34" s="341"/>
      <c r="P34" s="341"/>
      <c r="Q34" s="341"/>
      <c r="R34" s="341"/>
      <c r="S34" s="341"/>
      <c r="T34" s="341"/>
    </row>
    <row r="35" spans="5:20" x14ac:dyDescent="0.2">
      <c r="E35" s="341"/>
      <c r="F35" s="341"/>
      <c r="G35" s="341"/>
      <c r="H35" s="341"/>
      <c r="I35" s="341"/>
      <c r="J35" s="341"/>
      <c r="K35" s="341"/>
      <c r="L35" s="341"/>
      <c r="M35" s="341"/>
      <c r="N35" s="341"/>
      <c r="O35" s="341"/>
      <c r="P35" s="341"/>
      <c r="Q35" s="341"/>
      <c r="R35" s="341"/>
      <c r="S35" s="341"/>
      <c r="T35" s="341"/>
    </row>
    <row r="36" spans="5:20" x14ac:dyDescent="0.2">
      <c r="E36" s="341"/>
      <c r="F36" s="341"/>
      <c r="G36" s="341"/>
      <c r="H36" s="341"/>
      <c r="I36" s="341"/>
      <c r="J36" s="341"/>
      <c r="K36" s="341"/>
      <c r="L36" s="341"/>
      <c r="M36" s="341"/>
      <c r="N36" s="341"/>
      <c r="O36" s="341"/>
      <c r="P36" s="341"/>
      <c r="Q36" s="341"/>
      <c r="R36" s="341"/>
      <c r="S36" s="341"/>
      <c r="T36" s="341"/>
    </row>
    <row r="37" spans="5:20" x14ac:dyDescent="0.2">
      <c r="E37" s="341"/>
      <c r="F37" s="341"/>
      <c r="G37" s="341"/>
      <c r="H37" s="341"/>
      <c r="I37" s="341"/>
      <c r="J37" s="341"/>
      <c r="K37" s="341"/>
      <c r="L37" s="341"/>
      <c r="M37" s="341"/>
      <c r="N37" s="341"/>
      <c r="O37" s="341"/>
      <c r="P37" s="341"/>
      <c r="Q37" s="341"/>
      <c r="R37" s="341"/>
      <c r="S37" s="341"/>
      <c r="T37" s="341"/>
    </row>
    <row r="38" spans="5:20" x14ac:dyDescent="0.2">
      <c r="E38" s="341"/>
      <c r="F38" s="341"/>
      <c r="G38" s="341"/>
      <c r="H38" s="341"/>
      <c r="I38" s="341"/>
      <c r="J38" s="341"/>
      <c r="K38" s="341"/>
      <c r="L38" s="341"/>
      <c r="M38" s="341"/>
      <c r="N38" s="341"/>
      <c r="O38" s="341"/>
      <c r="P38" s="341"/>
      <c r="Q38" s="341"/>
      <c r="R38" s="341"/>
      <c r="S38" s="341"/>
      <c r="T38" s="341"/>
    </row>
    <row r="39" spans="5:20" x14ac:dyDescent="0.2">
      <c r="E39" s="341"/>
      <c r="F39" s="341"/>
      <c r="G39" s="341"/>
      <c r="H39" s="341"/>
      <c r="I39" s="341"/>
      <c r="J39" s="341"/>
      <c r="K39" s="341"/>
      <c r="L39" s="341"/>
      <c r="M39" s="341"/>
      <c r="N39" s="341"/>
      <c r="O39" s="341"/>
      <c r="P39" s="341"/>
      <c r="Q39" s="341"/>
      <c r="R39" s="341"/>
      <c r="S39" s="341"/>
      <c r="T39" s="341"/>
    </row>
    <row r="40" spans="5:20" x14ac:dyDescent="0.2">
      <c r="E40" s="341"/>
      <c r="F40" s="341"/>
      <c r="G40" s="341"/>
      <c r="H40" s="341"/>
      <c r="I40" s="341"/>
      <c r="J40" s="341"/>
      <c r="K40" s="341"/>
      <c r="L40" s="341"/>
      <c r="M40" s="341"/>
      <c r="N40" s="341"/>
      <c r="O40" s="341"/>
      <c r="P40" s="341"/>
      <c r="Q40" s="341"/>
      <c r="R40" s="341"/>
      <c r="S40" s="341"/>
      <c r="T40" s="341"/>
    </row>
    <row r="41" spans="5:20" x14ac:dyDescent="0.2">
      <c r="E41" s="341"/>
      <c r="F41" s="341"/>
      <c r="G41" s="341"/>
      <c r="H41" s="341"/>
      <c r="I41" s="341"/>
      <c r="J41" s="341"/>
      <c r="K41" s="341"/>
      <c r="L41" s="341"/>
      <c r="M41" s="341"/>
      <c r="N41" s="341"/>
      <c r="O41" s="341"/>
      <c r="P41" s="341"/>
      <c r="Q41" s="341"/>
      <c r="R41" s="341"/>
      <c r="S41" s="341"/>
      <c r="T41" s="341"/>
    </row>
  </sheetData>
  <sheetProtection password="C82C" sheet="1" scenarios="1" selectLockedCells="1" selectUnlockedCells="1"/>
  <printOptions horizontalCentered="1" verticalCentered="1"/>
  <pageMargins left="0.70866141732283472" right="0.70866141732283472" top="0.74803149606299213" bottom="0.74803149606299213" header="0.31496062992125984" footer="0.31496062992125984"/>
  <pageSetup paperSize="9" scale="92" orientation="landscape" r:id="rId1"/>
  <headerFooter>
    <oddHeader>&amp;LPUBLIC&amp;CEfficient Costs of New Entrant Ethanol Producers&amp;R&amp;G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fitToPage="1"/>
  </sheetPr>
  <dimension ref="A1:BK279"/>
  <sheetViews>
    <sheetView showGridLines="0" zoomScaleNormal="100" zoomScaleSheetLayoutView="100" workbookViewId="0">
      <selection activeCell="D8" sqref="D8"/>
    </sheetView>
  </sheetViews>
  <sheetFormatPr defaultRowHeight="12.75" x14ac:dyDescent="0.2"/>
  <cols>
    <col min="1" max="5" width="9.140625" style="617"/>
    <col min="6" max="20" width="9.140625" style="766"/>
    <col min="21" max="21" width="8" style="766" customWidth="1"/>
    <col min="22" max="22" width="9.140625" style="766"/>
    <col min="23" max="63" width="9.140625" style="617"/>
    <col min="64" max="16384" width="9.140625" style="766"/>
  </cols>
  <sheetData>
    <row r="1" spans="6:22" x14ac:dyDescent="0.2">
      <c r="F1" s="617"/>
      <c r="G1" s="617"/>
      <c r="H1" s="617"/>
      <c r="I1" s="617"/>
      <c r="J1" s="617"/>
      <c r="K1" s="617"/>
      <c r="L1" s="617"/>
      <c r="M1" s="617"/>
      <c r="N1" s="617"/>
      <c r="O1" s="617"/>
      <c r="P1" s="617"/>
      <c r="Q1" s="617"/>
      <c r="R1" s="617"/>
      <c r="S1" s="617"/>
      <c r="T1" s="617"/>
      <c r="U1" s="617"/>
      <c r="V1" s="617"/>
    </row>
    <row r="2" spans="6:22" x14ac:dyDescent="0.2">
      <c r="F2" s="617"/>
      <c r="G2" s="617"/>
      <c r="H2" s="617"/>
      <c r="I2" s="617"/>
      <c r="J2" s="617"/>
      <c r="K2" s="617"/>
      <c r="L2" s="617"/>
      <c r="M2" s="617"/>
      <c r="N2" s="617"/>
      <c r="O2" s="617"/>
      <c r="P2" s="617"/>
      <c r="Q2" s="617"/>
      <c r="R2" s="617"/>
      <c r="S2" s="617"/>
      <c r="T2" s="617"/>
      <c r="U2" s="617"/>
      <c r="V2" s="617"/>
    </row>
    <row r="3" spans="6:22" x14ac:dyDescent="0.2">
      <c r="V3" s="617"/>
    </row>
    <row r="4" spans="6:22" x14ac:dyDescent="0.2">
      <c r="V4" s="617"/>
    </row>
    <row r="5" spans="6:22" x14ac:dyDescent="0.2">
      <c r="V5" s="617"/>
    </row>
    <row r="6" spans="6:22" x14ac:dyDescent="0.2">
      <c r="V6" s="617"/>
    </row>
    <row r="7" spans="6:22" x14ac:dyDescent="0.2">
      <c r="V7" s="617"/>
    </row>
    <row r="8" spans="6:22" x14ac:dyDescent="0.2">
      <c r="V8" s="617"/>
    </row>
    <row r="9" spans="6:22" x14ac:dyDescent="0.2">
      <c r="V9" s="617"/>
    </row>
    <row r="10" spans="6:22" x14ac:dyDescent="0.2">
      <c r="V10" s="617"/>
    </row>
    <row r="11" spans="6:22" x14ac:dyDescent="0.2">
      <c r="V11" s="617"/>
    </row>
    <row r="12" spans="6:22" x14ac:dyDescent="0.2">
      <c r="V12" s="617"/>
    </row>
    <row r="13" spans="6:22" x14ac:dyDescent="0.2">
      <c r="V13" s="617"/>
    </row>
    <row r="14" spans="6:22" x14ac:dyDescent="0.2">
      <c r="V14" s="617"/>
    </row>
    <row r="15" spans="6:22" x14ac:dyDescent="0.2">
      <c r="V15" s="617"/>
    </row>
    <row r="16" spans="6:22" x14ac:dyDescent="0.2">
      <c r="V16" s="617"/>
    </row>
    <row r="17" spans="22:22" x14ac:dyDescent="0.2">
      <c r="V17" s="617"/>
    </row>
    <row r="18" spans="22:22" x14ac:dyDescent="0.2">
      <c r="V18" s="617"/>
    </row>
    <row r="19" spans="22:22" x14ac:dyDescent="0.2">
      <c r="V19" s="617"/>
    </row>
    <row r="20" spans="22:22" x14ac:dyDescent="0.2">
      <c r="V20" s="617"/>
    </row>
    <row r="21" spans="22:22" x14ac:dyDescent="0.2">
      <c r="V21" s="617"/>
    </row>
    <row r="22" spans="22:22" x14ac:dyDescent="0.2">
      <c r="V22" s="617"/>
    </row>
    <row r="23" spans="22:22" x14ac:dyDescent="0.2">
      <c r="V23" s="617"/>
    </row>
    <row r="24" spans="22:22" x14ac:dyDescent="0.2">
      <c r="V24" s="617"/>
    </row>
    <row r="25" spans="22:22" x14ac:dyDescent="0.2">
      <c r="V25" s="617"/>
    </row>
    <row r="26" spans="22:22" x14ac:dyDescent="0.2">
      <c r="V26" s="617"/>
    </row>
    <row r="27" spans="22:22" x14ac:dyDescent="0.2">
      <c r="V27" s="617"/>
    </row>
    <row r="28" spans="22:22" x14ac:dyDescent="0.2">
      <c r="V28" s="617"/>
    </row>
    <row r="29" spans="22:22" x14ac:dyDescent="0.2">
      <c r="V29" s="617"/>
    </row>
    <row r="30" spans="22:22" x14ac:dyDescent="0.2">
      <c r="V30" s="617"/>
    </row>
    <row r="31" spans="22:22" x14ac:dyDescent="0.2">
      <c r="V31" s="617"/>
    </row>
    <row r="32" spans="22:22" x14ac:dyDescent="0.2">
      <c r="V32" s="617"/>
    </row>
    <row r="33" spans="6:22" x14ac:dyDescent="0.2">
      <c r="V33" s="617"/>
    </row>
    <row r="34" spans="6:22" x14ac:dyDescent="0.2">
      <c r="V34" s="617"/>
    </row>
    <row r="35" spans="6:22" x14ac:dyDescent="0.2">
      <c r="V35" s="617"/>
    </row>
    <row r="36" spans="6:22" x14ac:dyDescent="0.2">
      <c r="V36" s="617"/>
    </row>
    <row r="37" spans="6:22" x14ac:dyDescent="0.2">
      <c r="V37" s="617"/>
    </row>
    <row r="38" spans="6:22" x14ac:dyDescent="0.2">
      <c r="V38" s="617"/>
    </row>
    <row r="39" spans="6:22" x14ac:dyDescent="0.2">
      <c r="V39" s="617"/>
    </row>
    <row r="40" spans="6:22" x14ac:dyDescent="0.2">
      <c r="V40" s="617"/>
    </row>
    <row r="41" spans="6:22" x14ac:dyDescent="0.2">
      <c r="V41" s="617"/>
    </row>
    <row r="42" spans="6:22" x14ac:dyDescent="0.2">
      <c r="F42" s="617"/>
      <c r="G42" s="617"/>
      <c r="H42" s="617"/>
      <c r="I42" s="617"/>
      <c r="J42" s="617"/>
      <c r="K42" s="617"/>
      <c r="L42" s="617"/>
      <c r="M42" s="617"/>
      <c r="N42" s="617"/>
      <c r="O42" s="617"/>
      <c r="P42" s="617"/>
      <c r="Q42" s="617"/>
      <c r="R42" s="617"/>
      <c r="S42" s="617"/>
      <c r="T42" s="617"/>
      <c r="U42" s="617"/>
      <c r="V42" s="617"/>
    </row>
    <row r="43" spans="6:22" s="617" customFormat="1" x14ac:dyDescent="0.2"/>
    <row r="44" spans="6:22" s="617" customFormat="1" x14ac:dyDescent="0.2"/>
    <row r="45" spans="6:22" s="617" customFormat="1" x14ac:dyDescent="0.2"/>
    <row r="46" spans="6:22" s="617" customFormat="1" x14ac:dyDescent="0.2"/>
    <row r="47" spans="6:22" s="617" customFormat="1" x14ac:dyDescent="0.2"/>
    <row r="48" spans="6:22" s="617" customFormat="1" x14ac:dyDescent="0.2"/>
    <row r="49" s="617" customFormat="1" x14ac:dyDescent="0.2"/>
    <row r="50" s="617" customFormat="1" x14ac:dyDescent="0.2"/>
    <row r="51" s="617" customFormat="1" x14ac:dyDescent="0.2"/>
    <row r="52" s="617" customFormat="1" x14ac:dyDescent="0.2"/>
    <row r="53" s="617" customFormat="1" x14ac:dyDescent="0.2"/>
    <row r="54" s="617" customFormat="1" x14ac:dyDescent="0.2"/>
    <row r="55" s="617" customFormat="1" x14ac:dyDescent="0.2"/>
    <row r="56" s="617" customFormat="1" x14ac:dyDescent="0.2"/>
    <row r="57" s="617" customFormat="1" x14ac:dyDescent="0.2"/>
    <row r="58" s="617" customFormat="1" x14ac:dyDescent="0.2"/>
    <row r="59" s="617" customFormat="1" x14ac:dyDescent="0.2"/>
    <row r="60" s="617" customFormat="1" x14ac:dyDescent="0.2"/>
    <row r="61" s="617" customFormat="1" x14ac:dyDescent="0.2"/>
    <row r="62" s="617" customFormat="1" x14ac:dyDescent="0.2"/>
    <row r="63" s="617" customFormat="1" x14ac:dyDescent="0.2"/>
    <row r="64" s="617" customFormat="1" x14ac:dyDescent="0.2"/>
    <row r="65" s="617" customFormat="1" x14ac:dyDescent="0.2"/>
    <row r="66" s="617" customFormat="1" x14ac:dyDescent="0.2"/>
    <row r="67" s="617" customFormat="1" x14ac:dyDescent="0.2"/>
    <row r="68" s="617" customFormat="1" x14ac:dyDescent="0.2"/>
    <row r="69" s="617" customFormat="1" x14ac:dyDescent="0.2"/>
    <row r="70" s="617" customFormat="1" x14ac:dyDescent="0.2"/>
    <row r="71" s="617" customFormat="1" x14ac:dyDescent="0.2"/>
    <row r="72" s="617" customFormat="1" x14ac:dyDescent="0.2"/>
    <row r="73" s="617" customFormat="1" x14ac:dyDescent="0.2"/>
    <row r="74" s="617" customFormat="1" x14ac:dyDescent="0.2"/>
    <row r="75" s="617" customFormat="1" x14ac:dyDescent="0.2"/>
    <row r="76" s="617" customFormat="1" x14ac:dyDescent="0.2"/>
    <row r="77" s="617" customFormat="1" x14ac:dyDescent="0.2"/>
    <row r="78" s="617" customFormat="1" x14ac:dyDescent="0.2"/>
    <row r="79" s="617" customFormat="1" x14ac:dyDescent="0.2"/>
    <row r="80" s="617" customFormat="1" x14ac:dyDescent="0.2"/>
    <row r="81" s="617" customFormat="1" x14ac:dyDescent="0.2"/>
    <row r="82" s="617" customFormat="1" x14ac:dyDescent="0.2"/>
    <row r="83" s="617" customFormat="1" x14ac:dyDescent="0.2"/>
    <row r="84" s="617" customFormat="1" x14ac:dyDescent="0.2"/>
    <row r="85" s="617" customFormat="1" x14ac:dyDescent="0.2"/>
    <row r="86" s="617" customFormat="1" x14ac:dyDescent="0.2"/>
    <row r="87" s="617" customFormat="1" x14ac:dyDescent="0.2"/>
    <row r="88" s="617" customFormat="1" x14ac:dyDescent="0.2"/>
    <row r="89" s="617" customFormat="1" x14ac:dyDescent="0.2"/>
    <row r="90" s="617" customFormat="1" x14ac:dyDescent="0.2"/>
    <row r="91" s="617" customFormat="1" x14ac:dyDescent="0.2"/>
    <row r="92" s="617" customFormat="1" x14ac:dyDescent="0.2"/>
    <row r="93" s="617" customFormat="1" x14ac:dyDescent="0.2"/>
    <row r="94" s="617" customFormat="1" x14ac:dyDescent="0.2"/>
    <row r="95" s="617" customFormat="1" x14ac:dyDescent="0.2"/>
    <row r="96" s="617" customFormat="1" x14ac:dyDescent="0.2"/>
    <row r="97" s="617" customFormat="1" x14ac:dyDescent="0.2"/>
    <row r="98" s="617" customFormat="1" x14ac:dyDescent="0.2"/>
    <row r="99" s="617" customFormat="1" x14ac:dyDescent="0.2"/>
    <row r="100" s="617" customFormat="1" x14ac:dyDescent="0.2"/>
    <row r="101" s="617" customFormat="1" x14ac:dyDescent="0.2"/>
    <row r="102" s="617" customFormat="1" x14ac:dyDescent="0.2"/>
    <row r="103" s="617" customFormat="1" x14ac:dyDescent="0.2"/>
    <row r="104" s="617" customFormat="1" x14ac:dyDescent="0.2"/>
    <row r="105" s="617" customFormat="1" x14ac:dyDescent="0.2"/>
    <row r="106" s="617" customFormat="1" x14ac:dyDescent="0.2"/>
    <row r="107" s="617" customFormat="1" x14ac:dyDescent="0.2"/>
    <row r="108" s="617" customFormat="1" x14ac:dyDescent="0.2"/>
    <row r="109" s="617" customFormat="1" x14ac:dyDescent="0.2"/>
    <row r="110" s="617" customFormat="1" x14ac:dyDescent="0.2"/>
    <row r="111" s="617" customFormat="1" x14ac:dyDescent="0.2"/>
    <row r="112" s="617" customFormat="1" x14ac:dyDescent="0.2"/>
    <row r="113" s="617" customFormat="1" x14ac:dyDescent="0.2"/>
    <row r="114" s="617" customFormat="1" x14ac:dyDescent="0.2"/>
    <row r="115" s="617" customFormat="1" x14ac:dyDescent="0.2"/>
    <row r="116" s="617" customFormat="1" x14ac:dyDescent="0.2"/>
    <row r="117" s="617" customFormat="1" x14ac:dyDescent="0.2"/>
    <row r="118" s="617" customFormat="1" x14ac:dyDescent="0.2"/>
    <row r="119" s="617" customFormat="1" x14ac:dyDescent="0.2"/>
    <row r="120" s="617" customFormat="1" x14ac:dyDescent="0.2"/>
    <row r="121" s="617" customFormat="1" x14ac:dyDescent="0.2"/>
    <row r="122" s="617" customFormat="1" x14ac:dyDescent="0.2"/>
    <row r="123" s="617" customFormat="1" x14ac:dyDescent="0.2"/>
    <row r="124" s="617" customFormat="1" x14ac:dyDescent="0.2"/>
    <row r="125" s="617" customFormat="1" x14ac:dyDescent="0.2"/>
    <row r="126" s="617" customFormat="1" x14ac:dyDescent="0.2"/>
    <row r="127" s="617" customFormat="1" x14ac:dyDescent="0.2"/>
    <row r="128" s="617" customFormat="1" x14ac:dyDescent="0.2"/>
    <row r="129" s="617" customFormat="1" x14ac:dyDescent="0.2"/>
    <row r="130" s="617" customFormat="1" x14ac:dyDescent="0.2"/>
    <row r="131" s="617" customFormat="1" x14ac:dyDescent="0.2"/>
    <row r="132" s="617" customFormat="1" x14ac:dyDescent="0.2"/>
    <row r="133" s="617" customFormat="1" x14ac:dyDescent="0.2"/>
    <row r="134" s="617" customFormat="1" x14ac:dyDescent="0.2"/>
    <row r="135" s="617" customFormat="1" x14ac:dyDescent="0.2"/>
    <row r="136" s="617" customFormat="1" x14ac:dyDescent="0.2"/>
    <row r="137" s="617" customFormat="1" x14ac:dyDescent="0.2"/>
    <row r="138" s="617" customFormat="1" x14ac:dyDescent="0.2"/>
    <row r="139" s="617" customFormat="1" x14ac:dyDescent="0.2"/>
    <row r="140" s="617" customFormat="1" x14ac:dyDescent="0.2"/>
    <row r="141" s="617" customFormat="1" x14ac:dyDescent="0.2"/>
    <row r="142" s="617" customFormat="1" x14ac:dyDescent="0.2"/>
    <row r="143" s="617" customFormat="1" x14ac:dyDescent="0.2"/>
    <row r="144" s="617" customFormat="1" x14ac:dyDescent="0.2"/>
    <row r="145" s="617" customFormat="1" x14ac:dyDescent="0.2"/>
    <row r="146" s="617" customFormat="1" x14ac:dyDescent="0.2"/>
    <row r="147" s="617" customFormat="1" x14ac:dyDescent="0.2"/>
    <row r="148" s="617" customFormat="1" x14ac:dyDescent="0.2"/>
    <row r="149" s="617" customFormat="1" x14ac:dyDescent="0.2"/>
    <row r="150" s="617" customFormat="1" x14ac:dyDescent="0.2"/>
    <row r="151" s="617" customFormat="1" x14ac:dyDescent="0.2"/>
    <row r="152" s="617" customFormat="1" x14ac:dyDescent="0.2"/>
    <row r="153" s="617" customFormat="1" x14ac:dyDescent="0.2"/>
    <row r="154" s="617" customFormat="1" x14ac:dyDescent="0.2"/>
    <row r="155" s="617" customFormat="1" x14ac:dyDescent="0.2"/>
    <row r="156" s="617" customFormat="1" x14ac:dyDescent="0.2"/>
    <row r="157" s="617" customFormat="1" x14ac:dyDescent="0.2"/>
    <row r="158" s="617" customFormat="1" x14ac:dyDescent="0.2"/>
    <row r="159" s="617" customFormat="1" x14ac:dyDescent="0.2"/>
    <row r="160" s="617" customFormat="1" x14ac:dyDescent="0.2"/>
    <row r="161" s="617" customFormat="1" x14ac:dyDescent="0.2"/>
    <row r="162" s="617" customFormat="1" x14ac:dyDescent="0.2"/>
    <row r="163" s="617" customFormat="1" x14ac:dyDescent="0.2"/>
    <row r="164" s="617" customFormat="1" x14ac:dyDescent="0.2"/>
    <row r="165" s="617" customFormat="1" x14ac:dyDescent="0.2"/>
    <row r="166" s="617" customFormat="1" x14ac:dyDescent="0.2"/>
    <row r="167" s="617" customFormat="1" x14ac:dyDescent="0.2"/>
    <row r="168" s="617" customFormat="1" x14ac:dyDescent="0.2"/>
    <row r="169" s="617" customFormat="1" x14ac:dyDescent="0.2"/>
    <row r="170" s="617" customFormat="1" x14ac:dyDescent="0.2"/>
    <row r="171" s="617" customFormat="1" x14ac:dyDescent="0.2"/>
    <row r="172" s="617" customFormat="1" x14ac:dyDescent="0.2"/>
    <row r="173" s="617" customFormat="1" x14ac:dyDescent="0.2"/>
    <row r="174" s="617" customFormat="1" x14ac:dyDescent="0.2"/>
    <row r="175" s="617" customFormat="1" x14ac:dyDescent="0.2"/>
    <row r="176" s="617" customFormat="1" x14ac:dyDescent="0.2"/>
    <row r="177" s="617" customFormat="1" x14ac:dyDescent="0.2"/>
    <row r="178" s="617" customFormat="1" x14ac:dyDescent="0.2"/>
    <row r="179" s="617" customFormat="1" x14ac:dyDescent="0.2"/>
    <row r="180" s="617" customFormat="1" x14ac:dyDescent="0.2"/>
    <row r="181" s="617" customFormat="1" x14ac:dyDescent="0.2"/>
    <row r="182" s="617" customFormat="1" x14ac:dyDescent="0.2"/>
    <row r="183" s="617" customFormat="1" x14ac:dyDescent="0.2"/>
    <row r="184" s="617" customFormat="1" x14ac:dyDescent="0.2"/>
    <row r="185" s="617" customFormat="1" x14ac:dyDescent="0.2"/>
    <row r="186" s="617" customFormat="1" x14ac:dyDescent="0.2"/>
    <row r="187" s="617" customFormat="1" x14ac:dyDescent="0.2"/>
    <row r="188" s="617" customFormat="1" x14ac:dyDescent="0.2"/>
    <row r="189" s="617" customFormat="1" x14ac:dyDescent="0.2"/>
    <row r="190" s="617" customFormat="1" x14ac:dyDescent="0.2"/>
    <row r="191" s="617" customFormat="1" x14ac:dyDescent="0.2"/>
    <row r="192" s="617" customFormat="1" x14ac:dyDescent="0.2"/>
    <row r="193" s="617" customFormat="1" x14ac:dyDescent="0.2"/>
    <row r="194" s="617" customFormat="1" x14ac:dyDescent="0.2"/>
    <row r="195" s="617" customFormat="1" x14ac:dyDescent="0.2"/>
    <row r="196" s="617" customFormat="1" x14ac:dyDescent="0.2"/>
    <row r="197" s="617" customFormat="1" x14ac:dyDescent="0.2"/>
    <row r="198" s="617" customFormat="1" x14ac:dyDescent="0.2"/>
    <row r="199" s="617" customFormat="1" x14ac:dyDescent="0.2"/>
    <row r="200" s="617" customFormat="1" x14ac:dyDescent="0.2"/>
    <row r="201" s="617" customFormat="1" x14ac:dyDescent="0.2"/>
    <row r="202" s="617" customFormat="1" x14ac:dyDescent="0.2"/>
    <row r="203" s="617" customFormat="1" x14ac:dyDescent="0.2"/>
    <row r="204" s="617" customFormat="1" x14ac:dyDescent="0.2"/>
    <row r="205" s="617" customFormat="1" x14ac:dyDescent="0.2"/>
    <row r="206" s="617" customFormat="1" x14ac:dyDescent="0.2"/>
    <row r="207" s="617" customFormat="1" x14ac:dyDescent="0.2"/>
    <row r="208" s="617" customFormat="1" x14ac:dyDescent="0.2"/>
    <row r="209" s="617" customFormat="1" x14ac:dyDescent="0.2"/>
    <row r="210" s="617" customFormat="1" x14ac:dyDescent="0.2"/>
    <row r="211" s="617" customFormat="1" x14ac:dyDescent="0.2"/>
    <row r="212" s="617" customFormat="1" x14ac:dyDescent="0.2"/>
    <row r="213" s="617" customFormat="1" x14ac:dyDescent="0.2"/>
    <row r="214" s="617" customFormat="1" x14ac:dyDescent="0.2"/>
    <row r="215" s="617" customFormat="1" x14ac:dyDescent="0.2"/>
    <row r="216" s="617" customFormat="1" x14ac:dyDescent="0.2"/>
    <row r="217" s="617" customFormat="1" x14ac:dyDescent="0.2"/>
    <row r="218" s="617" customFormat="1" x14ac:dyDescent="0.2"/>
    <row r="219" s="617" customFormat="1" x14ac:dyDescent="0.2"/>
    <row r="220" s="617" customFormat="1" x14ac:dyDescent="0.2"/>
    <row r="221" s="617" customFormat="1" x14ac:dyDescent="0.2"/>
    <row r="222" s="617" customFormat="1" x14ac:dyDescent="0.2"/>
    <row r="223" s="617" customFormat="1" x14ac:dyDescent="0.2"/>
    <row r="224" s="617" customFormat="1" x14ac:dyDescent="0.2"/>
    <row r="225" s="617" customFormat="1" x14ac:dyDescent="0.2"/>
    <row r="226" s="617" customFormat="1" x14ac:dyDescent="0.2"/>
    <row r="227" s="617" customFormat="1" x14ac:dyDescent="0.2"/>
    <row r="228" s="617" customFormat="1" x14ac:dyDescent="0.2"/>
    <row r="229" s="617" customFormat="1" x14ac:dyDescent="0.2"/>
    <row r="230" s="617" customFormat="1" x14ac:dyDescent="0.2"/>
    <row r="231" s="617" customFormat="1" x14ac:dyDescent="0.2"/>
    <row r="232" s="617" customFormat="1" x14ac:dyDescent="0.2"/>
    <row r="233" s="617" customFormat="1" x14ac:dyDescent="0.2"/>
    <row r="234" s="617" customFormat="1" x14ac:dyDescent="0.2"/>
    <row r="235" s="617" customFormat="1" x14ac:dyDescent="0.2"/>
    <row r="236" s="617" customFormat="1" x14ac:dyDescent="0.2"/>
    <row r="237" s="617" customFormat="1" x14ac:dyDescent="0.2"/>
    <row r="238" s="617" customFormat="1" x14ac:dyDescent="0.2"/>
    <row r="239" s="617" customFormat="1" x14ac:dyDescent="0.2"/>
    <row r="240" s="617" customFormat="1" x14ac:dyDescent="0.2"/>
    <row r="241" s="617" customFormat="1" x14ac:dyDescent="0.2"/>
    <row r="242" s="617" customFormat="1" x14ac:dyDescent="0.2"/>
    <row r="243" s="617" customFormat="1" x14ac:dyDescent="0.2"/>
    <row r="244" s="617" customFormat="1" x14ac:dyDescent="0.2"/>
    <row r="245" s="617" customFormat="1" x14ac:dyDescent="0.2"/>
    <row r="246" s="617" customFormat="1" x14ac:dyDescent="0.2"/>
    <row r="247" s="617" customFormat="1" x14ac:dyDescent="0.2"/>
    <row r="248" s="617" customFormat="1" x14ac:dyDescent="0.2"/>
    <row r="249" s="617" customFormat="1" x14ac:dyDescent="0.2"/>
    <row r="250" s="617" customFormat="1" x14ac:dyDescent="0.2"/>
    <row r="251" s="617" customFormat="1" x14ac:dyDescent="0.2"/>
    <row r="252" s="617" customFormat="1" x14ac:dyDescent="0.2"/>
    <row r="253" s="617" customFormat="1" x14ac:dyDescent="0.2"/>
    <row r="254" s="617" customFormat="1" x14ac:dyDescent="0.2"/>
    <row r="255" s="617" customFormat="1" x14ac:dyDescent="0.2"/>
    <row r="256" s="617" customFormat="1" x14ac:dyDescent="0.2"/>
    <row r="257" s="617" customFormat="1" x14ac:dyDescent="0.2"/>
    <row r="258" s="617" customFormat="1" x14ac:dyDescent="0.2"/>
    <row r="259" s="617" customFormat="1" x14ac:dyDescent="0.2"/>
    <row r="260" s="617" customFormat="1" x14ac:dyDescent="0.2"/>
    <row r="261" s="617" customFormat="1" x14ac:dyDescent="0.2"/>
    <row r="262" s="617" customFormat="1" x14ac:dyDescent="0.2"/>
    <row r="263" s="617" customFormat="1" x14ac:dyDescent="0.2"/>
    <row r="264" s="617" customFormat="1" x14ac:dyDescent="0.2"/>
    <row r="265" s="617" customFormat="1" x14ac:dyDescent="0.2"/>
    <row r="266" s="617" customFormat="1" x14ac:dyDescent="0.2"/>
    <row r="267" s="617" customFormat="1" x14ac:dyDescent="0.2"/>
    <row r="268" s="617" customFormat="1" x14ac:dyDescent="0.2"/>
    <row r="269" s="617" customFormat="1" x14ac:dyDescent="0.2"/>
    <row r="270" s="617" customFormat="1" x14ac:dyDescent="0.2"/>
    <row r="271" s="617" customFormat="1" x14ac:dyDescent="0.2"/>
    <row r="272" s="617" customFormat="1" x14ac:dyDescent="0.2"/>
    <row r="273" s="617" customFormat="1" x14ac:dyDescent="0.2"/>
    <row r="274" s="617" customFormat="1" x14ac:dyDescent="0.2"/>
    <row r="275" s="617" customFormat="1" x14ac:dyDescent="0.2"/>
    <row r="276" s="617" customFormat="1" x14ac:dyDescent="0.2"/>
    <row r="277" s="617" customFormat="1" x14ac:dyDescent="0.2"/>
    <row r="278" s="617" customFormat="1" x14ac:dyDescent="0.2"/>
    <row r="279" s="617" customFormat="1" x14ac:dyDescent="0.2"/>
  </sheetData>
  <sheetProtection password="C82C" sheet="1" scenarios="1" selectLockedCells="1" selectUnlockedCells="1"/>
  <pageMargins left="0.7" right="0.7" top="0.75" bottom="0.75" header="0.3" footer="0.3"/>
  <pageSetup paperSize="9" scale="92" fitToHeight="0" orientation="landscape" r:id="rId1"/>
  <headerFooter>
    <oddHeader>&amp;LPUBLIC&amp;CEfficient Costs of New Entrant Ethanol Producers&amp;R&amp;G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17</vt:i4>
      </vt:variant>
    </vt:vector>
  </HeadingPairs>
  <TitlesOfParts>
    <vt:vector size="45" baseType="lpstr">
      <vt:lpstr>Disclaimer</vt:lpstr>
      <vt:lpstr>Navigation</vt:lpstr>
      <vt:lpstr>Interactive</vt:lpstr>
      <vt:lpstr>Assumptions</vt:lpstr>
      <vt:lpstr>ProductionCurve</vt:lpstr>
      <vt:lpstr>LevelisedCost</vt:lpstr>
      <vt:lpstr>ScaleImpact</vt:lpstr>
      <vt:lpstr>LocationImpact</vt:lpstr>
      <vt:lpstr>Price Impact</vt:lpstr>
      <vt:lpstr>Charts</vt:lpstr>
      <vt:lpstr>Sensitivities</vt:lpstr>
      <vt:lpstr>Summary Tables</vt:lpstr>
      <vt:lpstr>Wheat Standalone (Starch)</vt:lpstr>
      <vt:lpstr>Wheat Integrated (Starch)</vt:lpstr>
      <vt:lpstr>Imported Starch</vt:lpstr>
      <vt:lpstr>Sorgum (Starch)</vt:lpstr>
      <vt:lpstr>C-Syrup (Sucrosic)</vt:lpstr>
      <vt:lpstr>B-Syrup (Sucrosic)</vt:lpstr>
      <vt:lpstr>Cane trash (Cellulosic)</vt:lpstr>
      <vt:lpstr>Forest Residues (Cellulosic)</vt:lpstr>
      <vt:lpstr>Loan Repayments</vt:lpstr>
      <vt:lpstr>Allocators</vt:lpstr>
      <vt:lpstr>Costs per L</vt:lpstr>
      <vt:lpstr>Depreciation</vt:lpstr>
      <vt:lpstr>WACC</vt:lpstr>
      <vt:lpstr>Cost Basis</vt:lpstr>
      <vt:lpstr>WACC parameters </vt:lpstr>
      <vt:lpstr>Feedstock Locations</vt:lpstr>
      <vt:lpstr>CCopy</vt:lpstr>
      <vt:lpstr>Assumptions!Print_Area</vt:lpstr>
      <vt:lpstr>'B-Syrup (Sucrosic)'!Print_Area</vt:lpstr>
      <vt:lpstr>'Cane trash (Cellulosic)'!Print_Area</vt:lpstr>
      <vt:lpstr>Charts!Print_Area</vt:lpstr>
      <vt:lpstr>'C-Syrup (Sucrosic)'!Print_Area</vt:lpstr>
      <vt:lpstr>'Forest Residues (Cellulosic)'!Print_Area</vt:lpstr>
      <vt:lpstr>'Imported Starch'!Print_Area</vt:lpstr>
      <vt:lpstr>Interactive!Print_Area</vt:lpstr>
      <vt:lpstr>LevelisedCost!Print_Area</vt:lpstr>
      <vt:lpstr>LocationImpact!Print_Area</vt:lpstr>
      <vt:lpstr>'Price Impact'!Print_Area</vt:lpstr>
      <vt:lpstr>ProductionCurve!Print_Area</vt:lpstr>
      <vt:lpstr>ScaleImpact!Print_Area</vt:lpstr>
      <vt:lpstr>'Sorgum (Starch)'!Print_Area</vt:lpstr>
      <vt:lpstr>'Wheat Integrated (Starch)'!Print_Area</vt:lpstr>
      <vt:lpstr>'Wheat Standalone (Starch)'!Print_Area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SMP</dc:creator>
  <cp:lastModifiedBy>Denise Reid</cp:lastModifiedBy>
  <cp:lastPrinted>2016-10-21T05:35:08Z</cp:lastPrinted>
  <dcterms:created xsi:type="dcterms:W3CDTF">2016-08-21T21:57:11Z</dcterms:created>
  <dcterms:modified xsi:type="dcterms:W3CDTF">2016-10-24T21:09:17Z</dcterms:modified>
</cp:coreProperties>
</file>